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55" windowWidth="20775" windowHeight="9660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Exercicio" sheetId="43" state="hidden" r:id="rId40"/>
    <sheet name="AUX" sheetId="44" state="hidden" r:id="rId41"/>
    <sheet name="Página32" sheetId="45" state="hidden" r:id="rId42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3" hidden="1">REP_FNDE!$A$6:$T$413</definedName>
    <definedName name="_xlnm._FilterDatabase" localSheetId="2" hidden="1">REP_FNDE_REL!$A$5:$R$24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93BF23C3_BCA6_44CA_9C51_8E68EC1EED7A_.wvu.FilterData" localSheetId="1" hidden="1">BDEST!$P$6:$Z$413</definedName>
    <definedName name="Z_93BF23C3_BCA6_44CA_9C51_8E68EC1EED7A_.wvu.FilterData" localSheetId="0" hidden="1">REP_EST!$A$1:$Z$912</definedName>
    <definedName name="Z_93BF23C3_BCA6_44CA_9C51_8E68EC1EED7A_.wvu.FilterData" localSheetId="14" hidden="1">REP_EST_PARC!$C$5:$P$370</definedName>
    <definedName name="Z_93BF23C3_BCA6_44CA_9C51_8E68EC1EED7A_.wvu.FilterData" localSheetId="32" hidden="1">REP_EST_PJA!$C$5:$J$18</definedName>
    <definedName name="Z_93BF23C3_BCA6_44CA_9C51_8E68EC1EED7A_.wvu.FilterData" localSheetId="23" hidden="1">REP_EST_TI!$C$5:$Q$38</definedName>
    <definedName name="Z_93BF23C3_BCA6_44CA_9C51_8E68EC1EED7A_.wvu.FilterData" localSheetId="3" hidden="1">REP_FNDE!$A$1:$W$912</definedName>
    <definedName name="Z_93BF23C3_BCA6_44CA_9C51_8E68EC1EED7A_.wvu.FilterData" localSheetId="2" hidden="1">REP_FNDE_REL!$C$5:$R$24</definedName>
  </definedNames>
  <calcPr calcId="144525"/>
  <customWorkbookViews>
    <customWorkbookView name="Filtro 1" guid="{93BF23C3-BCA6-44CA-9C51-8E68EC1EED7A}" maximized="1" windowWidth="0" windowHeight="0" activeSheetId="0"/>
    <customWorkbookView name="Elaine" guid="{B1DA1DAD-5DCB-44A0-B594-370E088722B6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 l="1"/>
  <c r="A48" i="43"/>
  <c r="B37" i="43"/>
  <c r="B36" i="43"/>
  <c r="B35" i="43"/>
  <c r="B34" i="43"/>
  <c r="B33" i="43"/>
  <c r="A29" i="43"/>
  <c r="B29" i="43" s="1"/>
  <c r="A23" i="43"/>
  <c r="K1" i="43"/>
  <c r="J34" i="35"/>
  <c r="P391" i="17"/>
  <c r="P390" i="17"/>
  <c r="P389" i="17"/>
  <c r="P388" i="17"/>
  <c r="P387" i="17"/>
  <c r="P386" i="17"/>
  <c r="P385" i="17"/>
  <c r="P384" i="17"/>
  <c r="P383" i="17"/>
  <c r="P382" i="17"/>
  <c r="P381" i="17"/>
  <c r="T4" i="5"/>
  <c r="S4" i="5"/>
  <c r="S1" i="5" s="1"/>
  <c r="R4" i="5"/>
  <c r="Q4" i="5"/>
  <c r="Q1" i="5" s="1"/>
  <c r="P4" i="5"/>
  <c r="P1" i="5" s="1"/>
  <c r="O4" i="5"/>
  <c r="O1" i="5" s="1"/>
  <c r="N4" i="5"/>
  <c r="M4" i="5"/>
  <c r="M1" i="5" s="1"/>
  <c r="L4" i="5"/>
  <c r="K4" i="5"/>
  <c r="K1" i="5" s="1"/>
  <c r="J4" i="5"/>
  <c r="I4" i="5"/>
  <c r="H4" i="5"/>
  <c r="H1" i="5" s="1"/>
  <c r="T1" i="5"/>
  <c r="R1" i="5"/>
  <c r="N1" i="5"/>
  <c r="L1" i="5"/>
  <c r="J1" i="5"/>
  <c r="D1" i="5"/>
  <c r="C4" i="4"/>
  <c r="R3" i="4"/>
  <c r="Q3" i="4"/>
  <c r="P3" i="4"/>
  <c r="O3" i="4"/>
  <c r="N3" i="4"/>
  <c r="M3" i="4"/>
  <c r="L3" i="4"/>
  <c r="K3" i="4"/>
  <c r="J3" i="4"/>
  <c r="I3" i="4"/>
  <c r="H3" i="4"/>
  <c r="Z4" i="2"/>
  <c r="Z1" i="2" s="1"/>
  <c r="Y4" i="2"/>
  <c r="X4" i="2"/>
  <c r="X1" i="2" s="1"/>
  <c r="W4" i="2"/>
  <c r="W1" i="2" s="1"/>
  <c r="V4" i="2"/>
  <c r="V1" i="2" s="1"/>
  <c r="U4" i="2"/>
  <c r="T4" i="2"/>
  <c r="T1" i="2" s="1"/>
  <c r="S4" i="2"/>
  <c r="S1" i="2" s="1"/>
  <c r="R4" i="2"/>
  <c r="Q4" i="2"/>
  <c r="Q1" i="2" s="1"/>
  <c r="P4" i="2"/>
  <c r="P1" i="2" s="1"/>
  <c r="O4" i="2"/>
  <c r="O1" i="2" s="1"/>
  <c r="N4" i="2"/>
  <c r="N1" i="2" s="1"/>
  <c r="M4" i="2"/>
  <c r="L4" i="2"/>
  <c r="L1" i="2" s="1"/>
  <c r="K4" i="2"/>
  <c r="K1" i="2" s="1"/>
  <c r="J4" i="2"/>
  <c r="J1" i="2" s="1"/>
  <c r="I4" i="2"/>
  <c r="H4" i="2"/>
  <c r="H1" i="2" s="1"/>
  <c r="Y1" i="2"/>
  <c r="U1" i="2"/>
  <c r="R1" i="2"/>
  <c r="M1" i="2"/>
  <c r="I1" i="2"/>
  <c r="I1" i="7" l="1" a="1"/>
  <c r="I1" i="10" a="1"/>
  <c r="I1" i="12" a="1"/>
  <c r="I1" i="9" a="1"/>
  <c r="I1" i="6" a="1"/>
  <c r="I1" i="11" a="1"/>
  <c r="I1" i="8" a="1"/>
  <c r="I1" i="24" a="1"/>
  <c r="I1" i="29" a="1"/>
  <c r="I1" i="15" a="1"/>
  <c r="I1" i="13" a="1"/>
  <c r="I1" i="18" a="1"/>
  <c r="I1" i="21" a="1"/>
  <c r="I1" i="32" a="1"/>
  <c r="I1" i="14" a="1"/>
  <c r="I1" i="19" a="1"/>
  <c r="I1" i="22" a="1"/>
  <c r="I1" i="20" a="1"/>
  <c r="I1" i="23" a="1"/>
  <c r="I1" i="27" a="1"/>
  <c r="I1" i="34" a="1"/>
  <c r="I1" i="30" a="1"/>
  <c r="I1" i="28" a="1"/>
  <c r="I1" i="36" a="1"/>
  <c r="I1" i="31" a="1"/>
  <c r="I1" i="37" a="1"/>
  <c r="A2" i="5"/>
  <c r="I1" i="5"/>
  <c r="C406" i="45"/>
  <c r="B399" i="45"/>
  <c r="A392" i="45"/>
  <c r="I384" i="45"/>
  <c r="H377" i="45"/>
  <c r="G370" i="45"/>
  <c r="F363" i="45"/>
  <c r="E356" i="45"/>
  <c r="G405" i="45"/>
  <c r="F398" i="45"/>
  <c r="E391" i="45"/>
  <c r="D384" i="45"/>
  <c r="C377" i="45"/>
  <c r="B370" i="45"/>
  <c r="A363" i="45"/>
  <c r="I355" i="45"/>
  <c r="F401" i="45"/>
  <c r="D387" i="45"/>
  <c r="B373" i="45"/>
  <c r="I358" i="45"/>
  <c r="G348" i="45"/>
  <c r="F341" i="45"/>
  <c r="E334" i="45"/>
  <c r="D327" i="45"/>
  <c r="C400" i="45"/>
  <c r="A386" i="45"/>
  <c r="H371" i="45"/>
  <c r="F357" i="45"/>
  <c r="A348" i="45"/>
  <c r="I340" i="45"/>
  <c r="H333" i="45"/>
  <c r="G326" i="45"/>
  <c r="I404" i="45"/>
  <c r="H397" i="45"/>
  <c r="G390" i="45"/>
  <c r="F383" i="45"/>
  <c r="E376" i="45"/>
  <c r="D369" i="45"/>
  <c r="C362" i="45"/>
  <c r="B355" i="45"/>
  <c r="D404" i="45"/>
  <c r="C397" i="45"/>
  <c r="B390" i="45"/>
  <c r="A383" i="45"/>
  <c r="I375" i="45"/>
  <c r="H368" i="45"/>
  <c r="G361" i="45"/>
  <c r="F354" i="45"/>
  <c r="I398" i="45"/>
  <c r="G384" i="45"/>
  <c r="E370" i="45"/>
  <c r="C356" i="45"/>
  <c r="D347" i="45"/>
  <c r="C340" i="45"/>
  <c r="B333" i="45"/>
  <c r="A326" i="45"/>
  <c r="F397" i="45"/>
  <c r="D383" i="45"/>
  <c r="B369" i="45"/>
  <c r="I354" i="45"/>
  <c r="G346" i="45"/>
  <c r="F339" i="45"/>
  <c r="E332" i="45"/>
  <c r="H405" i="45"/>
  <c r="F391" i="45"/>
  <c r="D377" i="45"/>
  <c r="B363" i="45"/>
  <c r="C405" i="45"/>
  <c r="A391" i="45"/>
  <c r="H376" i="45"/>
  <c r="F362" i="45"/>
  <c r="G400" i="45"/>
  <c r="C372" i="45"/>
  <c r="C348" i="45"/>
  <c r="A334" i="45"/>
  <c r="D399" i="45"/>
  <c r="I370" i="45"/>
  <c r="F347" i="45"/>
  <c r="D333" i="45"/>
  <c r="C399" i="45"/>
  <c r="H370" i="45"/>
  <c r="E347" i="45"/>
  <c r="C333" i="45"/>
  <c r="H321" i="45"/>
  <c r="G314" i="45"/>
  <c r="F307" i="45"/>
  <c r="E300" i="45"/>
  <c r="D293" i="45"/>
  <c r="C286" i="45"/>
  <c r="B279" i="45"/>
  <c r="A272" i="45"/>
  <c r="I264" i="45"/>
  <c r="H257" i="45"/>
  <c r="G250" i="45"/>
  <c r="F243" i="45"/>
  <c r="D405" i="45"/>
  <c r="B391" i="45"/>
  <c r="I376" i="45"/>
  <c r="G362" i="45"/>
  <c r="H404" i="45"/>
  <c r="F390" i="45"/>
  <c r="D376" i="45"/>
  <c r="B362" i="45"/>
  <c r="H399" i="45"/>
  <c r="D371" i="45"/>
  <c r="H347" i="45"/>
  <c r="F333" i="45"/>
  <c r="E398" i="45"/>
  <c r="A370" i="45"/>
  <c r="B347" i="45"/>
  <c r="I332" i="45"/>
  <c r="E397" i="45"/>
  <c r="A369" i="45"/>
  <c r="F346" i="45"/>
  <c r="D332" i="45"/>
  <c r="D321" i="45"/>
  <c r="C314" i="45"/>
  <c r="B307" i="45"/>
  <c r="A300" i="45"/>
  <c r="I292" i="45"/>
  <c r="H285" i="45"/>
  <c r="G278" i="45"/>
  <c r="F271" i="45"/>
  <c r="E264" i="45"/>
  <c r="D257" i="45"/>
  <c r="C250" i="45"/>
  <c r="B243" i="45"/>
  <c r="E404" i="45"/>
  <c r="D397" i="45"/>
  <c r="C390" i="45"/>
  <c r="B383" i="45"/>
  <c r="A376" i="45"/>
  <c r="I368" i="45"/>
  <c r="H361" i="45"/>
  <c r="G354" i="45"/>
  <c r="I403" i="45"/>
  <c r="H396" i="45"/>
  <c r="G389" i="45"/>
  <c r="F382" i="45"/>
  <c r="E375" i="45"/>
  <c r="D368" i="45"/>
  <c r="C361" i="45"/>
  <c r="B354" i="45"/>
  <c r="A398" i="45"/>
  <c r="H383" i="45"/>
  <c r="F369" i="45"/>
  <c r="D355" i="45"/>
  <c r="I346" i="45"/>
  <c r="H339" i="45"/>
  <c r="G332" i="45"/>
  <c r="F325" i="45"/>
  <c r="G396" i="45"/>
  <c r="E382" i="45"/>
  <c r="C368" i="45"/>
  <c r="A354" i="45"/>
  <c r="C346" i="45"/>
  <c r="B339" i="45"/>
  <c r="A332" i="45"/>
  <c r="I324" i="45"/>
  <c r="B403" i="45"/>
  <c r="A396" i="45"/>
  <c r="I388" i="45"/>
  <c r="H381" i="45"/>
  <c r="G374" i="45"/>
  <c r="F367" i="45"/>
  <c r="E360" i="45"/>
  <c r="D353" i="45"/>
  <c r="F402" i="45"/>
  <c r="E395" i="45"/>
  <c r="D388" i="45"/>
  <c r="C381" i="45"/>
  <c r="B374" i="45"/>
  <c r="A367" i="45"/>
  <c r="I359" i="45"/>
  <c r="H352" i="45"/>
  <c r="D395" i="45"/>
  <c r="B381" i="45"/>
  <c r="I366" i="45"/>
  <c r="G352" i="45"/>
  <c r="F345" i="45"/>
  <c r="E338" i="45"/>
  <c r="D331" i="45"/>
  <c r="C408" i="45"/>
  <c r="A394" i="45"/>
  <c r="H379" i="45"/>
  <c r="F365" i="45"/>
  <c r="A352" i="45"/>
  <c r="I344" i="45"/>
  <c r="H337" i="45"/>
  <c r="G330" i="45"/>
  <c r="C402" i="45"/>
  <c r="A388" i="45"/>
  <c r="H373" i="45"/>
  <c r="F359" i="45"/>
  <c r="G401" i="45"/>
  <c r="E387" i="45"/>
  <c r="C373" i="45"/>
  <c r="A359" i="45"/>
  <c r="F393" i="45"/>
  <c r="B365" i="45"/>
  <c r="G344" i="45"/>
  <c r="E330" i="45"/>
  <c r="C392" i="45"/>
  <c r="H363" i="45"/>
  <c r="A344" i="45"/>
  <c r="H329" i="45"/>
  <c r="B392" i="45"/>
  <c r="G363" i="45"/>
  <c r="I343" i="45"/>
  <c r="G329" i="45"/>
  <c r="A320" i="45"/>
  <c r="I312" i="45"/>
  <c r="H305" i="45"/>
  <c r="G298" i="45"/>
  <c r="F291" i="45"/>
  <c r="E284" i="45"/>
  <c r="D277" i="45"/>
  <c r="C270" i="45"/>
  <c r="B263" i="45"/>
  <c r="A256" i="45"/>
  <c r="I248" i="45"/>
  <c r="H241" i="45"/>
  <c r="H401" i="45"/>
  <c r="F387" i="45"/>
  <c r="D373" i="45"/>
  <c r="B359" i="45"/>
  <c r="C401" i="45"/>
  <c r="A387" i="45"/>
  <c r="H372" i="45"/>
  <c r="F358" i="45"/>
  <c r="G392" i="45"/>
  <c r="C364" i="45"/>
  <c r="C344" i="45"/>
  <c r="A330" i="45"/>
  <c r="D391" i="45"/>
  <c r="I362" i="45"/>
  <c r="F343" i="45"/>
  <c r="D329" i="45"/>
  <c r="D390" i="45"/>
  <c r="I361" i="45"/>
  <c r="A343" i="45"/>
  <c r="H328" i="45"/>
  <c r="F319" i="45"/>
  <c r="E312" i="45"/>
  <c r="D305" i="45"/>
  <c r="C298" i="45"/>
  <c r="B291" i="45"/>
  <c r="A284" i="45"/>
  <c r="I276" i="45"/>
  <c r="H269" i="45"/>
  <c r="G262" i="45"/>
  <c r="F255" i="45"/>
  <c r="E248" i="45"/>
  <c r="D241" i="45"/>
  <c r="G402" i="45"/>
  <c r="F395" i="45"/>
  <c r="E388" i="45"/>
  <c r="D381" i="45"/>
  <c r="C374" i="45"/>
  <c r="B367" i="45"/>
  <c r="A360" i="45"/>
  <c r="I352" i="45"/>
  <c r="B402" i="45"/>
  <c r="A395" i="45"/>
  <c r="I387" i="45"/>
  <c r="H380" i="45"/>
  <c r="G373" i="45"/>
  <c r="F366" i="45"/>
  <c r="E359" i="45"/>
  <c r="G408" i="45"/>
  <c r="E394" i="45"/>
  <c r="C380" i="45"/>
  <c r="A366" i="45"/>
  <c r="C352" i="45"/>
  <c r="B345" i="45"/>
  <c r="A338" i="45"/>
  <c r="I330" i="45"/>
  <c r="D407" i="45"/>
  <c r="B393" i="45"/>
  <c r="I378" i="45"/>
  <c r="G364" i="45"/>
  <c r="F351" i="45"/>
  <c r="E344" i="45"/>
  <c r="D337" i="45"/>
  <c r="C330" i="45"/>
  <c r="E408" i="45"/>
  <c r="D401" i="45"/>
  <c r="C394" i="45"/>
  <c r="B387" i="45"/>
  <c r="A380" i="45"/>
  <c r="I372" i="45"/>
  <c r="H365" i="45"/>
  <c r="G358" i="45"/>
  <c r="I407" i="45"/>
  <c r="H400" i="45"/>
  <c r="G393" i="45"/>
  <c r="F386" i="45"/>
  <c r="E379" i="45"/>
  <c r="D372" i="45"/>
  <c r="C365" i="45"/>
  <c r="B358" i="45"/>
  <c r="A406" i="45"/>
  <c r="H391" i="45"/>
  <c r="F377" i="45"/>
  <c r="D363" i="45"/>
  <c r="I350" i="45"/>
  <c r="H343" i="45"/>
  <c r="G336" i="45"/>
  <c r="F329" i="45"/>
  <c r="G404" i="45"/>
  <c r="E390" i="45"/>
  <c r="C376" i="45"/>
  <c r="A362" i="45"/>
  <c r="C350" i="45"/>
  <c r="B343" i="45"/>
  <c r="A336" i="45"/>
  <c r="I328" i="45"/>
  <c r="G398" i="45"/>
  <c r="E384" i="45"/>
  <c r="C370" i="45"/>
  <c r="A356" i="45"/>
  <c r="B398" i="45"/>
  <c r="I383" i="45"/>
  <c r="G369" i="45"/>
  <c r="E355" i="45"/>
  <c r="E386" i="45"/>
  <c r="A358" i="45"/>
  <c r="B341" i="45"/>
  <c r="I326" i="45"/>
  <c r="B385" i="45"/>
  <c r="G356" i="45"/>
  <c r="E340" i="45"/>
  <c r="C326" i="45"/>
  <c r="A385" i="45"/>
  <c r="F356" i="45"/>
  <c r="D340" i="45"/>
  <c r="B326" i="45"/>
  <c r="C318" i="45"/>
  <c r="B311" i="45"/>
  <c r="A304" i="45"/>
  <c r="I296" i="45"/>
  <c r="H289" i="45"/>
  <c r="G282" i="45"/>
  <c r="F275" i="45"/>
  <c r="E268" i="45"/>
  <c r="D261" i="45"/>
  <c r="C254" i="45"/>
  <c r="B247" i="45"/>
  <c r="A240" i="45"/>
  <c r="C398" i="45"/>
  <c r="A384" i="45"/>
  <c r="H369" i="45"/>
  <c r="F355" i="45"/>
  <c r="G397" i="45"/>
  <c r="E383" i="45"/>
  <c r="C369" i="45"/>
  <c r="A355" i="45"/>
  <c r="F385" i="45"/>
  <c r="B357" i="45"/>
  <c r="G340" i="45"/>
  <c r="E326" i="45"/>
  <c r="C384" i="45"/>
  <c r="H355" i="45"/>
  <c r="A340" i="45"/>
  <c r="H325" i="45"/>
  <c r="C383" i="45"/>
  <c r="H354" i="45"/>
  <c r="A408" i="45"/>
  <c r="I400" i="45"/>
  <c r="H393" i="45"/>
  <c r="G386" i="45"/>
  <c r="F379" i="45"/>
  <c r="E372" i="45"/>
  <c r="D365" i="45"/>
  <c r="C358" i="45"/>
  <c r="E407" i="45"/>
  <c r="D400" i="45"/>
  <c r="C393" i="45"/>
  <c r="B386" i="45"/>
  <c r="A379" i="45"/>
  <c r="I371" i="45"/>
  <c r="H364" i="45"/>
  <c r="G357" i="45"/>
  <c r="B405" i="45"/>
  <c r="I390" i="45"/>
  <c r="G376" i="45"/>
  <c r="E362" i="45"/>
  <c r="E350" i="45"/>
  <c r="D343" i="45"/>
  <c r="C336" i="45"/>
  <c r="B329" i="45"/>
  <c r="H403" i="45"/>
  <c r="F389" i="45"/>
  <c r="D375" i="45"/>
  <c r="B361" i="45"/>
  <c r="H349" i="45"/>
  <c r="G342" i="45"/>
  <c r="F335" i="45"/>
  <c r="E328" i="45"/>
  <c r="G406" i="45"/>
  <c r="F399" i="45"/>
  <c r="E392" i="45"/>
  <c r="D385" i="45"/>
  <c r="C378" i="45"/>
  <c r="B371" i="45"/>
  <c r="A364" i="45"/>
  <c r="I356" i="45"/>
  <c r="B406" i="45"/>
  <c r="A399" i="45"/>
  <c r="I391" i="45"/>
  <c r="H384" i="45"/>
  <c r="G377" i="45"/>
  <c r="F370" i="45"/>
  <c r="E363" i="45"/>
  <c r="D356" i="45"/>
  <c r="E402" i="45"/>
  <c r="C388" i="45"/>
  <c r="A374" i="45"/>
  <c r="H359" i="45"/>
  <c r="B349" i="45"/>
  <c r="A342" i="45"/>
  <c r="I334" i="45"/>
  <c r="H327" i="45"/>
  <c r="B401" i="45"/>
  <c r="I386" i="45"/>
  <c r="G372" i="45"/>
  <c r="E358" i="45"/>
  <c r="E348" i="45"/>
  <c r="D341" i="45"/>
  <c r="C334" i="45"/>
  <c r="B327" i="45"/>
  <c r="B395" i="45"/>
  <c r="I380" i="45"/>
  <c r="G366" i="45"/>
  <c r="H408" i="45"/>
  <c r="F394" i="45"/>
  <c r="D380" i="45"/>
  <c r="B366" i="45"/>
  <c r="H407" i="45"/>
  <c r="D379" i="45"/>
  <c r="H351" i="45"/>
  <c r="F337" i="45"/>
  <c r="I336" i="45"/>
  <c r="H336" i="45"/>
  <c r="C302" i="45"/>
  <c r="H273" i="45"/>
  <c r="D245" i="45"/>
  <c r="C366" i="45"/>
  <c r="G365" i="45"/>
  <c r="B337" i="45"/>
  <c r="E336" i="45"/>
  <c r="E339" i="45"/>
  <c r="H317" i="45"/>
  <c r="F303" i="45"/>
  <c r="D289" i="45"/>
  <c r="B275" i="45"/>
  <c r="I260" i="45"/>
  <c r="G246" i="45"/>
  <c r="I392" i="45"/>
  <c r="E364" i="45"/>
  <c r="D392" i="45"/>
  <c r="I363" i="45"/>
  <c r="I374" i="45"/>
  <c r="D335" i="45"/>
  <c r="F373" i="45"/>
  <c r="G334" i="45"/>
  <c r="F372" i="45"/>
  <c r="B334" i="45"/>
  <c r="B315" i="45"/>
  <c r="I300" i="45"/>
  <c r="G286" i="45"/>
  <c r="E272" i="45"/>
  <c r="C258" i="45"/>
  <c r="A244" i="45"/>
  <c r="F384" i="45"/>
  <c r="G349" i="45"/>
  <c r="H330" i="45"/>
  <c r="B318" i="45"/>
  <c r="G308" i="45"/>
  <c r="C299" i="45"/>
  <c r="G289" i="45"/>
  <c r="C280" i="45"/>
  <c r="H270" i="45"/>
  <c r="C395" i="45"/>
  <c r="E357" i="45"/>
  <c r="B336" i="45"/>
  <c r="H320" i="45"/>
  <c r="D311" i="45"/>
  <c r="I301" i="45"/>
  <c r="D292" i="45"/>
  <c r="I282" i="45"/>
  <c r="C379" i="45"/>
  <c r="B328" i="45"/>
  <c r="D307" i="45"/>
  <c r="D288" i="45"/>
  <c r="B272" i="45"/>
  <c r="G260" i="45"/>
  <c r="C251" i="45"/>
  <c r="G241" i="45"/>
  <c r="A234" i="45"/>
  <c r="H389" i="45"/>
  <c r="D361" i="45"/>
  <c r="C389" i="45"/>
  <c r="H360" i="45"/>
  <c r="G368" i="45"/>
  <c r="C332" i="45"/>
  <c r="D367" i="45"/>
  <c r="F331" i="45"/>
  <c r="C367" i="45"/>
  <c r="E331" i="45"/>
  <c r="H313" i="45"/>
  <c r="F299" i="45"/>
  <c r="D285" i="45"/>
  <c r="B271" i="45"/>
  <c r="I256" i="45"/>
  <c r="G242" i="45"/>
  <c r="D382" i="45"/>
  <c r="F348" i="45"/>
  <c r="E329" i="45"/>
  <c r="F317" i="45"/>
  <c r="B308" i="45"/>
  <c r="F298" i="45"/>
  <c r="B289" i="45"/>
  <c r="G279" i="45"/>
  <c r="B270" i="45"/>
  <c r="A393" i="45"/>
  <c r="C355" i="45"/>
  <c r="H334" i="45"/>
  <c r="C320" i="45"/>
  <c r="H310" i="45"/>
  <c r="C301" i="45"/>
  <c r="H291" i="45"/>
  <c r="H353" i="45"/>
  <c r="C353" i="45"/>
  <c r="G324" i="45"/>
  <c r="B408" i="45"/>
  <c r="A324" i="45"/>
  <c r="F295" i="45"/>
  <c r="B267" i="45"/>
  <c r="F408" i="45"/>
  <c r="F342" i="45"/>
  <c r="F314" i="45"/>
  <c r="G295" i="45"/>
  <c r="G276" i="45"/>
  <c r="A381" i="45"/>
  <c r="A329" i="45"/>
  <c r="H307" i="45"/>
  <c r="E289" i="45"/>
  <c r="G407" i="45"/>
  <c r="D330" i="45"/>
  <c r="E301" i="45"/>
  <c r="H276" i="45"/>
  <c r="C261" i="45"/>
  <c r="C248" i="45"/>
  <c r="G236" i="45"/>
  <c r="C228" i="45"/>
  <c r="B221" i="45"/>
  <c r="E406" i="45"/>
  <c r="D406" i="45"/>
  <c r="F323" i="45"/>
  <c r="B295" i="45"/>
  <c r="G266" i="45"/>
  <c r="I408" i="45"/>
  <c r="D408" i="45"/>
  <c r="I406" i="45"/>
  <c r="F405" i="45"/>
  <c r="F404" i="45"/>
  <c r="I335" i="45"/>
  <c r="A316" i="45"/>
  <c r="H301" i="45"/>
  <c r="F287" i="45"/>
  <c r="D273" i="45"/>
  <c r="B259" i="45"/>
  <c r="I244" i="45"/>
  <c r="H385" i="45"/>
  <c r="D357" i="45"/>
  <c r="C385" i="45"/>
  <c r="H356" i="45"/>
  <c r="G360" i="45"/>
  <c r="C328" i="45"/>
  <c r="D359" i="45"/>
  <c r="F327" i="45"/>
  <c r="D358" i="45"/>
  <c r="A327" i="45"/>
  <c r="F311" i="45"/>
  <c r="D297" i="45"/>
  <c r="B283" i="45"/>
  <c r="I268" i="45"/>
  <c r="G254" i="45"/>
  <c r="E240" i="45"/>
  <c r="C375" i="45"/>
  <c r="A345" i="45"/>
  <c r="I325" i="45"/>
  <c r="H315" i="45"/>
  <c r="D306" i="45"/>
  <c r="H296" i="45"/>
  <c r="D287" i="45"/>
  <c r="I277" i="45"/>
  <c r="D268" i="45"/>
  <c r="I385" i="45"/>
  <c r="D350" i="45"/>
  <c r="C331" i="45"/>
  <c r="E318" i="45"/>
  <c r="A309" i="45"/>
  <c r="E299" i="45"/>
  <c r="A290" i="45"/>
  <c r="F280" i="45"/>
  <c r="F360" i="45"/>
  <c r="F321" i="45"/>
  <c r="F302" i="45"/>
  <c r="G283" i="45"/>
  <c r="H268" i="45"/>
  <c r="D258" i="45"/>
  <c r="H248" i="45"/>
  <c r="D239" i="45"/>
  <c r="C232" i="45"/>
  <c r="G382" i="45"/>
  <c r="C354" i="45"/>
  <c r="B382" i="45"/>
  <c r="G353" i="45"/>
  <c r="E354" i="45"/>
  <c r="B325" i="45"/>
  <c r="B353" i="45"/>
  <c r="D325" i="45"/>
  <c r="A353" i="45"/>
  <c r="E324" i="45"/>
  <c r="C310" i="45"/>
  <c r="A296" i="45"/>
  <c r="H281" i="45"/>
  <c r="F267" i="45"/>
  <c r="D253" i="45"/>
  <c r="F239" i="45"/>
  <c r="A373" i="45"/>
  <c r="G343" i="45"/>
  <c r="H324" i="45"/>
  <c r="C315" i="45"/>
  <c r="G305" i="45"/>
  <c r="C296" i="45"/>
  <c r="H286" i="45"/>
  <c r="C277" i="45"/>
  <c r="H267" i="45"/>
  <c r="G383" i="45"/>
  <c r="A349" i="45"/>
  <c r="B330" i="45"/>
  <c r="I317" i="45"/>
  <c r="D308" i="45"/>
  <c r="I298" i="45"/>
  <c r="E396" i="45"/>
  <c r="I395" i="45"/>
  <c r="A382" i="45"/>
  <c r="G380" i="45"/>
  <c r="G379" i="45"/>
  <c r="I316" i="45"/>
  <c r="E288" i="45"/>
  <c r="A260" i="45"/>
  <c r="E389" i="45"/>
  <c r="A333" i="45"/>
  <c r="I309" i="45"/>
  <c r="I290" i="45"/>
  <c r="I271" i="45"/>
  <c r="D362" i="45"/>
  <c r="A322" i="45"/>
  <c r="A303" i="45"/>
  <c r="E286" i="45"/>
  <c r="B384" i="45"/>
  <c r="D320" i="45"/>
  <c r="E295" i="45"/>
  <c r="H272" i="45"/>
  <c r="G257" i="45"/>
  <c r="C245" i="45"/>
  <c r="E234" i="45"/>
  <c r="E226" i="45"/>
  <c r="D219" i="45"/>
  <c r="C212" i="45"/>
  <c r="B205" i="45"/>
  <c r="A198" i="45"/>
  <c r="I190" i="45"/>
  <c r="H183" i="45"/>
  <c r="F368" i="45"/>
  <c r="G323" i="45"/>
  <c r="G304" i="45"/>
  <c r="G285" i="45"/>
  <c r="D270" i="45"/>
  <c r="D259" i="45"/>
  <c r="A378" i="45"/>
  <c r="I377" i="45"/>
  <c r="E316" i="45"/>
  <c r="A288" i="45"/>
  <c r="F259" i="45"/>
  <c r="G394" i="45"/>
  <c r="B394" i="45"/>
  <c r="E378" i="45"/>
  <c r="B377" i="45"/>
  <c r="B376" i="45"/>
  <c r="C325" i="45"/>
  <c r="G310" i="45"/>
  <c r="E296" i="45"/>
  <c r="C282" i="45"/>
  <c r="A268" i="45"/>
  <c r="H253" i="45"/>
  <c r="B407" i="45"/>
  <c r="G378" i="45"/>
  <c r="F406" i="45"/>
  <c r="B378" i="45"/>
  <c r="D403" i="45"/>
  <c r="F349" i="45"/>
  <c r="A402" i="45"/>
  <c r="I348" i="45"/>
  <c r="A401" i="45"/>
  <c r="D348" i="45"/>
  <c r="C322" i="45"/>
  <c r="A308" i="45"/>
  <c r="H293" i="45"/>
  <c r="F279" i="45"/>
  <c r="D265" i="45"/>
  <c r="B251" i="45"/>
  <c r="G403" i="45"/>
  <c r="I365" i="45"/>
  <c r="B340" i="45"/>
  <c r="I322" i="45"/>
  <c r="E313" i="45"/>
  <c r="I303" i="45"/>
  <c r="E294" i="45"/>
  <c r="A285" i="45"/>
  <c r="E275" i="45"/>
  <c r="A266" i="45"/>
  <c r="F376" i="45"/>
  <c r="E345" i="45"/>
  <c r="F326" i="45"/>
  <c r="B316" i="45"/>
  <c r="F306" i="45"/>
  <c r="B297" i="45"/>
  <c r="G287" i="45"/>
  <c r="B278" i="45"/>
  <c r="A347" i="45"/>
  <c r="H316" i="45"/>
  <c r="I297" i="45"/>
  <c r="I278" i="45"/>
  <c r="G265" i="45"/>
  <c r="I255" i="45"/>
  <c r="E246" i="45"/>
  <c r="F237" i="45"/>
  <c r="A404" i="45"/>
  <c r="F375" i="45"/>
  <c r="E403" i="45"/>
  <c r="A375" i="45"/>
  <c r="B397" i="45"/>
  <c r="E346" i="45"/>
  <c r="H395" i="45"/>
  <c r="H345" i="45"/>
  <c r="G395" i="45"/>
  <c r="G345" i="45"/>
  <c r="I320" i="45"/>
  <c r="G306" i="45"/>
  <c r="E292" i="45"/>
  <c r="C278" i="45"/>
  <c r="A264" i="45"/>
  <c r="H249" i="45"/>
  <c r="E401" i="45"/>
  <c r="C363" i="45"/>
  <c r="A339" i="45"/>
  <c r="D322" i="45"/>
  <c r="H312" i="45"/>
  <c r="D303" i="45"/>
  <c r="I293" i="45"/>
  <c r="D284" i="45"/>
  <c r="I274" i="45"/>
  <c r="E265" i="45"/>
  <c r="I373" i="45"/>
  <c r="D344" i="45"/>
  <c r="E325" i="45"/>
  <c r="E315" i="45"/>
  <c r="A306" i="45"/>
  <c r="F296" i="45"/>
  <c r="C382" i="45"/>
  <c r="G381" i="45"/>
  <c r="F353" i="45"/>
  <c r="E352" i="45"/>
  <c r="I351" i="45"/>
  <c r="H309" i="45"/>
  <c r="D281" i="45"/>
  <c r="I252" i="45"/>
  <c r="D370" i="45"/>
  <c r="B324" i="45"/>
  <c r="B305" i="45"/>
  <c r="B286" i="45"/>
  <c r="C267" i="45"/>
  <c r="I347" i="45"/>
  <c r="C317" i="45"/>
  <c r="D298" i="45"/>
  <c r="E283" i="45"/>
  <c r="G355" i="45"/>
  <c r="E314" i="45"/>
  <c r="F289" i="45"/>
  <c r="B268" i="45"/>
  <c r="H254" i="45"/>
  <c r="D242" i="45"/>
  <c r="H231" i="45"/>
  <c r="G224" i="45"/>
  <c r="F217" i="45"/>
  <c r="E210" i="45"/>
  <c r="D203" i="45"/>
  <c r="C196" i="45"/>
  <c r="B189" i="45"/>
  <c r="A182" i="45"/>
  <c r="C351" i="45"/>
  <c r="I318" i="45"/>
  <c r="I299" i="45"/>
  <c r="A281" i="45"/>
  <c r="A267" i="45"/>
  <c r="A257" i="45"/>
  <c r="B351" i="45"/>
  <c r="E252" i="45"/>
  <c r="G350" i="45"/>
  <c r="G294" i="45"/>
  <c r="A400" i="45"/>
  <c r="B389" i="45"/>
  <c r="H386" i="45"/>
  <c r="C290" i="45"/>
  <c r="D394" i="45"/>
  <c r="A311" i="45"/>
  <c r="B273" i="45"/>
  <c r="C323" i="45"/>
  <c r="C285" i="45"/>
  <c r="B293" i="45"/>
  <c r="B244" i="45"/>
  <c r="D396" i="45"/>
  <c r="F381" i="45"/>
  <c r="D317" i="45"/>
  <c r="E260" i="45"/>
  <c r="D334" i="45"/>
  <c r="E291" i="45"/>
  <c r="F364" i="45"/>
  <c r="G303" i="45"/>
  <c r="I338" i="45"/>
  <c r="A351" i="45"/>
  <c r="E380" i="45"/>
  <c r="B350" i="45"/>
  <c r="E280" i="45"/>
  <c r="F371" i="45"/>
  <c r="E342" i="45"/>
  <c r="C341" i="45"/>
  <c r="A276" i="45"/>
  <c r="B356" i="45"/>
  <c r="F301" i="45"/>
  <c r="A405" i="45"/>
  <c r="G313" i="45"/>
  <c r="D398" i="45"/>
  <c r="C275" i="45"/>
  <c r="H235" i="45"/>
  <c r="I367" i="45"/>
  <c r="G338" i="45"/>
  <c r="B303" i="45"/>
  <c r="C246" i="45"/>
  <c r="D309" i="45"/>
  <c r="I379" i="45"/>
  <c r="B323" i="45"/>
  <c r="C266" i="45"/>
  <c r="E399" i="45"/>
  <c r="H387" i="45"/>
  <c r="G318" i="45"/>
  <c r="H261" i="45"/>
  <c r="E335" i="45"/>
  <c r="B292" i="45"/>
  <c r="H366" i="45"/>
  <c r="C304" i="45"/>
  <c r="E337" i="45"/>
  <c r="A263" i="45"/>
  <c r="I396" i="45"/>
  <c r="I382" i="45"/>
  <c r="E381" i="45"/>
  <c r="I288" i="45"/>
  <c r="G391" i="45"/>
  <c r="E310" i="45"/>
  <c r="F272" i="45"/>
  <c r="F322" i="45"/>
  <c r="A368" i="45"/>
  <c r="G337" i="45"/>
  <c r="B352" i="45"/>
  <c r="B400" i="45"/>
  <c r="I279" i="45"/>
  <c r="C264" i="45"/>
  <c r="I222" i="45"/>
  <c r="I206" i="45"/>
  <c r="G192" i="45"/>
  <c r="G387" i="45"/>
  <c r="E309" i="45"/>
  <c r="E273" i="45"/>
  <c r="C252" i="45"/>
  <c r="H242" i="45"/>
  <c r="H234" i="45"/>
  <c r="G227" i="45"/>
  <c r="F220" i="45"/>
  <c r="E213" i="45"/>
  <c r="D206" i="45"/>
  <c r="C199" i="45"/>
  <c r="B192" i="45"/>
  <c r="A185" i="45"/>
  <c r="G367" i="45"/>
  <c r="D304" i="45"/>
  <c r="A270" i="45"/>
  <c r="G249" i="45"/>
  <c r="I232" i="45"/>
  <c r="G218" i="45"/>
  <c r="E204" i="45"/>
  <c r="C190" i="45"/>
  <c r="B178" i="45"/>
  <c r="A171" i="45"/>
  <c r="I163" i="45"/>
  <c r="H156" i="45"/>
  <c r="G149" i="45"/>
  <c r="F142" i="45"/>
  <c r="E135" i="45"/>
  <c r="B372" i="45"/>
  <c r="F305" i="45"/>
  <c r="F407" i="45"/>
  <c r="A407" i="45"/>
  <c r="C404" i="45"/>
  <c r="I402" i="45"/>
  <c r="H402" i="45"/>
  <c r="G322" i="45"/>
  <c r="C294" i="45"/>
  <c r="H265" i="45"/>
  <c r="I405" i="45"/>
  <c r="E341" i="45"/>
  <c r="A314" i="45"/>
  <c r="A295" i="45"/>
  <c r="B276" i="45"/>
  <c r="H378" i="45"/>
  <c r="G327" i="45"/>
  <c r="C307" i="45"/>
  <c r="H288" i="45"/>
  <c r="C403" i="45"/>
  <c r="G325" i="45"/>
  <c r="C300" i="45"/>
  <c r="I275" i="45"/>
  <c r="B260" i="45"/>
  <c r="G247" i="45"/>
  <c r="C236" i="45"/>
  <c r="H227" i="45"/>
  <c r="G220" i="45"/>
  <c r="F213" i="45"/>
  <c r="E206" i="45"/>
  <c r="D199" i="45"/>
  <c r="C192" i="45"/>
  <c r="B185" i="45"/>
  <c r="H382" i="45"/>
  <c r="I329" i="45"/>
  <c r="C308" i="45"/>
  <c r="C289" i="45"/>
  <c r="G272" i="45"/>
  <c r="B261" i="45"/>
  <c r="G251" i="45"/>
  <c r="B242" i="45"/>
  <c r="D234" i="45"/>
  <c r="C227" i="45"/>
  <c r="B220" i="45"/>
  <c r="A213" i="45"/>
  <c r="I205" i="45"/>
  <c r="H198" i="45"/>
  <c r="G191" i="45"/>
  <c r="F184" i="45"/>
  <c r="I357" i="45"/>
  <c r="A302" i="45"/>
  <c r="F268" i="45"/>
  <c r="F248" i="45"/>
  <c r="A232" i="45"/>
  <c r="H217" i="45"/>
  <c r="F203" i="45"/>
  <c r="D189" i="45"/>
  <c r="G177" i="45"/>
  <c r="F170" i="45"/>
  <c r="E163" i="45"/>
  <c r="D156" i="45"/>
  <c r="C149" i="45"/>
  <c r="B142" i="45"/>
  <c r="A135" i="45"/>
  <c r="H362" i="45"/>
  <c r="C303" i="45"/>
  <c r="A372" i="45"/>
  <c r="I342" i="45"/>
  <c r="I280" i="45"/>
  <c r="D351" i="45"/>
  <c r="I308" i="45"/>
  <c r="A252" i="45"/>
  <c r="A371" i="45"/>
  <c r="H341" i="45"/>
  <c r="E304" i="45"/>
  <c r="F247" i="45"/>
  <c r="F320" i="45"/>
  <c r="F282" i="45"/>
  <c r="H340" i="45"/>
  <c r="H294" i="45"/>
  <c r="B312" i="45"/>
  <c r="F253" i="45"/>
  <c r="E368" i="45"/>
  <c r="D339" i="45"/>
  <c r="F338" i="45"/>
  <c r="G274" i="45"/>
  <c r="I353" i="45"/>
  <c r="A301" i="45"/>
  <c r="D402" i="45"/>
  <c r="B313" i="45"/>
  <c r="E367" i="45"/>
  <c r="G302" i="45"/>
  <c r="D319" i="45"/>
  <c r="D338" i="45"/>
  <c r="D342" i="45"/>
  <c r="H251" i="45"/>
  <c r="H215" i="45"/>
  <c r="F201" i="45"/>
  <c r="D187" i="45"/>
  <c r="G341" i="45"/>
  <c r="C295" i="45"/>
  <c r="B264" i="45"/>
  <c r="I249" i="45"/>
  <c r="D240" i="45"/>
  <c r="A233" i="45"/>
  <c r="I225" i="45"/>
  <c r="H218" i="45"/>
  <c r="G211" i="45"/>
  <c r="F204" i="45"/>
  <c r="E197" i="45"/>
  <c r="D190" i="45"/>
  <c r="C183" i="45"/>
  <c r="A341" i="45"/>
  <c r="I294" i="45"/>
  <c r="I263" i="45"/>
  <c r="A245" i="45"/>
  <c r="D229" i="45"/>
  <c r="B215" i="45"/>
  <c r="I200" i="45"/>
  <c r="G186" i="45"/>
  <c r="D176" i="45"/>
  <c r="C169" i="45"/>
  <c r="B162" i="45"/>
  <c r="A155" i="45"/>
  <c r="I147" i="45"/>
  <c r="H140" i="45"/>
  <c r="G133" i="45"/>
  <c r="E343" i="45"/>
  <c r="B296" i="45"/>
  <c r="D393" i="45"/>
  <c r="H392" i="45"/>
  <c r="H375" i="45"/>
  <c r="E374" i="45"/>
  <c r="D374" i="45"/>
  <c r="F315" i="45"/>
  <c r="B287" i="45"/>
  <c r="G258" i="45"/>
  <c r="C387" i="45"/>
  <c r="I331" i="45"/>
  <c r="C309" i="45"/>
  <c r="D290" i="45"/>
  <c r="D271" i="45"/>
  <c r="G359" i="45"/>
  <c r="E321" i="45"/>
  <c r="E302" i="45"/>
  <c r="I285" i="45"/>
  <c r="H374" i="45"/>
  <c r="C319" i="45"/>
  <c r="D294" i="45"/>
  <c r="C271" i="45"/>
  <c r="B257" i="45"/>
  <c r="G244" i="45"/>
  <c r="F233" i="45"/>
  <c r="A226" i="45"/>
  <c r="I218" i="45"/>
  <c r="H211" i="45"/>
  <c r="G204" i="45"/>
  <c r="F197" i="45"/>
  <c r="E190" i="45"/>
  <c r="D183" i="45"/>
  <c r="B364" i="45"/>
  <c r="E322" i="45"/>
  <c r="E303" i="45"/>
  <c r="F284" i="45"/>
  <c r="E269" i="45"/>
  <c r="H258" i="45"/>
  <c r="C249" i="45"/>
  <c r="H239" i="45"/>
  <c r="F232" i="45"/>
  <c r="E225" i="45"/>
  <c r="D218" i="45"/>
  <c r="C211" i="45"/>
  <c r="B204" i="45"/>
  <c r="A197" i="45"/>
  <c r="I189" i="45"/>
  <c r="H182" i="45"/>
  <c r="D336" i="45"/>
  <c r="F292" i="45"/>
  <c r="H262" i="45"/>
  <c r="H243" i="45"/>
  <c r="E228" i="45"/>
  <c r="C214" i="45"/>
  <c r="A200" i="45"/>
  <c r="H185" i="45"/>
  <c r="I175" i="45"/>
  <c r="H168" i="45"/>
  <c r="G161" i="45"/>
  <c r="F154" i="45"/>
  <c r="E147" i="45"/>
  <c r="D140" i="45"/>
  <c r="C133" i="45"/>
  <c r="H338" i="45"/>
  <c r="G293" i="45"/>
  <c r="I399" i="45"/>
  <c r="G388" i="45"/>
  <c r="I319" i="45"/>
  <c r="C338" i="45"/>
  <c r="E281" i="45"/>
  <c r="E282" i="45"/>
  <c r="G208" i="45"/>
  <c r="H406" i="45"/>
  <c r="A282" i="45"/>
  <c r="C274" i="45"/>
  <c r="F312" i="45"/>
  <c r="I238" i="45"/>
  <c r="H199" i="45"/>
  <c r="B332" i="45"/>
  <c r="G339" i="45"/>
  <c r="H245" i="45"/>
  <c r="F293" i="45"/>
  <c r="A230" i="45"/>
  <c r="E194" i="45"/>
  <c r="B314" i="45"/>
  <c r="F254" i="45"/>
  <c r="F236" i="45"/>
  <c r="D222" i="45"/>
  <c r="B208" i="45"/>
  <c r="I193" i="45"/>
  <c r="E405" i="45"/>
  <c r="D276" i="45"/>
  <c r="E236" i="45"/>
  <c r="A208" i="45"/>
  <c r="I179" i="45"/>
  <c r="G165" i="45"/>
  <c r="E151" i="45"/>
  <c r="C137" i="45"/>
  <c r="A315" i="45"/>
  <c r="I364" i="45"/>
  <c r="H335" i="45"/>
  <c r="A335" i="45"/>
  <c r="I272" i="45"/>
  <c r="H350" i="45"/>
  <c r="H299" i="45"/>
  <c r="I397" i="45"/>
  <c r="I311" i="45"/>
  <c r="D279" i="45"/>
  <c r="B306" i="45"/>
  <c r="G263" i="45"/>
  <c r="E238" i="45"/>
  <c r="E222" i="45"/>
  <c r="C208" i="45"/>
  <c r="A194" i="45"/>
  <c r="I401" i="45"/>
  <c r="A313" i="45"/>
  <c r="H275" i="45"/>
  <c r="A254" i="45"/>
  <c r="B236" i="45"/>
  <c r="I221" i="45"/>
  <c r="G207" i="45"/>
  <c r="E193" i="45"/>
  <c r="B396" i="45"/>
  <c r="H274" i="45"/>
  <c r="F235" i="45"/>
  <c r="B207" i="45"/>
  <c r="E179" i="45"/>
  <c r="C165" i="45"/>
  <c r="A151" i="45"/>
  <c r="H136" i="45"/>
  <c r="G312" i="45"/>
  <c r="A390" i="45"/>
  <c r="B319" i="45"/>
  <c r="C262" i="45"/>
  <c r="F336" i="45"/>
  <c r="G292" i="45"/>
  <c r="E369" i="45"/>
  <c r="H304" i="45"/>
  <c r="A389" i="45"/>
  <c r="G296" i="45"/>
  <c r="I258" i="45"/>
  <c r="I234" i="45"/>
  <c r="H219" i="45"/>
  <c r="F205" i="45"/>
  <c r="D191" i="45"/>
  <c r="E373" i="45"/>
  <c r="I305" i="45"/>
  <c r="A271" i="45"/>
  <c r="E250" i="45"/>
  <c r="E233" i="45"/>
  <c r="C219" i="45"/>
  <c r="A205" i="45"/>
  <c r="H190" i="45"/>
  <c r="I345" i="45"/>
  <c r="C265" i="45"/>
  <c r="C230" i="45"/>
  <c r="H201" i="45"/>
  <c r="H176" i="45"/>
  <c r="F162" i="45"/>
  <c r="D148" i="45"/>
  <c r="B134" i="45"/>
  <c r="E298" i="45"/>
  <c r="H259" i="45"/>
  <c r="H240" i="45"/>
  <c r="C226" i="45"/>
  <c r="A212" i="45"/>
  <c r="H197" i="45"/>
  <c r="F183" i="45"/>
  <c r="H174" i="45"/>
  <c r="G167" i="45"/>
  <c r="F160" i="45"/>
  <c r="E153" i="45"/>
  <c r="D146" i="45"/>
  <c r="C139" i="45"/>
  <c r="B132" i="45"/>
  <c r="A125" i="45"/>
  <c r="F294" i="45"/>
  <c r="H244" i="45"/>
  <c r="A215" i="45"/>
  <c r="F186" i="45"/>
  <c r="B169" i="45"/>
  <c r="I154" i="45"/>
  <c r="G140" i="45"/>
  <c r="F127" i="45"/>
  <c r="E119" i="45"/>
  <c r="D112" i="45"/>
  <c r="C105" i="45"/>
  <c r="B98" i="45"/>
  <c r="A91" i="45"/>
  <c r="I83" i="45"/>
  <c r="D389" i="45"/>
  <c r="H367" i="45"/>
  <c r="E365" i="45"/>
  <c r="I284" i="45"/>
  <c r="B380" i="45"/>
  <c r="E307" i="45"/>
  <c r="F269" i="45"/>
  <c r="G319" i="45"/>
  <c r="G284" i="45"/>
  <c r="A318" i="45"/>
  <c r="E270" i="45"/>
  <c r="E243" i="45"/>
  <c r="F225" i="45"/>
  <c r="D211" i="45"/>
  <c r="B197" i="45"/>
  <c r="I182" i="45"/>
  <c r="B294" i="45"/>
  <c r="D300" i="45"/>
  <c r="F308" i="45"/>
  <c r="A214" i="45"/>
  <c r="F185" i="45"/>
  <c r="E290" i="45"/>
  <c r="E247" i="45"/>
  <c r="C231" i="45"/>
  <c r="A217" i="45"/>
  <c r="H202" i="45"/>
  <c r="F188" i="45"/>
  <c r="D323" i="45"/>
  <c r="C259" i="45"/>
  <c r="H225" i="45"/>
  <c r="D197" i="45"/>
  <c r="F174" i="45"/>
  <c r="D160" i="45"/>
  <c r="B146" i="45"/>
  <c r="I131" i="45"/>
  <c r="F286" i="45"/>
  <c r="F378" i="45"/>
  <c r="D349" i="45"/>
  <c r="E308" i="45"/>
  <c r="F251" i="45"/>
  <c r="E323" i="45"/>
  <c r="F285" i="45"/>
  <c r="H346" i="45"/>
  <c r="G297" i="45"/>
  <c r="G351" i="45"/>
  <c r="C287" i="45"/>
  <c r="B254" i="45"/>
  <c r="D231" i="45"/>
  <c r="B217" i="45"/>
  <c r="I202" i="45"/>
  <c r="G188" i="45"/>
  <c r="H348" i="45"/>
  <c r="H298" i="45"/>
  <c r="D266" i="45"/>
  <c r="I246" i="45"/>
  <c r="H230" i="45"/>
  <c r="F216" i="45"/>
  <c r="D202" i="45"/>
  <c r="B188" i="45"/>
  <c r="A321" i="45"/>
  <c r="A258" i="45"/>
  <c r="I224" i="45"/>
  <c r="E196" i="45"/>
  <c r="B174" i="45"/>
  <c r="I159" i="45"/>
  <c r="G145" i="45"/>
  <c r="E131" i="45"/>
  <c r="C284" i="45"/>
  <c r="C342" i="45"/>
  <c r="I304" i="45"/>
  <c r="A248" i="45"/>
  <c r="B321" i="45"/>
  <c r="C283" i="45"/>
  <c r="I341" i="45"/>
  <c r="D295" i="45"/>
  <c r="F344" i="45"/>
  <c r="H284" i="45"/>
  <c r="D252" i="45"/>
  <c r="E230" i="45"/>
  <c r="C216" i="45"/>
  <c r="A202" i="45"/>
  <c r="H187" i="45"/>
  <c r="B344" i="45"/>
  <c r="D296" i="45"/>
  <c r="G264" i="45"/>
  <c r="G245" i="45"/>
  <c r="I229" i="45"/>
  <c r="G215" i="45"/>
  <c r="E201" i="45"/>
  <c r="C187" i="45"/>
  <c r="C316" i="45"/>
  <c r="G255" i="45"/>
  <c r="B223" i="45"/>
  <c r="G194" i="45"/>
  <c r="C173" i="45"/>
  <c r="A159" i="45"/>
  <c r="H144" i="45"/>
  <c r="F130" i="45"/>
  <c r="E279" i="45"/>
  <c r="A255" i="45"/>
  <c r="I236" i="45"/>
  <c r="G222" i="45"/>
  <c r="E208" i="45"/>
  <c r="C194" i="45"/>
  <c r="C180" i="45"/>
  <c r="A173" i="45"/>
  <c r="I165" i="45"/>
  <c r="H158" i="45"/>
  <c r="G151" i="45"/>
  <c r="F144" i="45"/>
  <c r="E137" i="45"/>
  <c r="D130" i="45"/>
  <c r="B404" i="45"/>
  <c r="C276" i="45"/>
  <c r="D236" i="45"/>
  <c r="I207" i="45"/>
  <c r="H179" i="45"/>
  <c r="F165" i="45"/>
  <c r="D151" i="45"/>
  <c r="B137" i="45"/>
  <c r="C125" i="45"/>
  <c r="G117" i="45"/>
  <c r="F110" i="45"/>
  <c r="E103" i="45"/>
  <c r="D96" i="45"/>
  <c r="C89" i="45"/>
  <c r="B82" i="45"/>
  <c r="I360" i="45"/>
  <c r="H331" i="45"/>
  <c r="F330" i="45"/>
  <c r="G270" i="45"/>
  <c r="C347" i="45"/>
  <c r="A298" i="45"/>
  <c r="H390" i="45"/>
  <c r="B310" i="45"/>
  <c r="H278" i="45"/>
  <c r="A305" i="45"/>
  <c r="E262" i="45"/>
  <c r="A238" i="45"/>
  <c r="A222" i="45"/>
  <c r="H207" i="45"/>
  <c r="F193" i="45"/>
  <c r="A397" i="45"/>
  <c r="F276" i="45"/>
  <c r="E229" i="45"/>
  <c r="A201" i="45"/>
  <c r="I313" i="45"/>
  <c r="C222" i="45"/>
  <c r="H172" i="45"/>
  <c r="D144" i="45"/>
  <c r="B277" i="45"/>
  <c r="B335" i="45"/>
  <c r="E244" i="45"/>
  <c r="H280" i="45"/>
  <c r="A293" i="45"/>
  <c r="C281" i="45"/>
  <c r="F229" i="45"/>
  <c r="B201" i="45"/>
  <c r="C339" i="45"/>
  <c r="E263" i="45"/>
  <c r="A229" i="45"/>
  <c r="F200" i="45"/>
  <c r="E311" i="45"/>
  <c r="D221" i="45"/>
  <c r="D172" i="45"/>
  <c r="I143" i="45"/>
  <c r="E400" i="45"/>
  <c r="G290" i="45"/>
  <c r="G311" i="45"/>
  <c r="H323" i="45"/>
  <c r="H322" i="45"/>
  <c r="I245" i="45"/>
  <c r="G212" i="45"/>
  <c r="C184" i="45"/>
  <c r="I286" i="45"/>
  <c r="A241" i="45"/>
  <c r="B212" i="45"/>
  <c r="G183" i="45"/>
  <c r="B246" i="45"/>
  <c r="F187" i="45"/>
  <c r="E155" i="45"/>
  <c r="B348" i="45"/>
  <c r="D250" i="45"/>
  <c r="B219" i="45"/>
  <c r="G190" i="45"/>
  <c r="C171" i="45"/>
  <c r="A157" i="45"/>
  <c r="H142" i="45"/>
  <c r="F128" i="45"/>
  <c r="H263" i="45"/>
  <c r="H200" i="45"/>
  <c r="A162" i="45"/>
  <c r="F133" i="45"/>
  <c r="I115" i="45"/>
  <c r="G101" i="45"/>
  <c r="E87" i="45"/>
  <c r="H388" i="45"/>
  <c r="D313" i="45"/>
  <c r="D328" i="45"/>
  <c r="F352" i="45"/>
  <c r="I369" i="45"/>
  <c r="F256" i="45"/>
  <c r="E218" i="45"/>
  <c r="A190" i="45"/>
  <c r="C321" i="45"/>
  <c r="D283" i="45"/>
  <c r="B258" i="45"/>
  <c r="C239" i="45"/>
  <c r="A225" i="45"/>
  <c r="H210" i="45"/>
  <c r="F196" i="45"/>
  <c r="D182" i="45"/>
  <c r="B290" i="45"/>
  <c r="F242" i="45"/>
  <c r="D213" i="45"/>
  <c r="I184" i="45"/>
  <c r="D168" i="45"/>
  <c r="B154" i="45"/>
  <c r="I139" i="45"/>
  <c r="I333" i="45"/>
  <c r="C269" i="45"/>
  <c r="B249" i="45"/>
  <c r="E232" i="45"/>
  <c r="C218" i="45"/>
  <c r="A204" i="45"/>
  <c r="H189" i="45"/>
  <c r="I177" i="45"/>
  <c r="H170" i="45"/>
  <c r="G163" i="45"/>
  <c r="F156" i="45"/>
  <c r="E149" i="45"/>
  <c r="D142" i="45"/>
  <c r="C135" i="45"/>
  <c r="B128" i="45"/>
  <c r="A331" i="45"/>
  <c r="E261" i="45"/>
  <c r="E227" i="45"/>
  <c r="A199" i="45"/>
  <c r="D175" i="45"/>
  <c r="B161" i="45"/>
  <c r="I146" i="45"/>
  <c r="G132" i="45"/>
  <c r="F122" i="45"/>
  <c r="E115" i="45"/>
  <c r="D108" i="45"/>
  <c r="C101" i="45"/>
  <c r="B94" i="45"/>
  <c r="A87" i="45"/>
  <c r="I79" i="45"/>
  <c r="H72" i="45"/>
  <c r="G65" i="45"/>
  <c r="G399" i="45"/>
  <c r="C357" i="45"/>
  <c r="H297" i="45"/>
  <c r="D316" i="45"/>
  <c r="F332" i="45"/>
  <c r="H332" i="45"/>
  <c r="E249" i="45"/>
  <c r="E214" i="45"/>
  <c r="A186" i="45"/>
  <c r="G291" i="45"/>
  <c r="D243" i="45"/>
  <c r="I213" i="45"/>
  <c r="E185" i="45"/>
  <c r="I250" i="45"/>
  <c r="B191" i="45"/>
  <c r="C157" i="45"/>
  <c r="I381" i="45"/>
  <c r="G252" i="45"/>
  <c r="I220" i="45"/>
  <c r="E192" i="45"/>
  <c r="B172" i="45"/>
  <c r="I157" i="45"/>
  <c r="G143" i="45"/>
  <c r="E129" i="45"/>
  <c r="I269" i="45"/>
  <c r="D204" i="45"/>
  <c r="H163" i="45"/>
  <c r="D135" i="45"/>
  <c r="H116" i="45"/>
  <c r="F102" i="45"/>
  <c r="D88" i="45"/>
  <c r="E75" i="45"/>
  <c r="B66" i="45"/>
  <c r="F328" i="45"/>
  <c r="E258" i="45"/>
  <c r="C225" i="45"/>
  <c r="H196" i="45"/>
  <c r="C174" i="45"/>
  <c r="A160" i="45"/>
  <c r="H145" i="45"/>
  <c r="F131" i="45"/>
  <c r="A122" i="45"/>
  <c r="I114" i="45"/>
  <c r="H107" i="45"/>
  <c r="G100" i="45"/>
  <c r="F93" i="45"/>
  <c r="E86" i="45"/>
  <c r="D79" i="45"/>
  <c r="C72" i="45"/>
  <c r="B65" i="45"/>
  <c r="A58" i="45"/>
  <c r="I50" i="45"/>
  <c r="H43" i="45"/>
  <c r="G36" i="45"/>
  <c r="F29" i="45"/>
  <c r="E22" i="45"/>
  <c r="D15" i="45"/>
  <c r="C8" i="45"/>
  <c r="E43" i="43"/>
  <c r="F13" i="43"/>
  <c r="D3" i="43"/>
  <c r="F52" i="38"/>
  <c r="E45" i="38"/>
  <c r="D38" i="38"/>
  <c r="C268" i="45"/>
  <c r="E203" i="45"/>
  <c r="A346" i="45"/>
  <c r="H277" i="45"/>
  <c r="H302" i="45"/>
  <c r="I314" i="45"/>
  <c r="I310" i="45"/>
  <c r="F240" i="45"/>
  <c r="F209" i="45"/>
  <c r="B181" i="45"/>
  <c r="F278" i="45"/>
  <c r="E237" i="45"/>
  <c r="A209" i="45"/>
  <c r="F180" i="45"/>
  <c r="C238" i="45"/>
  <c r="D181" i="45"/>
  <c r="D152" i="45"/>
  <c r="H319" i="45"/>
  <c r="H246" i="45"/>
  <c r="E216" i="45"/>
  <c r="A188" i="45"/>
  <c r="I169" i="45"/>
  <c r="G155" i="45"/>
  <c r="E141" i="45"/>
  <c r="C127" i="45"/>
  <c r="G256" i="45"/>
  <c r="E195" i="45"/>
  <c r="D159" i="45"/>
  <c r="I130" i="45"/>
  <c r="F114" i="45"/>
  <c r="D100" i="45"/>
  <c r="B86" i="45"/>
  <c r="G73" i="45"/>
  <c r="D64" i="45"/>
  <c r="G307" i="45"/>
  <c r="D251" i="45"/>
  <c r="I219" i="45"/>
  <c r="E191" i="45"/>
  <c r="F171" i="45"/>
  <c r="D157" i="45"/>
  <c r="B143" i="45"/>
  <c r="C129" i="45"/>
  <c r="G120" i="45"/>
  <c r="F113" i="45"/>
  <c r="E106" i="45"/>
  <c r="D99" i="45"/>
  <c r="C92" i="45"/>
  <c r="B85" i="45"/>
  <c r="A78" i="45"/>
  <c r="I70" i="45"/>
  <c r="H63" i="45"/>
  <c r="G56" i="45"/>
  <c r="F49" i="45"/>
  <c r="E42" i="45"/>
  <c r="D35" i="45"/>
  <c r="C28" i="45"/>
  <c r="B21" i="45"/>
  <c r="A14" i="45"/>
  <c r="I6" i="45"/>
  <c r="F40" i="43"/>
  <c r="A12" i="43"/>
  <c r="B1" i="43"/>
  <c r="C51" i="38"/>
  <c r="B44" i="38"/>
  <c r="A37" i="38"/>
  <c r="B253" i="45"/>
  <c r="A292" i="45"/>
  <c r="D324" i="45"/>
  <c r="A247" i="45"/>
  <c r="G184" i="45"/>
  <c r="F241" i="45"/>
  <c r="B184" i="45"/>
  <c r="E188" i="45"/>
  <c r="E353" i="45"/>
  <c r="A220" i="45"/>
  <c r="G171" i="45"/>
  <c r="C143" i="45"/>
  <c r="H266" i="45"/>
  <c r="I162" i="45"/>
  <c r="D116" i="45"/>
  <c r="I87" i="45"/>
  <c r="C65" i="45"/>
  <c r="B256" i="45"/>
  <c r="G261" i="45"/>
  <c r="B224" i="45"/>
  <c r="G195" i="45"/>
  <c r="E285" i="45"/>
  <c r="F211" i="45"/>
  <c r="E167" i="45"/>
  <c r="A139" i="45"/>
  <c r="B379" i="45"/>
  <c r="C349" i="45"/>
  <c r="B368" i="45"/>
  <c r="F266" i="45"/>
  <c r="D282" i="45"/>
  <c r="D267" i="45"/>
  <c r="C224" i="45"/>
  <c r="H195" i="45"/>
  <c r="G317" i="45"/>
  <c r="D256" i="45"/>
  <c r="G223" i="45"/>
  <c r="C195" i="45"/>
  <c r="A283" i="45"/>
  <c r="G210" i="45"/>
  <c r="A167" i="45"/>
  <c r="F138" i="45"/>
  <c r="E371" i="45"/>
  <c r="E276" i="45"/>
  <c r="B302" i="45"/>
  <c r="D314" i="45"/>
  <c r="G309" i="45"/>
  <c r="I239" i="45"/>
  <c r="B209" i="45"/>
  <c r="G180" i="45"/>
  <c r="E277" i="45"/>
  <c r="A237" i="45"/>
  <c r="F208" i="45"/>
  <c r="B180" i="45"/>
  <c r="D237" i="45"/>
  <c r="E180" i="45"/>
  <c r="I151" i="45"/>
  <c r="E317" i="45"/>
  <c r="F245" i="45"/>
  <c r="F215" i="45"/>
  <c r="B187" i="45"/>
  <c r="E169" i="45"/>
  <c r="C155" i="45"/>
  <c r="A141" i="45"/>
  <c r="H126" i="45"/>
  <c r="D254" i="45"/>
  <c r="G193" i="45"/>
  <c r="E158" i="45"/>
  <c r="A130" i="45"/>
  <c r="B114" i="45"/>
  <c r="I99" i="45"/>
  <c r="G85" i="45"/>
  <c r="D360" i="45"/>
  <c r="B299" i="45"/>
  <c r="A317" i="45"/>
  <c r="G333" i="45"/>
  <c r="C335" i="45"/>
  <c r="A250" i="45"/>
  <c r="I214" i="45"/>
  <c r="E186" i="45"/>
  <c r="H311" i="45"/>
  <c r="A275" i="45"/>
  <c r="E253" i="45"/>
  <c r="G235" i="45"/>
  <c r="E221" i="45"/>
  <c r="C207" i="45"/>
  <c r="A193" i="45"/>
  <c r="D386" i="45"/>
  <c r="C273" i="45"/>
  <c r="G234" i="45"/>
  <c r="C206" i="45"/>
  <c r="A179" i="45"/>
  <c r="H164" i="45"/>
  <c r="F150" i="45"/>
  <c r="D136" i="45"/>
  <c r="D310" i="45"/>
  <c r="D263" i="45"/>
  <c r="D244" i="45"/>
  <c r="I228" i="45"/>
  <c r="G214" i="45"/>
  <c r="E200" i="45"/>
  <c r="C186" i="45"/>
  <c r="B176" i="45"/>
  <c r="A169" i="45"/>
  <c r="I161" i="45"/>
  <c r="H154" i="45"/>
  <c r="G147" i="45"/>
  <c r="F140" i="45"/>
  <c r="E133" i="45"/>
  <c r="D126" i="45"/>
  <c r="H308" i="45"/>
  <c r="I251" i="45"/>
  <c r="D220" i="45"/>
  <c r="I191" i="45"/>
  <c r="H171" i="45"/>
  <c r="F157" i="45"/>
  <c r="D143" i="45"/>
  <c r="D129" i="45"/>
  <c r="H120" i="45"/>
  <c r="G113" i="45"/>
  <c r="F106" i="45"/>
  <c r="E99" i="45"/>
  <c r="D92" i="45"/>
  <c r="C85" i="45"/>
  <c r="B78" i="45"/>
  <c r="A71" i="45"/>
  <c r="I63" i="45"/>
  <c r="B338" i="45"/>
  <c r="G328" i="45"/>
  <c r="D269" i="45"/>
  <c r="E297" i="45"/>
  <c r="F309" i="45"/>
  <c r="H303" i="45"/>
  <c r="B237" i="45"/>
  <c r="D207" i="45"/>
  <c r="F392" i="45"/>
  <c r="B274" i="45"/>
  <c r="C235" i="45"/>
  <c r="H206" i="45"/>
  <c r="A377" i="45"/>
  <c r="H233" i="45"/>
  <c r="F178" i="45"/>
  <c r="B150" i="45"/>
  <c r="I307" i="45"/>
  <c r="C243" i="45"/>
  <c r="H213" i="45"/>
  <c r="D185" i="45"/>
  <c r="F168" i="45"/>
  <c r="D154" i="45"/>
  <c r="B140" i="45"/>
  <c r="I125" i="45"/>
  <c r="F249" i="45"/>
  <c r="B190" i="45"/>
  <c r="G156" i="45"/>
  <c r="H128" i="45"/>
  <c r="C113" i="45"/>
  <c r="A99" i="45"/>
  <c r="H84" i="45"/>
  <c r="C73" i="45"/>
  <c r="E63" i="45"/>
  <c r="I302" i="45"/>
  <c r="A249" i="45"/>
  <c r="B218" i="45"/>
  <c r="G189" i="45"/>
  <c r="G170" i="45"/>
  <c r="E156" i="45"/>
  <c r="C142" i="45"/>
  <c r="G128" i="45"/>
  <c r="C120" i="45"/>
  <c r="B113" i="45"/>
  <c r="A106" i="45"/>
  <c r="I98" i="45"/>
  <c r="H91" i="45"/>
  <c r="G84" i="45"/>
  <c r="F77" i="45"/>
  <c r="E70" i="45"/>
  <c r="D63" i="45"/>
  <c r="C56" i="45"/>
  <c r="B49" i="45"/>
  <c r="A42" i="45"/>
  <c r="I34" i="45"/>
  <c r="H27" i="45"/>
  <c r="G20" i="45"/>
  <c r="F13" i="45"/>
  <c r="E6" i="45"/>
  <c r="F39" i="43"/>
  <c r="D11" i="43"/>
  <c r="I57" i="38"/>
  <c r="H50" i="38"/>
  <c r="G43" i="38"/>
  <c r="F36" i="38"/>
  <c r="D248" i="45"/>
  <c r="C189" i="45"/>
  <c r="D345" i="45"/>
  <c r="D249" i="45"/>
  <c r="H283" i="45"/>
  <c r="I295" i="45"/>
  <c r="A286" i="45"/>
  <c r="I230" i="45"/>
  <c r="E202" i="45"/>
  <c r="D346" i="45"/>
  <c r="F265" i="45"/>
  <c r="D230" i="45"/>
  <c r="I201" i="45"/>
  <c r="F318" i="45"/>
  <c r="A224" i="45"/>
  <c r="G173" i="45"/>
  <c r="C145" i="45"/>
  <c r="I281" i="45"/>
  <c r="H237" i="45"/>
  <c r="D209" i="45"/>
  <c r="I180" i="45"/>
  <c r="D166" i="45"/>
  <c r="B152" i="45"/>
  <c r="I137" i="45"/>
  <c r="G123" i="45"/>
  <c r="B238" i="45"/>
  <c r="C181" i="45"/>
  <c r="C152" i="45"/>
  <c r="H125" i="45"/>
  <c r="A111" i="45"/>
  <c r="H96" i="45"/>
  <c r="F82" i="45"/>
  <c r="E71" i="45"/>
  <c r="G61" i="45"/>
  <c r="G288" i="45"/>
  <c r="I241" i="45"/>
  <c r="H212" i="45"/>
  <c r="D184" i="45"/>
  <c r="A168" i="45"/>
  <c r="H153" i="45"/>
  <c r="F139" i="45"/>
  <c r="I126" i="45"/>
  <c r="I118" i="45"/>
  <c r="H111" i="45"/>
  <c r="G104" i="45"/>
  <c r="F97" i="45"/>
  <c r="E90" i="45"/>
  <c r="D83" i="45"/>
  <c r="C76" i="45"/>
  <c r="B69" i="45"/>
  <c r="A62" i="45"/>
  <c r="I54" i="45"/>
  <c r="H47" i="45"/>
  <c r="G40" i="45"/>
  <c r="F33" i="45"/>
  <c r="E26" i="45"/>
  <c r="D19" i="45"/>
  <c r="C12" i="45"/>
  <c r="B5" i="45"/>
  <c r="D36" i="43"/>
  <c r="B9" i="43"/>
  <c r="F56" i="38"/>
  <c r="E49" i="38"/>
  <c r="D42" i="38"/>
  <c r="H394" i="45"/>
  <c r="F403" i="45"/>
  <c r="H398" i="45"/>
  <c r="C288" i="45"/>
  <c r="D227" i="45"/>
  <c r="E327" i="45"/>
  <c r="H226" i="45"/>
  <c r="B245" i="45"/>
  <c r="C215" i="45"/>
  <c r="H186" i="45"/>
  <c r="E254" i="45"/>
  <c r="H193" i="45"/>
  <c r="F158" i="45"/>
  <c r="B130" i="45"/>
  <c r="D364" i="45"/>
  <c r="D301" i="45"/>
  <c r="H318" i="45"/>
  <c r="C337" i="45"/>
  <c r="I339" i="45"/>
  <c r="F250" i="45"/>
  <c r="D215" i="45"/>
  <c r="I186" i="45"/>
  <c r="A294" i="45"/>
  <c r="F244" i="45"/>
  <c r="H214" i="45"/>
  <c r="D186" i="45"/>
  <c r="C253" i="45"/>
  <c r="I192" i="45"/>
  <c r="B158" i="45"/>
  <c r="F400" i="45"/>
  <c r="F388" i="45"/>
  <c r="F396" i="45"/>
  <c r="G273" i="45"/>
  <c r="A287" i="45"/>
  <c r="F273" i="45"/>
  <c r="I226" i="45"/>
  <c r="E198" i="45"/>
  <c r="A325" i="45"/>
  <c r="I259" i="45"/>
  <c r="D226" i="45"/>
  <c r="I197" i="45"/>
  <c r="C297" i="45"/>
  <c r="A216" i="45"/>
  <c r="G169" i="45"/>
  <c r="C141" i="45"/>
  <c r="I270" i="45"/>
  <c r="D233" i="45"/>
  <c r="I204" i="45"/>
  <c r="D178" i="45"/>
  <c r="B164" i="45"/>
  <c r="I149" i="45"/>
  <c r="G135" i="45"/>
  <c r="F340" i="45"/>
  <c r="C229" i="45"/>
  <c r="C176" i="45"/>
  <c r="H147" i="45"/>
  <c r="A123" i="45"/>
  <c r="H108" i="45"/>
  <c r="F94" i="45"/>
  <c r="D80" i="45"/>
  <c r="E366" i="45"/>
  <c r="E256" i="45"/>
  <c r="F288" i="45"/>
  <c r="G300" i="45"/>
  <c r="I291" i="45"/>
  <c r="B233" i="45"/>
  <c r="C204" i="45"/>
  <c r="C359" i="45"/>
  <c r="D302" i="45"/>
  <c r="G268" i="45"/>
  <c r="G248" i="45"/>
  <c r="B232" i="45"/>
  <c r="I217" i="45"/>
  <c r="G203" i="45"/>
  <c r="E189" i="45"/>
  <c r="G331" i="45"/>
  <c r="F261" i="45"/>
  <c r="F227" i="45"/>
  <c r="B199" i="45"/>
  <c r="E175" i="45"/>
  <c r="C161" i="45"/>
  <c r="A147" i="45"/>
  <c r="H132" i="45"/>
  <c r="D291" i="45"/>
  <c r="F258" i="45"/>
  <c r="G239" i="45"/>
  <c r="D225" i="45"/>
  <c r="B211" i="45"/>
  <c r="I196" i="45"/>
  <c r="G182" i="45"/>
  <c r="D174" i="45"/>
  <c r="C167" i="45"/>
  <c r="B160" i="45"/>
  <c r="A153" i="45"/>
  <c r="I145" i="45"/>
  <c r="H138" i="45"/>
  <c r="G131" i="45"/>
  <c r="F124" i="45"/>
  <c r="I289" i="45"/>
  <c r="E242" i="45"/>
  <c r="C213" i="45"/>
  <c r="H184" i="45"/>
  <c r="C168" i="45"/>
  <c r="A154" i="45"/>
  <c r="H139" i="45"/>
  <c r="A127" i="45"/>
  <c r="A119" i="45"/>
  <c r="I111" i="45"/>
  <c r="H104" i="45"/>
  <c r="G97" i="45"/>
  <c r="F90" i="45"/>
  <c r="E83" i="45"/>
  <c r="D76" i="45"/>
  <c r="C69" i="45"/>
  <c r="B62" i="45"/>
  <c r="D312" i="45"/>
  <c r="A328" i="45"/>
  <c r="I240" i="45"/>
  <c r="E278" i="45"/>
  <c r="F290" i="45"/>
  <c r="G277" i="45"/>
  <c r="G228" i="45"/>
  <c r="C200" i="45"/>
  <c r="F334" i="45"/>
  <c r="D262" i="45"/>
  <c r="B228" i="45"/>
  <c r="G199" i="45"/>
  <c r="H306" i="45"/>
  <c r="F219" i="45"/>
  <c r="E171" i="45"/>
  <c r="A143" i="45"/>
  <c r="A274" i="45"/>
  <c r="B235" i="45"/>
  <c r="G206" i="45"/>
  <c r="C179" i="45"/>
  <c r="A165" i="45"/>
  <c r="H150" i="45"/>
  <c r="F136" i="45"/>
  <c r="D366" i="45"/>
  <c r="H232" i="45"/>
  <c r="A178" i="45"/>
  <c r="F149" i="45"/>
  <c r="A124" i="45"/>
  <c r="G109" i="45"/>
  <c r="E95" i="45"/>
  <c r="C81" i="45"/>
  <c r="F70" i="45"/>
  <c r="C61" i="45"/>
  <c r="I283" i="45"/>
  <c r="E239" i="45"/>
  <c r="A211" i="45"/>
  <c r="F182" i="45"/>
  <c r="B167" i="45"/>
  <c r="I152" i="45"/>
  <c r="G138" i="45"/>
  <c r="C126" i="45"/>
  <c r="E118" i="45"/>
  <c r="D111" i="45"/>
  <c r="C104" i="45"/>
  <c r="B97" i="45"/>
  <c r="A90" i="45"/>
  <c r="I82" i="45"/>
  <c r="H75" i="45"/>
  <c r="G68" i="45"/>
  <c r="F61" i="45"/>
  <c r="E54" i="45"/>
  <c r="D47" i="45"/>
  <c r="C40" i="45"/>
  <c r="B33" i="45"/>
  <c r="A26" i="45"/>
  <c r="I18" i="45"/>
  <c r="H11" i="45"/>
  <c r="G4" i="45"/>
  <c r="E35" i="43"/>
  <c r="E8" i="43"/>
  <c r="B56" i="38"/>
  <c r="A49" i="38"/>
  <c r="I41" i="38"/>
  <c r="A357" i="45"/>
  <c r="I231" i="45"/>
  <c r="B375" i="45"/>
  <c r="H344" i="45"/>
  <c r="A361" i="45"/>
  <c r="H264" i="45"/>
  <c r="G281" i="45"/>
  <c r="E266" i="45"/>
  <c r="H223" i="45"/>
  <c r="D195" i="45"/>
  <c r="F316" i="45"/>
  <c r="H255" i="45"/>
  <c r="C223" i="45"/>
  <c r="H194" i="45"/>
  <c r="G280" i="45"/>
  <c r="H209" i="45"/>
  <c r="F166" i="45"/>
  <c r="B138" i="45"/>
  <c r="B266" i="45"/>
  <c r="G230" i="45"/>
  <c r="C202" i="45"/>
  <c r="A177" i="45"/>
  <c r="H162" i="45"/>
  <c r="F148" i="45"/>
  <c r="D134" i="45"/>
  <c r="D318" i="45"/>
  <c r="I223" i="45"/>
  <c r="F173" i="45"/>
  <c r="B145" i="45"/>
  <c r="G121" i="45"/>
  <c r="E107" i="45"/>
  <c r="C93" i="45"/>
  <c r="A79" i="45"/>
  <c r="H68" i="45"/>
  <c r="E59" i="45"/>
  <c r="C272" i="45"/>
  <c r="B234" i="45"/>
  <c r="G205" i="45"/>
  <c r="G178" i="45"/>
  <c r="E164" i="45"/>
  <c r="C150" i="45"/>
  <c r="A136" i="45"/>
  <c r="E124" i="45"/>
  <c r="B117" i="45"/>
  <c r="A110" i="45"/>
  <c r="I102" i="45"/>
  <c r="H95" i="45"/>
  <c r="G88" i="45"/>
  <c r="F81" i="45"/>
  <c r="E74" i="45"/>
  <c r="D67" i="45"/>
  <c r="C60" i="45"/>
  <c r="B53" i="45"/>
  <c r="A46" i="45"/>
  <c r="I38" i="45"/>
  <c r="H31" i="45"/>
  <c r="G24" i="45"/>
  <c r="F17" i="45"/>
  <c r="E10" i="45"/>
  <c r="D3" i="45"/>
  <c r="B17" i="43"/>
  <c r="C6" i="43"/>
  <c r="H54" i="38"/>
  <c r="G47" i="38"/>
  <c r="F40" i="38"/>
  <c r="C311" i="45"/>
  <c r="C396" i="45"/>
  <c r="C312" i="45"/>
  <c r="I323" i="45"/>
  <c r="B213" i="45"/>
  <c r="B288" i="45"/>
  <c r="F212" i="45"/>
  <c r="D238" i="45"/>
  <c r="I209" i="45"/>
  <c r="E181" i="45"/>
  <c r="C240" i="45"/>
  <c r="B183" i="45"/>
  <c r="C153" i="45"/>
  <c r="F324" i="45"/>
  <c r="A350" i="45"/>
  <c r="A280" i="45"/>
  <c r="F304" i="45"/>
  <c r="G316" i="45"/>
  <c r="C313" i="45"/>
  <c r="B241" i="45"/>
  <c r="A210" i="45"/>
  <c r="F181" i="45"/>
  <c r="H279" i="45"/>
  <c r="I237" i="45"/>
  <c r="E209" i="45"/>
  <c r="A181" i="45"/>
  <c r="B239" i="45"/>
  <c r="C182" i="45"/>
  <c r="H152" i="45"/>
  <c r="B322" i="45"/>
  <c r="B342" i="45"/>
  <c r="H358" i="45"/>
  <c r="C407" i="45"/>
  <c r="B281" i="45"/>
  <c r="A265" i="45"/>
  <c r="D223" i="45"/>
  <c r="I194" i="45"/>
  <c r="D315" i="45"/>
  <c r="C255" i="45"/>
  <c r="H222" i="45"/>
  <c r="D194" i="45"/>
  <c r="D278" i="45"/>
  <c r="I208" i="45"/>
  <c r="B166" i="45"/>
  <c r="G137" i="45"/>
  <c r="F264" i="45"/>
  <c r="H229" i="45"/>
  <c r="D201" i="45"/>
  <c r="F176" i="45"/>
  <c r="D162" i="45"/>
  <c r="B148" i="45"/>
  <c r="I133" i="45"/>
  <c r="F313" i="45"/>
  <c r="B222" i="45"/>
  <c r="G172" i="45"/>
  <c r="C144" i="45"/>
  <c r="C121" i="45"/>
  <c r="A107" i="45"/>
  <c r="H92" i="45"/>
  <c r="F78" i="45"/>
  <c r="B331" i="45"/>
  <c r="C242" i="45"/>
  <c r="A279" i="45"/>
  <c r="C291" i="45"/>
  <c r="B280" i="45"/>
  <c r="B229" i="45"/>
  <c r="G200" i="45"/>
  <c r="A337" i="45"/>
  <c r="H292" i="45"/>
  <c r="I262" i="45"/>
  <c r="I243" i="45"/>
  <c r="F228" i="45"/>
  <c r="D214" i="45"/>
  <c r="B200" i="45"/>
  <c r="I185" i="45"/>
  <c r="B309" i="45"/>
  <c r="B252" i="45"/>
  <c r="E220" i="45"/>
  <c r="A192" i="45"/>
  <c r="I171" i="45"/>
  <c r="G157" i="45"/>
  <c r="E143" i="45"/>
  <c r="C391" i="45"/>
  <c r="G275" i="45"/>
  <c r="I253" i="45"/>
  <c r="A236" i="45"/>
  <c r="H221" i="45"/>
  <c r="F207" i="45"/>
  <c r="D193" i="45"/>
  <c r="G179" i="45"/>
  <c r="F172" i="45"/>
  <c r="E165" i="45"/>
  <c r="D158" i="45"/>
  <c r="C151" i="45"/>
  <c r="B144" i="45"/>
  <c r="A137" i="45"/>
  <c r="I129" i="45"/>
  <c r="E385" i="45"/>
  <c r="A273" i="45"/>
  <c r="F234" i="45"/>
  <c r="B206" i="45"/>
  <c r="I178" i="45"/>
  <c r="G164" i="45"/>
  <c r="E150" i="45"/>
  <c r="C136" i="45"/>
  <c r="G124" i="45"/>
  <c r="C117" i="45"/>
  <c r="B110" i="45"/>
  <c r="A103" i="45"/>
  <c r="I95" i="45"/>
  <c r="H88" i="45"/>
  <c r="G81" i="45"/>
  <c r="F74" i="45"/>
  <c r="E67" i="45"/>
  <c r="D60" i="45"/>
  <c r="H357" i="45"/>
  <c r="I327" i="45"/>
  <c r="B346" i="45"/>
  <c r="B388" i="45"/>
  <c r="F277" i="45"/>
  <c r="I261" i="45"/>
  <c r="F221" i="45"/>
  <c r="B193" i="45"/>
  <c r="F310" i="45"/>
  <c r="H252" i="45"/>
  <c r="A221" i="45"/>
  <c r="F192" i="45"/>
  <c r="G271" i="45"/>
  <c r="D205" i="45"/>
  <c r="D164" i="45"/>
  <c r="I135" i="45"/>
  <c r="B262" i="45"/>
  <c r="A228" i="45"/>
  <c r="F199" i="45"/>
  <c r="G175" i="45"/>
  <c r="E161" i="45"/>
  <c r="C147" i="45"/>
  <c r="A133" i="45"/>
  <c r="B304" i="45"/>
  <c r="F218" i="45"/>
  <c r="I170" i="45"/>
  <c r="E142" i="45"/>
  <c r="D120" i="45"/>
  <c r="B106" i="45"/>
  <c r="I91" i="45"/>
  <c r="G77" i="45"/>
  <c r="D68" i="45"/>
  <c r="A59" i="45"/>
  <c r="B269" i="45"/>
  <c r="D232" i="45"/>
  <c r="I203" i="45"/>
  <c r="H177" i="45"/>
  <c r="F163" i="45"/>
  <c r="D149" i="45"/>
  <c r="B135" i="45"/>
  <c r="I123" i="45"/>
  <c r="G116" i="45"/>
  <c r="F109" i="45"/>
  <c r="E102" i="45"/>
  <c r="D95" i="45"/>
  <c r="C88" i="45"/>
  <c r="B81" i="45"/>
  <c r="A74" i="45"/>
  <c r="I66" i="45"/>
  <c r="H59" i="45"/>
  <c r="G52" i="45"/>
  <c r="F45" i="45"/>
  <c r="E38" i="45"/>
  <c r="D31" i="45"/>
  <c r="C24" i="45"/>
  <c r="B17" i="45"/>
  <c r="A10" i="45"/>
  <c r="I2" i="45"/>
  <c r="E16" i="43"/>
  <c r="F5" i="43"/>
  <c r="D54" i="38"/>
  <c r="C47" i="38"/>
  <c r="B40" i="38"/>
  <c r="G301" i="45"/>
  <c r="G217" i="45"/>
  <c r="F374" i="45"/>
  <c r="C306" i="45"/>
  <c r="G321" i="45"/>
  <c r="C343" i="45"/>
  <c r="E349" i="45"/>
  <c r="A253" i="45"/>
  <c r="G216" i="45"/>
  <c r="C188" i="45"/>
  <c r="F297" i="45"/>
  <c r="D246" i="45"/>
  <c r="B216" i="45"/>
  <c r="G187" i="45"/>
  <c r="H256" i="45"/>
  <c r="F195" i="45"/>
  <c r="E159" i="45"/>
  <c r="A131" i="45"/>
  <c r="C256" i="45"/>
  <c r="F223" i="45"/>
  <c r="B195" i="45"/>
  <c r="E173" i="45"/>
  <c r="C159" i="45"/>
  <c r="A145" i="45"/>
  <c r="H130" i="45"/>
  <c r="D280" i="45"/>
  <c r="G209" i="45"/>
  <c r="E166" i="45"/>
  <c r="A138" i="45"/>
  <c r="B118" i="45"/>
  <c r="I103" i="45"/>
  <c r="G89" i="45"/>
  <c r="I75" i="45"/>
  <c r="F66" i="45"/>
  <c r="G347" i="45"/>
  <c r="H260" i="45"/>
  <c r="A227" i="45"/>
  <c r="F198" i="45"/>
  <c r="B175" i="45"/>
  <c r="I160" i="45"/>
  <c r="G146" i="45"/>
  <c r="E132" i="45"/>
  <c r="E122" i="45"/>
  <c r="D115" i="45"/>
  <c r="C108" i="45"/>
  <c r="B101" i="45"/>
  <c r="A94" i="45"/>
  <c r="I86" i="45"/>
  <c r="H79" i="45"/>
  <c r="G72" i="45"/>
  <c r="F65" i="45"/>
  <c r="E58" i="45"/>
  <c r="D51" i="45"/>
  <c r="C44" i="45"/>
  <c r="B37" i="45"/>
  <c r="A30" i="45"/>
  <c r="I22" i="45"/>
  <c r="H15" i="45"/>
  <c r="G8" i="45"/>
  <c r="E44" i="43"/>
  <c r="C14" i="43"/>
  <c r="A4" i="43"/>
  <c r="A53" i="38"/>
  <c r="I45" i="38"/>
  <c r="H38" i="38"/>
  <c r="F274" i="45"/>
  <c r="I393" i="45"/>
  <c r="D274" i="45"/>
  <c r="E274" i="45"/>
  <c r="I198" i="45"/>
  <c r="F260" i="45"/>
  <c r="D198" i="45"/>
  <c r="I216" i="45"/>
  <c r="G141" i="45"/>
  <c r="C234" i="45"/>
  <c r="H178" i="45"/>
  <c r="D150" i="45"/>
  <c r="I349" i="45"/>
  <c r="B177" i="45"/>
  <c r="E123" i="45"/>
  <c r="A95" i="45"/>
  <c r="B70" i="45"/>
  <c r="C279" i="45"/>
  <c r="C209" i="45"/>
  <c r="G299" i="45"/>
  <c r="D272" i="45"/>
  <c r="F164" i="45"/>
  <c r="A231" i="45"/>
  <c r="C109" i="45"/>
  <c r="H60" i="45"/>
  <c r="A195" i="45"/>
  <c r="B159" i="45"/>
  <c r="G130" i="45"/>
  <c r="E114" i="45"/>
  <c r="C100" i="45"/>
  <c r="A86" i="45"/>
  <c r="H71" i="45"/>
  <c r="F57" i="45"/>
  <c r="D43" i="45"/>
  <c r="B29" i="45"/>
  <c r="I14" i="45"/>
  <c r="F42" i="43"/>
  <c r="C2" i="43"/>
  <c r="A45" i="38"/>
  <c r="F262" i="45"/>
  <c r="D179" i="45"/>
  <c r="I150" i="45"/>
  <c r="I124" i="45"/>
  <c r="D110" i="45"/>
  <c r="B96" i="45"/>
  <c r="I81" i="45"/>
  <c r="G67" i="45"/>
  <c r="C55" i="45"/>
  <c r="H45" i="45"/>
  <c r="D36" i="45"/>
  <c r="H26" i="45"/>
  <c r="D17" i="45"/>
  <c r="I7" i="45"/>
  <c r="F35" i="43"/>
  <c r="D4" i="43"/>
  <c r="A51" i="38"/>
  <c r="F41" i="38"/>
  <c r="I32" i="38"/>
  <c r="H25" i="38"/>
  <c r="G18" i="38"/>
  <c r="F11" i="38"/>
  <c r="E4" i="38"/>
  <c r="H21" i="37"/>
  <c r="H13" i="37"/>
  <c r="H5" i="37"/>
  <c r="E271" i="45"/>
  <c r="C205" i="45"/>
  <c r="C164" i="45"/>
  <c r="H135" i="45"/>
  <c r="A117" i="45"/>
  <c r="H102" i="45"/>
  <c r="F88" i="45"/>
  <c r="D74" i="45"/>
  <c r="B60" i="45"/>
  <c r="C50" i="45"/>
  <c r="H40" i="45"/>
  <c r="C31" i="45"/>
  <c r="H21" i="45"/>
  <c r="D12" i="45"/>
  <c r="H2" i="45"/>
  <c r="A14" i="43"/>
  <c r="C57" i="38"/>
  <c r="H47" i="38"/>
  <c r="C38" i="38"/>
  <c r="E30" i="38"/>
  <c r="D23" i="38"/>
  <c r="C16" i="38"/>
  <c r="B9" i="38"/>
  <c r="F26" i="37"/>
  <c r="F18" i="37"/>
  <c r="F10" i="37"/>
  <c r="F2" i="37"/>
  <c r="D192" i="45"/>
  <c r="F129" i="45"/>
  <c r="F99" i="45"/>
  <c r="B71" i="45"/>
  <c r="A48" i="45"/>
  <c r="A29" i="45"/>
  <c r="B10" i="45"/>
  <c r="C4" i="43"/>
  <c r="D41" i="38"/>
  <c r="G25" i="38"/>
  <c r="E11" i="38"/>
  <c r="G21" i="37"/>
  <c r="G5" i="37"/>
  <c r="A203" i="45"/>
  <c r="G134" i="45"/>
  <c r="C102" i="45"/>
  <c r="H73" i="45"/>
  <c r="H49" i="45"/>
  <c r="H30" i="45"/>
  <c r="I11" i="45"/>
  <c r="F12" i="43"/>
  <c r="I47" i="38"/>
  <c r="F30" i="38"/>
  <c r="D16" i="38"/>
  <c r="C27" i="37"/>
  <c r="C11" i="37"/>
  <c r="H204" i="45"/>
  <c r="G102" i="45"/>
  <c r="B50" i="45"/>
  <c r="B12" i="45"/>
  <c r="D49" i="38"/>
  <c r="E17" i="38"/>
  <c r="E12" i="37"/>
  <c r="G25" i="36"/>
  <c r="G17" i="36"/>
  <c r="G9" i="36"/>
  <c r="H1" i="36"/>
  <c r="A28" i="35"/>
  <c r="G21" i="35"/>
  <c r="C15" i="35"/>
  <c r="I8" i="35"/>
  <c r="F7" i="34"/>
  <c r="G229" i="45"/>
  <c r="C360" i="45"/>
  <c r="I287" i="45"/>
  <c r="H290" i="45"/>
  <c r="H203" i="45"/>
  <c r="I267" i="45"/>
  <c r="C203" i="45"/>
  <c r="G226" i="45"/>
  <c r="F146" i="45"/>
  <c r="G238" i="45"/>
  <c r="H181" i="45"/>
  <c r="F152" i="45"/>
  <c r="B124" i="45"/>
  <c r="A183" i="45"/>
  <c r="E126" i="45"/>
  <c r="C97" i="45"/>
  <c r="I71" i="45"/>
  <c r="E293" i="45"/>
  <c r="F214" i="45"/>
  <c r="I168" i="45"/>
  <c r="E140" i="45"/>
  <c r="D119" i="45"/>
  <c r="B105" i="45"/>
  <c r="I90" i="45"/>
  <c r="G76" i="45"/>
  <c r="E62" i="45"/>
  <c r="C48" i="45"/>
  <c r="A34" i="45"/>
  <c r="H19" i="45"/>
  <c r="F5" i="45"/>
  <c r="F9" i="43"/>
  <c r="I49" i="38"/>
  <c r="G35" i="38"/>
  <c r="I199" i="45"/>
  <c r="H159" i="45"/>
  <c r="D131" i="45"/>
  <c r="H114" i="45"/>
  <c r="F100" i="45"/>
  <c r="D86" i="45"/>
  <c r="B72" i="45"/>
  <c r="C58" i="45"/>
  <c r="H48" i="45"/>
  <c r="C39" i="45"/>
  <c r="H29" i="45"/>
  <c r="D20" i="45"/>
  <c r="H10" i="45"/>
  <c r="E41" i="43"/>
  <c r="C8" i="43"/>
  <c r="A54" i="38"/>
  <c r="E44" i="38"/>
  <c r="B35" i="38"/>
  <c r="A28" i="38"/>
  <c r="I20" i="38"/>
  <c r="H13" i="38"/>
  <c r="G6" i="38"/>
  <c r="D24" i="37"/>
  <c r="D16" i="37"/>
  <c r="D8" i="37"/>
  <c r="I315" i="45"/>
  <c r="A223" i="45"/>
  <c r="B173" i="45"/>
  <c r="G144" i="45"/>
  <c r="E121" i="45"/>
  <c r="C107" i="45"/>
  <c r="A93" i="45"/>
  <c r="H78" i="45"/>
  <c r="F64" i="45"/>
  <c r="C53" i="45"/>
  <c r="G43" i="45"/>
  <c r="C34" i="45"/>
  <c r="H24" i="45"/>
  <c r="C15" i="45"/>
  <c r="H5" i="45"/>
  <c r="E18" i="43"/>
  <c r="B4" i="43"/>
  <c r="G50" i="38"/>
  <c r="C41" i="38"/>
  <c r="G32" i="38"/>
  <c r="F25" i="38"/>
  <c r="E18" i="38"/>
  <c r="D11" i="38"/>
  <c r="C4" i="38"/>
  <c r="B21" i="37"/>
  <c r="B13" i="37"/>
  <c r="B5" i="37"/>
  <c r="I227" i="45"/>
  <c r="B147" i="45"/>
  <c r="E108" i="45"/>
  <c r="A80" i="45"/>
  <c r="I53" i="45"/>
  <c r="A35" i="45"/>
  <c r="A16" i="45"/>
  <c r="D16" i="43"/>
  <c r="D47" i="38"/>
  <c r="B30" i="38"/>
  <c r="I15" i="38"/>
  <c r="G26" i="37"/>
  <c r="G10" i="37"/>
  <c r="F238" i="45"/>
  <c r="E152" i="45"/>
  <c r="B111" i="45"/>
  <c r="G82" i="45"/>
  <c r="G55" i="45"/>
  <c r="H36" i="45"/>
  <c r="H17" i="45"/>
  <c r="D39" i="43"/>
  <c r="H53" i="38"/>
  <c r="A35" i="38"/>
  <c r="H20" i="38"/>
  <c r="F6" i="38"/>
  <c r="C16" i="37"/>
  <c r="C305" i="45"/>
  <c r="E120" i="45"/>
  <c r="F63" i="45"/>
  <c r="A24" i="45"/>
  <c r="D5" i="43"/>
  <c r="D26" i="38"/>
  <c r="E22" i="37"/>
  <c r="C28" i="36"/>
  <c r="C20" i="36"/>
  <c r="C12" i="36"/>
  <c r="C4" i="36"/>
  <c r="A30" i="35"/>
  <c r="G23" i="35"/>
  <c r="C17" i="35"/>
  <c r="I10" i="35"/>
  <c r="B10" i="34"/>
  <c r="B2" i="34"/>
  <c r="H127" i="45"/>
  <c r="I337" i="45"/>
  <c r="C220" i="45"/>
  <c r="G219" i="45"/>
  <c r="A163" i="45"/>
  <c r="G198" i="45"/>
  <c r="F132" i="45"/>
  <c r="F141" i="45"/>
  <c r="C77" i="45"/>
  <c r="F230" i="45"/>
  <c r="E148" i="45"/>
  <c r="B109" i="45"/>
  <c r="G80" i="45"/>
  <c r="C52" i="45"/>
  <c r="D247" i="45"/>
  <c r="E251" i="45"/>
  <c r="E157" i="45"/>
  <c r="F202" i="45"/>
  <c r="B102" i="45"/>
  <c r="I321" i="45"/>
  <c r="H180" i="45"/>
  <c r="A152" i="45"/>
  <c r="G125" i="45"/>
  <c r="I110" i="45"/>
  <c r="G96" i="45"/>
  <c r="E82" i="45"/>
  <c r="C68" i="45"/>
  <c r="A54" i="45"/>
  <c r="H39" i="45"/>
  <c r="F25" i="45"/>
  <c r="D11" i="45"/>
  <c r="C18" i="43"/>
  <c r="G55" i="38"/>
  <c r="E41" i="38"/>
  <c r="E235" i="45"/>
  <c r="C172" i="45"/>
  <c r="H143" i="45"/>
  <c r="A121" i="45"/>
  <c r="H106" i="45"/>
  <c r="F92" i="45"/>
  <c r="D78" i="45"/>
  <c r="B64" i="45"/>
  <c r="I52" i="45"/>
  <c r="E43" i="45"/>
  <c r="I33" i="45"/>
  <c r="E24" i="45"/>
  <c r="A15" i="45"/>
  <c r="E5" i="45"/>
  <c r="B15" i="43"/>
  <c r="D1" i="43"/>
  <c r="G48" i="38"/>
  <c r="B39" i="38"/>
  <c r="B31" i="38"/>
  <c r="A24" i="38"/>
  <c r="I16" i="38"/>
  <c r="H9" i="38"/>
  <c r="H27" i="37"/>
  <c r="H19" i="37"/>
  <c r="H11" i="37"/>
  <c r="H3" i="37"/>
  <c r="H250" i="45"/>
  <c r="A191" i="45"/>
  <c r="B157" i="45"/>
  <c r="B129" i="45"/>
  <c r="E113" i="45"/>
  <c r="C99" i="45"/>
  <c r="A85" i="45"/>
  <c r="H70" i="45"/>
  <c r="D57" i="45"/>
  <c r="I47" i="45"/>
  <c r="D38" i="45"/>
  <c r="I28" i="45"/>
  <c r="E19" i="45"/>
  <c r="I9" i="45"/>
  <c r="D42" i="43"/>
  <c r="A11" i="43"/>
  <c r="I54" i="38"/>
  <c r="D45" i="38"/>
  <c r="I35" i="38"/>
  <c r="G28" i="38"/>
  <c r="F21" i="38"/>
  <c r="E14" i="38"/>
  <c r="D7" i="38"/>
  <c r="F24" i="37"/>
  <c r="F16" i="37"/>
  <c r="F8" i="37"/>
  <c r="A310" i="45"/>
  <c r="A172" i="45"/>
  <c r="I120" i="45"/>
  <c r="E92" i="45"/>
  <c r="A64" i="45"/>
  <c r="C43" i="45"/>
  <c r="D24" i="45"/>
  <c r="D5" i="45"/>
  <c r="F55" i="38"/>
  <c r="G36" i="38"/>
  <c r="B22" i="38"/>
  <c r="I7" i="38"/>
  <c r="G17" i="37"/>
  <c r="D352" i="45"/>
  <c r="D177" i="45"/>
  <c r="F123" i="45"/>
  <c r="B95" i="45"/>
  <c r="G66" i="45"/>
  <c r="A45" i="45"/>
  <c r="B26" i="45"/>
  <c r="B7" i="45"/>
  <c r="E6" i="43"/>
  <c r="B43" i="38"/>
  <c r="A27" i="38"/>
  <c r="H12" i="38"/>
  <c r="C23" i="37"/>
  <c r="C7" i="37"/>
  <c r="A164" i="45"/>
  <c r="E88" i="45"/>
  <c r="F40" i="45"/>
  <c r="G2" i="45"/>
  <c r="I39" i="38"/>
  <c r="D10" i="38"/>
  <c r="E4" i="37"/>
  <c r="G23" i="36"/>
  <c r="G15" i="36"/>
  <c r="G7" i="36"/>
  <c r="I32" i="35"/>
  <c r="E26" i="35"/>
  <c r="A20" i="35"/>
  <c r="G13" i="35"/>
  <c r="C7" i="35"/>
  <c r="F5" i="34"/>
  <c r="E176" i="45"/>
  <c r="A312" i="45"/>
  <c r="E351" i="45"/>
  <c r="D255" i="45"/>
  <c r="F189" i="45"/>
  <c r="B248" i="45"/>
  <c r="A189" i="45"/>
  <c r="C198" i="45"/>
  <c r="D132" i="45"/>
  <c r="E224" i="45"/>
  <c r="I173" i="45"/>
  <c r="E145" i="45"/>
  <c r="B285" i="45"/>
  <c r="D167" i="45"/>
  <c r="F118" i="45"/>
  <c r="B90" i="45"/>
  <c r="A67" i="45"/>
  <c r="C263" i="45"/>
  <c r="D200" i="45"/>
  <c r="H161" i="45"/>
  <c r="D133" i="45"/>
  <c r="H115" i="45"/>
  <c r="F101" i="45"/>
  <c r="D87" i="45"/>
  <c r="B73" i="45"/>
  <c r="I58" i="45"/>
  <c r="G44" i="45"/>
  <c r="E30" i="45"/>
  <c r="C16" i="45"/>
  <c r="A2" i="45"/>
  <c r="E4" i="43"/>
  <c r="D46" i="38"/>
  <c r="H282" i="45"/>
  <c r="B182" i="45"/>
  <c r="G152" i="45"/>
  <c r="B126" i="45"/>
  <c r="C111" i="45"/>
  <c r="A97" i="45"/>
  <c r="H82" i="45"/>
  <c r="F68" i="45"/>
  <c r="I55" i="45"/>
  <c r="D46" i="45"/>
  <c r="I36" i="45"/>
  <c r="E27" i="45"/>
  <c r="I17" i="45"/>
  <c r="E8" i="45"/>
  <c r="F36" i="43"/>
  <c r="C5" i="43"/>
  <c r="F51" i="38"/>
  <c r="B42" i="38"/>
  <c r="D33" i="38"/>
  <c r="C26" i="38"/>
  <c r="B19" i="38"/>
  <c r="A12" i="38"/>
  <c r="I4" i="38"/>
  <c r="D22" i="37"/>
  <c r="D14" i="37"/>
  <c r="D6" i="37"/>
  <c r="A278" i="45"/>
  <c r="H208" i="45"/>
  <c r="A166" i="45"/>
  <c r="F137" i="45"/>
  <c r="I117" i="45"/>
  <c r="G103" i="45"/>
  <c r="E89" i="45"/>
  <c r="C75" i="45"/>
  <c r="A61" i="45"/>
  <c r="H50" i="45"/>
  <c r="D41" i="45"/>
  <c r="I31" i="45"/>
  <c r="D22" i="45"/>
  <c r="I12" i="45"/>
  <c r="E3" i="45"/>
  <c r="F14" i="43"/>
  <c r="H57" i="38"/>
  <c r="D48" i="38"/>
  <c r="I38" i="38"/>
  <c r="I30" i="38"/>
  <c r="H23" i="38"/>
  <c r="G16" i="38"/>
  <c r="F9" i="38"/>
  <c r="B27" i="37"/>
  <c r="B19" i="37"/>
  <c r="B11" i="37"/>
  <c r="B3" i="37"/>
  <c r="E199" i="45"/>
  <c r="I132" i="45"/>
  <c r="D101" i="45"/>
  <c r="I72" i="45"/>
  <c r="C49" i="45"/>
  <c r="C30" i="45"/>
  <c r="C11" i="45"/>
  <c r="C7" i="43"/>
  <c r="F42" i="38"/>
  <c r="F26" i="38"/>
  <c r="D12" i="38"/>
  <c r="G22" i="37"/>
  <c r="G6" i="37"/>
  <c r="B210" i="45"/>
  <c r="C138" i="45"/>
  <c r="A104" i="45"/>
  <c r="F75" i="45"/>
  <c r="A51" i="45"/>
  <c r="A32" i="45"/>
  <c r="A13" i="45"/>
  <c r="B14" i="43"/>
  <c r="B49" i="38"/>
  <c r="E31" i="38"/>
  <c r="C17" i="38"/>
  <c r="A3" i="38"/>
  <c r="C12" i="37"/>
  <c r="A219" i="45"/>
  <c r="C106" i="45"/>
  <c r="E52" i="45"/>
  <c r="F14" i="45"/>
  <c r="H51" i="38"/>
  <c r="C19" i="38"/>
  <c r="E14" i="37"/>
  <c r="C26" i="36"/>
  <c r="C18" i="36"/>
  <c r="C10" i="36"/>
  <c r="B170" i="45"/>
  <c r="H205" i="45"/>
  <c r="B136" i="45"/>
  <c r="G148" i="45"/>
  <c r="H80" i="45"/>
  <c r="G237" i="45"/>
  <c r="D173" i="45"/>
  <c r="I144" i="45"/>
  <c r="F121" i="45"/>
  <c r="D107" i="45"/>
  <c r="B93" i="45"/>
  <c r="I78" i="45"/>
  <c r="G64" i="45"/>
  <c r="E50" i="45"/>
  <c r="C36" i="45"/>
  <c r="A22" i="45"/>
  <c r="H7" i="45"/>
  <c r="B13" i="43"/>
  <c r="B52" i="38"/>
  <c r="I37" i="38"/>
  <c r="B214" i="45"/>
  <c r="B165" i="45"/>
  <c r="G136" i="45"/>
  <c r="E117" i="45"/>
  <c r="C103" i="45"/>
  <c r="A89" i="45"/>
  <c r="H74" i="45"/>
  <c r="F60" i="45"/>
  <c r="F50" i="45"/>
  <c r="A41" i="45"/>
  <c r="F31" i="45"/>
  <c r="B22" i="45"/>
  <c r="F12" i="45"/>
  <c r="B3" i="45"/>
  <c r="C11" i="43"/>
  <c r="H55" i="38"/>
  <c r="C46" i="38"/>
  <c r="H36" i="38"/>
  <c r="D29" i="38"/>
  <c r="C22" i="38"/>
  <c r="B15" i="38"/>
  <c r="A8" i="38"/>
  <c r="H25" i="37"/>
  <c r="H17" i="37"/>
  <c r="H9" i="37"/>
  <c r="G375" i="45"/>
  <c r="G233" i="45"/>
  <c r="E178" i="45"/>
  <c r="A150" i="45"/>
  <c r="D124" i="45"/>
  <c r="I109" i="45"/>
  <c r="G95" i="45"/>
  <c r="E81" i="45"/>
  <c r="C67" i="45"/>
  <c r="A55" i="45"/>
  <c r="E45" i="45"/>
  <c r="A36" i="45"/>
  <c r="F26" i="45"/>
  <c r="A17" i="45"/>
  <c r="F7" i="45"/>
  <c r="D37" i="43"/>
  <c r="B7" i="43"/>
  <c r="E52" i="38"/>
  <c r="A43" i="38"/>
  <c r="A34" i="38"/>
  <c r="I26" i="38"/>
  <c r="H19" i="38"/>
  <c r="G12" i="38"/>
  <c r="F5" i="38"/>
  <c r="F22" i="37"/>
  <c r="F14" i="37"/>
  <c r="F6" i="37"/>
  <c r="F252" i="45"/>
  <c r="H157" i="45"/>
  <c r="H113" i="45"/>
  <c r="D85" i="45"/>
  <c r="E57" i="45"/>
  <c r="F38" i="45"/>
  <c r="F19" i="45"/>
  <c r="E40" i="43"/>
  <c r="I50" i="38"/>
  <c r="H32" i="38"/>
  <c r="F18" i="38"/>
  <c r="D4" i="38"/>
  <c r="G13" i="37"/>
  <c r="E267" i="45"/>
  <c r="B163" i="45"/>
  <c r="E116" i="45"/>
  <c r="A88" i="45"/>
  <c r="F59" i="45"/>
  <c r="D40" i="45"/>
  <c r="D21" i="45"/>
  <c r="D2" i="45"/>
  <c r="D57" i="38"/>
  <c r="E38" i="38"/>
  <c r="E23" i="38"/>
  <c r="C9" i="38"/>
  <c r="C19" i="37"/>
  <c r="C3" i="37"/>
  <c r="F135" i="45"/>
  <c r="C74" i="45"/>
  <c r="B31" i="45"/>
  <c r="E14" i="43"/>
  <c r="G31" i="38"/>
  <c r="C3" i="38"/>
  <c r="G29" i="36"/>
  <c r="G21" i="36"/>
  <c r="G13" i="36"/>
  <c r="G5" i="36"/>
  <c r="C31" i="35"/>
  <c r="I24" i="35"/>
  <c r="E18" i="35"/>
  <c r="A12" i="35"/>
  <c r="F5" i="35"/>
  <c r="F3" i="34"/>
  <c r="A148" i="45"/>
  <c r="B255" i="45"/>
  <c r="B300" i="45"/>
  <c r="G232" i="45"/>
  <c r="D354" i="45"/>
  <c r="G231" i="45"/>
  <c r="H326" i="45"/>
  <c r="A175" i="45"/>
  <c r="A289" i="45"/>
  <c r="C210" i="45"/>
  <c r="H166" i="45"/>
  <c r="D138" i="45"/>
  <c r="B240" i="45"/>
  <c r="B153" i="45"/>
  <c r="E111" i="45"/>
  <c r="A83" i="45"/>
  <c r="F62" i="45"/>
  <c r="C244" i="45"/>
  <c r="B186" i="45"/>
  <c r="G154" i="45"/>
  <c r="E127" i="45"/>
  <c r="C112" i="45"/>
  <c r="A98" i="45"/>
  <c r="H83" i="45"/>
  <c r="F69" i="45"/>
  <c r="D55" i="45"/>
  <c r="B41" i="45"/>
  <c r="I26" i="45"/>
  <c r="G12" i="45"/>
  <c r="C37" i="43"/>
  <c r="A57" i="38"/>
  <c r="H42" i="38"/>
  <c r="A239" i="45"/>
  <c r="A174" i="45"/>
  <c r="F145" i="45"/>
  <c r="I121" i="45"/>
  <c r="G107" i="45"/>
  <c r="E93" i="45"/>
  <c r="C79" i="45"/>
  <c r="A65" i="45"/>
  <c r="E53" i="45"/>
  <c r="A44" i="45"/>
  <c r="F34" i="45"/>
  <c r="A25" i="45"/>
  <c r="F15" i="45"/>
  <c r="B6" i="45"/>
  <c r="F16" i="43"/>
  <c r="B2" i="43"/>
  <c r="C49" i="38"/>
  <c r="H39" i="38"/>
  <c r="F31" i="38"/>
  <c r="E24" i="38"/>
  <c r="D17" i="38"/>
  <c r="C10" i="38"/>
  <c r="B3" i="38"/>
  <c r="D20" i="37"/>
  <c r="D12" i="37"/>
  <c r="D4" i="37"/>
  <c r="E255" i="45"/>
  <c r="F194" i="45"/>
  <c r="I158" i="45"/>
  <c r="E130" i="45"/>
  <c r="D114" i="45"/>
  <c r="B100" i="45"/>
  <c r="I85" i="45"/>
  <c r="G71" i="45"/>
  <c r="I57" i="45"/>
  <c r="E48" i="45"/>
  <c r="A39" i="45"/>
  <c r="E29" i="45"/>
  <c r="A20" i="45"/>
  <c r="F10" i="45"/>
  <c r="D43" i="43"/>
  <c r="F11" i="43"/>
  <c r="E55" i="38"/>
  <c r="A46" i="38"/>
  <c r="E36" i="38"/>
  <c r="B29" i="38"/>
  <c r="A22" i="38"/>
  <c r="I14" i="38"/>
  <c r="H7" i="38"/>
  <c r="B25" i="37"/>
  <c r="B17" i="37"/>
  <c r="B9" i="37"/>
  <c r="E333" i="45"/>
  <c r="F175" i="45"/>
  <c r="G122" i="45"/>
  <c r="C94" i="45"/>
  <c r="H65" i="45"/>
  <c r="E44" i="45"/>
  <c r="E25" i="45"/>
  <c r="F6" i="45"/>
  <c r="H56" i="38"/>
  <c r="H37" i="38"/>
  <c r="A23" i="38"/>
  <c r="H8" i="38"/>
  <c r="G18" i="37"/>
  <c r="G2" i="37"/>
  <c r="G181" i="45"/>
  <c r="A126" i="45"/>
  <c r="I96" i="45"/>
  <c r="E68" i="45"/>
  <c r="C46" i="45"/>
  <c r="C27" i="45"/>
  <c r="D8" i="45"/>
  <c r="B8" i="43"/>
  <c r="D44" i="38"/>
  <c r="I27" i="38"/>
  <c r="G13" i="38"/>
  <c r="C24" i="37"/>
  <c r="C8" i="37"/>
  <c r="B171" i="45"/>
  <c r="A92" i="45"/>
  <c r="A43" i="45"/>
  <c r="A5" i="45"/>
  <c r="C42" i="38"/>
  <c r="B12" i="38"/>
  <c r="E6" i="37"/>
  <c r="C24" i="36"/>
  <c r="C16" i="36"/>
  <c r="C8" i="36"/>
  <c r="I155" i="45"/>
  <c r="F191" i="45"/>
  <c r="A129" i="45"/>
  <c r="E134" i="45"/>
  <c r="A75" i="45"/>
  <c r="E223" i="45"/>
  <c r="C166" i="45"/>
  <c r="H137" i="45"/>
  <c r="A118" i="45"/>
  <c r="H103" i="45"/>
  <c r="F89" i="45"/>
  <c r="D75" i="45"/>
  <c r="B61" i="45"/>
  <c r="I46" i="45"/>
  <c r="G32" i="45"/>
  <c r="E18" i="45"/>
  <c r="C4" i="45"/>
  <c r="A8" i="43"/>
  <c r="F48" i="38"/>
  <c r="G335" i="45"/>
  <c r="D196" i="45"/>
  <c r="A158" i="45"/>
  <c r="G129" i="45"/>
  <c r="I113" i="45"/>
  <c r="G99" i="45"/>
  <c r="E85" i="45"/>
  <c r="C71" i="45"/>
  <c r="G57" i="45"/>
  <c r="B48" i="45"/>
  <c r="G38" i="45"/>
  <c r="C29" i="45"/>
  <c r="G19" i="45"/>
  <c r="C10" i="45"/>
  <c r="D40" i="43"/>
  <c r="E7" i="43"/>
  <c r="D53" i="38"/>
  <c r="I43" i="38"/>
  <c r="G34" i="38"/>
  <c r="F27" i="38"/>
  <c r="E20" i="38"/>
  <c r="D13" i="38"/>
  <c r="C6" i="38"/>
  <c r="H23" i="37"/>
  <c r="H15" i="37"/>
  <c r="H7" i="37"/>
  <c r="E306" i="45"/>
  <c r="E219" i="45"/>
  <c r="D171" i="45"/>
  <c r="I142" i="45"/>
  <c r="F120" i="45"/>
  <c r="D106" i="45"/>
  <c r="B92" i="45"/>
  <c r="I77" i="45"/>
  <c r="G63" i="45"/>
  <c r="F52" i="45"/>
  <c r="B43" i="45"/>
  <c r="G33" i="45"/>
  <c r="B24" i="45"/>
  <c r="G14" i="45"/>
  <c r="C5" i="45"/>
  <c r="A17" i="43"/>
  <c r="C3" i="43"/>
  <c r="B50" i="38"/>
  <c r="G40" i="38"/>
  <c r="C32" i="38"/>
  <c r="B25" i="38"/>
  <c r="A18" i="38"/>
  <c r="I10" i="38"/>
  <c r="H3" i="38"/>
  <c r="F20" i="37"/>
  <c r="F12" i="37"/>
  <c r="F4" i="37"/>
  <c r="H220" i="45"/>
  <c r="F143" i="45"/>
  <c r="G106" i="45"/>
  <c r="C78" i="45"/>
  <c r="H52" i="45"/>
  <c r="H33" i="45"/>
  <c r="H14" i="45"/>
  <c r="A15" i="43"/>
  <c r="B46" i="38"/>
  <c r="C29" i="38"/>
  <c r="A15" i="38"/>
  <c r="G25" i="37"/>
  <c r="G9" i="37"/>
  <c r="E231" i="45"/>
  <c r="I148" i="45"/>
  <c r="D109" i="45"/>
  <c r="I80" i="45"/>
  <c r="F54" i="45"/>
  <c r="F35" i="45"/>
  <c r="F16" i="45"/>
  <c r="F18" i="43"/>
  <c r="G52" i="38"/>
  <c r="B34" i="38"/>
  <c r="I19" i="38"/>
  <c r="G5" i="38"/>
  <c r="C15" i="37"/>
  <c r="F270" i="45"/>
  <c r="I116" i="45"/>
  <c r="A60" i="45"/>
  <c r="G21" i="45"/>
  <c r="D2" i="43"/>
  <c r="F24" i="38"/>
  <c r="E20" i="37"/>
  <c r="G27" i="36"/>
  <c r="G19" i="36"/>
  <c r="G11" i="36"/>
  <c r="G3" i="36"/>
  <c r="G29" i="35"/>
  <c r="C23" i="35"/>
  <c r="I16" i="35"/>
  <c r="E10" i="35"/>
  <c r="F9" i="34"/>
  <c r="H342" i="45"/>
  <c r="G385" i="45"/>
  <c r="C327" i="45"/>
  <c r="A365" i="45"/>
  <c r="A218" i="45"/>
  <c r="B301" i="45"/>
  <c r="E217" i="45"/>
  <c r="D260" i="45"/>
  <c r="H160" i="45"/>
  <c r="E257" i="45"/>
  <c r="A196" i="45"/>
  <c r="G159" i="45"/>
  <c r="C131" i="45"/>
  <c r="E211" i="45"/>
  <c r="I138" i="45"/>
  <c r="D104" i="45"/>
  <c r="H76" i="45"/>
  <c r="E361" i="45"/>
  <c r="H228" i="45"/>
  <c r="A176" i="45"/>
  <c r="F147" i="45"/>
  <c r="I122" i="45"/>
  <c r="G108" i="45"/>
  <c r="E94" i="45"/>
  <c r="C80" i="45"/>
  <c r="A66" i="45"/>
  <c r="H51" i="45"/>
  <c r="F37" i="45"/>
  <c r="D23" i="45"/>
  <c r="B9" i="45"/>
  <c r="D15" i="43"/>
  <c r="E53" i="38"/>
  <c r="C39" i="38"/>
  <c r="C221" i="45"/>
  <c r="I166" i="45"/>
  <c r="E138" i="45"/>
  <c r="D118" i="45"/>
  <c r="B104" i="45"/>
  <c r="I89" i="45"/>
  <c r="G75" i="45"/>
  <c r="E61" i="45"/>
  <c r="B51" i="45"/>
  <c r="G41" i="45"/>
  <c r="B32" i="45"/>
  <c r="G22" i="45"/>
  <c r="C13" i="45"/>
  <c r="G3" i="45"/>
  <c r="B12" i="43"/>
  <c r="D56" i="38"/>
  <c r="I46" i="38"/>
  <c r="D37" i="38"/>
  <c r="H29" i="38"/>
  <c r="G22" i="38"/>
  <c r="F15" i="38"/>
  <c r="E8" i="38"/>
  <c r="D26" i="37"/>
  <c r="D18" i="37"/>
  <c r="D10" i="37"/>
  <c r="D2" i="37"/>
  <c r="C237" i="45"/>
  <c r="D180" i="45"/>
  <c r="H151" i="45"/>
  <c r="F125" i="45"/>
  <c r="H110" i="45"/>
  <c r="F96" i="45"/>
  <c r="D82" i="45"/>
  <c r="B68" i="45"/>
  <c r="F55" i="45"/>
  <c r="B46" i="45"/>
  <c r="F36" i="45"/>
  <c r="B27" i="45"/>
  <c r="G17" i="45"/>
  <c r="B8" i="45"/>
  <c r="D38" i="43"/>
  <c r="F8" i="43"/>
  <c r="B53" i="38"/>
  <c r="F43" i="38"/>
  <c r="E34" i="38"/>
  <c r="D27" i="38"/>
  <c r="C20" i="38"/>
  <c r="B13" i="38"/>
  <c r="A6" i="38"/>
  <c r="B23" i="37"/>
  <c r="B15" i="37"/>
  <c r="B7" i="37"/>
  <c r="A262" i="45"/>
  <c r="D161" i="45"/>
  <c r="F115" i="45"/>
  <c r="B87" i="45"/>
  <c r="G58" i="45"/>
  <c r="G39" i="45"/>
  <c r="H20" i="45"/>
  <c r="C43" i="43"/>
  <c r="A52" i="38"/>
  <c r="G33" i="38"/>
  <c r="E19" i="38"/>
  <c r="C5" i="38"/>
  <c r="G14" i="37"/>
  <c r="F281" i="45"/>
  <c r="G166" i="45"/>
  <c r="C118" i="45"/>
  <c r="H89" i="45"/>
  <c r="D61" i="45"/>
  <c r="E41" i="45"/>
  <c r="F22" i="45"/>
  <c r="F3" i="45"/>
  <c r="A2" i="43"/>
  <c r="F39" i="38"/>
  <c r="D24" i="38"/>
  <c r="B10" i="38"/>
  <c r="C20" i="37"/>
  <c r="C4" i="37"/>
  <c r="G142" i="45"/>
  <c r="H77" i="45"/>
  <c r="E33" i="45"/>
  <c r="E17" i="43"/>
  <c r="E33" i="38"/>
  <c r="A5" i="38"/>
  <c r="C1" i="37"/>
  <c r="C22" i="36"/>
  <c r="C14" i="36"/>
  <c r="C6" i="36"/>
  <c r="G31" i="35"/>
  <c r="C25" i="35"/>
  <c r="I18" i="35"/>
  <c r="E12" i="35"/>
  <c r="A6" i="35"/>
  <c r="B4" i="34"/>
  <c r="B155" i="45"/>
  <c r="E320" i="45"/>
  <c r="E259" i="45"/>
  <c r="A251" i="45"/>
  <c r="G202" i="45"/>
  <c r="B227" i="45"/>
  <c r="H146" i="45"/>
  <c r="A170" i="45"/>
  <c r="E91" i="45"/>
  <c r="I265" i="45"/>
  <c r="G162" i="45"/>
  <c r="C116" i="45"/>
  <c r="H87" i="45"/>
  <c r="C2" i="36"/>
  <c r="A22" i="35"/>
  <c r="C9" i="35"/>
  <c r="E245" i="45"/>
  <c r="G371" i="45"/>
  <c r="C191" i="45"/>
  <c r="C175" i="45"/>
  <c r="I119" i="45"/>
  <c r="B202" i="45"/>
  <c r="A102" i="45"/>
  <c r="D59" i="45"/>
  <c r="H23" i="45"/>
  <c r="A16" i="43"/>
  <c r="G39" i="38"/>
  <c r="G168" i="45"/>
  <c r="C119" i="45"/>
  <c r="H90" i="45"/>
  <c r="D62" i="45"/>
  <c r="C42" i="45"/>
  <c r="C23" i="45"/>
  <c r="D4" i="45"/>
  <c r="I56" i="38"/>
  <c r="A38" i="38"/>
  <c r="B23" i="38"/>
  <c r="I8" i="38"/>
  <c r="H18" i="37"/>
  <c r="H2" i="37"/>
  <c r="I183" i="45"/>
  <c r="G126" i="45"/>
  <c r="E97" i="45"/>
  <c r="A69" i="45"/>
  <c r="G46" i="45"/>
  <c r="G27" i="45"/>
  <c r="H8" i="45"/>
  <c r="D9" i="43"/>
  <c r="C44" i="38"/>
  <c r="H27" i="38"/>
  <c r="F13" i="38"/>
  <c r="F23" i="37"/>
  <c r="F7" i="37"/>
  <c r="I164" i="45"/>
  <c r="I88" i="45"/>
  <c r="I40" i="45"/>
  <c r="A3" i="45"/>
  <c r="F34" i="38"/>
  <c r="B6" i="38"/>
  <c r="F300" i="45"/>
  <c r="A120" i="45"/>
  <c r="B63" i="45"/>
  <c r="G23" i="45"/>
  <c r="E3" i="43"/>
  <c r="C25" i="38"/>
  <c r="C21" i="37"/>
  <c r="H149" i="45"/>
  <c r="I35" i="45"/>
  <c r="C35" i="38"/>
  <c r="G1" i="37"/>
  <c r="G14" i="36"/>
  <c r="A32" i="35"/>
  <c r="C19" i="35"/>
  <c r="E6" i="35"/>
  <c r="C162" i="45"/>
  <c r="D73" i="45"/>
  <c r="F30" i="45"/>
  <c r="F10" i="43"/>
  <c r="G27" i="38"/>
  <c r="A22" i="37"/>
  <c r="E160" i="45"/>
  <c r="E39" i="45"/>
  <c r="F32" i="38"/>
  <c r="A1" i="37"/>
  <c r="D19" i="36"/>
  <c r="F8" i="36"/>
  <c r="C32" i="35"/>
  <c r="G22" i="35"/>
  <c r="A13" i="35"/>
  <c r="G8" i="34"/>
  <c r="E107" i="33"/>
  <c r="D100" i="33"/>
  <c r="C93" i="33"/>
  <c r="B86" i="33"/>
  <c r="A79" i="33"/>
  <c r="I71" i="33"/>
  <c r="H64" i="33"/>
  <c r="G57" i="33"/>
  <c r="F50" i="33"/>
  <c r="E43" i="33"/>
  <c r="D36" i="33"/>
  <c r="C29" i="33"/>
  <c r="B22" i="33"/>
  <c r="A15" i="33"/>
  <c r="I7" i="33"/>
  <c r="G33" i="32"/>
  <c r="G25" i="32"/>
  <c r="G17" i="32"/>
  <c r="G9" i="32"/>
  <c r="H1" i="32"/>
  <c r="H3" i="31"/>
  <c r="B139" i="45"/>
  <c r="D32" i="45"/>
  <c r="G38" i="38"/>
  <c r="E3" i="37"/>
  <c r="D20" i="36"/>
  <c r="F9" i="36"/>
  <c r="D121" i="45"/>
  <c r="F28" i="38"/>
  <c r="E18" i="36"/>
  <c r="D32" i="35"/>
  <c r="H18" i="35"/>
  <c r="I5" i="35"/>
  <c r="I60" i="45"/>
  <c r="A15" i="37"/>
  <c r="E11" i="36"/>
  <c r="B27" i="35"/>
  <c r="D14" i="35"/>
  <c r="A7" i="34"/>
  <c r="D103" i="33"/>
  <c r="I93" i="33"/>
  <c r="E84" i="33"/>
  <c r="I74" i="33"/>
  <c r="E65" i="33"/>
  <c r="A56" i="33"/>
  <c r="E46" i="33"/>
  <c r="A37" i="33"/>
  <c r="F27" i="33"/>
  <c r="A18" i="33"/>
  <c r="A269" i="45"/>
  <c r="G196" i="45"/>
  <c r="B196" i="45"/>
  <c r="E139" i="45"/>
  <c r="E177" i="45"/>
  <c r="A323" i="45"/>
  <c r="B122" i="45"/>
  <c r="G69" i="45"/>
  <c r="E207" i="45"/>
  <c r="I136" i="45"/>
  <c r="D103" i="45"/>
  <c r="I74" i="45"/>
  <c r="E46" i="45"/>
  <c r="A18" i="45"/>
  <c r="D7" i="43"/>
  <c r="G320" i="45"/>
  <c r="C156" i="45"/>
  <c r="A113" i="45"/>
  <c r="F84" i="45"/>
  <c r="A57" i="45"/>
  <c r="B38" i="45"/>
  <c r="B19" i="45"/>
  <c r="C39" i="43"/>
  <c r="H52" i="38"/>
  <c r="C34" i="38"/>
  <c r="A20" i="38"/>
  <c r="H5" i="38"/>
  <c r="D15" i="37"/>
  <c r="A297" i="45"/>
  <c r="F169" i="45"/>
  <c r="G119" i="45"/>
  <c r="C91" i="45"/>
  <c r="H62" i="45"/>
  <c r="F42" i="45"/>
  <c r="F23" i="45"/>
  <c r="F4" i="45"/>
  <c r="E2" i="43"/>
  <c r="A40" i="38"/>
  <c r="G24" i="38"/>
  <c r="E10" i="38"/>
  <c r="B20" i="37"/>
  <c r="B4" i="37"/>
  <c r="A140" i="45"/>
  <c r="E76" i="45"/>
  <c r="F32" i="45"/>
  <c r="D13" i="43"/>
  <c r="D28" i="38"/>
  <c r="G24" i="37"/>
  <c r="D224" i="45"/>
  <c r="F107" i="45"/>
  <c r="D53" i="45"/>
  <c r="E15" i="45"/>
  <c r="E51" i="38"/>
  <c r="A19" i="38"/>
  <c r="C14" i="37"/>
  <c r="D113" i="45"/>
  <c r="C19" i="45"/>
  <c r="H22" i="38"/>
  <c r="C27" i="36"/>
  <c r="C11" i="36"/>
  <c r="C29" i="35"/>
  <c r="E16" i="35"/>
  <c r="B9" i="34"/>
  <c r="B123" i="45"/>
  <c r="G62" i="45"/>
  <c r="E23" i="45"/>
  <c r="I55" i="38"/>
  <c r="D22" i="38"/>
  <c r="A16" i="37"/>
  <c r="C122" i="45"/>
  <c r="C25" i="45"/>
  <c r="I21" i="38"/>
  <c r="A28" i="36"/>
  <c r="D17" i="36"/>
  <c r="F6" i="36"/>
  <c r="G30" i="35"/>
  <c r="A21" i="35"/>
  <c r="D10" i="35"/>
  <c r="G6" i="34"/>
  <c r="B106" i="33"/>
  <c r="A99" i="33"/>
  <c r="I91" i="33"/>
  <c r="H84" i="33"/>
  <c r="G77" i="33"/>
  <c r="F70" i="33"/>
  <c r="E63" i="33"/>
  <c r="D56" i="33"/>
  <c r="C49" i="33"/>
  <c r="B42" i="33"/>
  <c r="A35" i="33"/>
  <c r="I27" i="33"/>
  <c r="H20" i="33"/>
  <c r="G13" i="33"/>
  <c r="F6" i="33"/>
  <c r="C32" i="32"/>
  <c r="C24" i="32"/>
  <c r="C16" i="32"/>
  <c r="C8" i="32"/>
  <c r="D10" i="31"/>
  <c r="D2" i="31"/>
  <c r="F111" i="45"/>
  <c r="B18" i="45"/>
  <c r="C27" i="38"/>
  <c r="A29" i="36"/>
  <c r="E182" i="45"/>
  <c r="C329" i="45"/>
  <c r="A259" i="45"/>
  <c r="H64" i="45"/>
  <c r="H129" i="45"/>
  <c r="D71" i="45"/>
  <c r="C33" i="35"/>
  <c r="E20" i="35"/>
  <c r="G7" i="35"/>
  <c r="A187" i="45"/>
  <c r="E393" i="45"/>
  <c r="I266" i="45"/>
  <c r="A161" i="45"/>
  <c r="G105" i="45"/>
  <c r="I176" i="45"/>
  <c r="I94" i="45"/>
  <c r="B45" i="45"/>
  <c r="G16" i="45"/>
  <c r="B5" i="43"/>
  <c r="C292" i="45"/>
  <c r="E154" i="45"/>
  <c r="B112" i="45"/>
  <c r="G83" i="45"/>
  <c r="E56" i="45"/>
  <c r="E37" i="45"/>
  <c r="F18" i="45"/>
  <c r="F37" i="43"/>
  <c r="C52" i="38"/>
  <c r="H33" i="38"/>
  <c r="F19" i="38"/>
  <c r="D5" i="38"/>
  <c r="H14" i="37"/>
  <c r="E287" i="45"/>
  <c r="H167" i="45"/>
  <c r="H118" i="45"/>
  <c r="D90" i="45"/>
  <c r="I61" i="45"/>
  <c r="I41" i="45"/>
  <c r="A23" i="45"/>
  <c r="A4" i="45"/>
  <c r="A1" i="43"/>
  <c r="E39" i="38"/>
  <c r="C24" i="38"/>
  <c r="A10" i="38"/>
  <c r="F19" i="37"/>
  <c r="F3" i="37"/>
  <c r="E136" i="45"/>
  <c r="G74" i="45"/>
  <c r="E31" i="45"/>
  <c r="D10" i="43"/>
  <c r="E27" i="38"/>
  <c r="G23" i="37"/>
  <c r="C217" i="45"/>
  <c r="H105" i="45"/>
  <c r="B52" i="45"/>
  <c r="C14" i="45"/>
  <c r="C50" i="38"/>
  <c r="B18" i="38"/>
  <c r="C13" i="37"/>
  <c r="H109" i="45"/>
  <c r="I16" i="45"/>
  <c r="A21" i="38"/>
  <c r="G26" i="36"/>
  <c r="G10" i="36"/>
  <c r="I28" i="35"/>
  <c r="A16" i="35"/>
  <c r="F8" i="34"/>
  <c r="F119" i="45"/>
  <c r="B59" i="45"/>
  <c r="A21" i="45"/>
  <c r="F53" i="38"/>
  <c r="F20" i="38"/>
  <c r="A14" i="37"/>
  <c r="B115" i="45"/>
  <c r="E20" i="45"/>
  <c r="D18" i="38"/>
  <c r="D27" i="36"/>
  <c r="F16" i="36"/>
  <c r="A6" i="36"/>
  <c r="B30" i="35"/>
  <c r="F20" i="35"/>
  <c r="I9" i="35"/>
  <c r="A6" i="34"/>
  <c r="G105" i="33"/>
  <c r="F98" i="33"/>
  <c r="E91" i="33"/>
  <c r="D84" i="33"/>
  <c r="C77" i="33"/>
  <c r="B70" i="33"/>
  <c r="A63" i="33"/>
  <c r="I55" i="33"/>
  <c r="H48" i="33"/>
  <c r="G41" i="33"/>
  <c r="F34" i="33"/>
  <c r="E27" i="33"/>
  <c r="D20" i="33"/>
  <c r="C13" i="33"/>
  <c r="B6" i="33"/>
  <c r="G31" i="32"/>
  <c r="G23" i="32"/>
  <c r="G15" i="32"/>
  <c r="G7" i="32"/>
  <c r="H9" i="31"/>
  <c r="E1" i="31"/>
  <c r="E104" i="45"/>
  <c r="D13" i="45"/>
  <c r="G23" i="38"/>
  <c r="D28" i="36"/>
  <c r="F17" i="36"/>
  <c r="A7" i="36"/>
  <c r="E64" i="45"/>
  <c r="A25" i="37"/>
  <c r="B13" i="36"/>
  <c r="H28" i="35"/>
  <c r="D15" i="35"/>
  <c r="A9" i="34"/>
  <c r="C22" i="45"/>
  <c r="E27" i="36"/>
  <c r="B6" i="36"/>
  <c r="D24" i="35"/>
  <c r="H10" i="35"/>
  <c r="E3" i="34"/>
  <c r="A101" i="33"/>
  <c r="F91" i="33"/>
  <c r="A82" i="33"/>
  <c r="F72" i="33"/>
  <c r="B63" i="33"/>
  <c r="F53" i="33"/>
  <c r="B44" i="33"/>
  <c r="G34" i="33"/>
  <c r="B25" i="33"/>
  <c r="C386" i="45"/>
  <c r="B284" i="45"/>
  <c r="B320" i="45"/>
  <c r="H287" i="45"/>
  <c r="G267" i="45"/>
  <c r="C163" i="45"/>
  <c r="G225" i="45"/>
  <c r="I107" i="45"/>
  <c r="I59" i="45"/>
  <c r="F179" i="45"/>
  <c r="B125" i="45"/>
  <c r="C96" i="45"/>
  <c r="H67" i="45"/>
  <c r="D39" i="45"/>
  <c r="I10" i="45"/>
  <c r="C55" i="38"/>
  <c r="D228" i="45"/>
  <c r="A142" i="45"/>
  <c r="I105" i="45"/>
  <c r="E77" i="45"/>
  <c r="D52" i="45"/>
  <c r="D33" i="45"/>
  <c r="D14" i="45"/>
  <c r="D14" i="43"/>
  <c r="A48" i="38"/>
  <c r="G30" i="38"/>
  <c r="E16" i="38"/>
  <c r="D27" i="37"/>
  <c r="D11" i="37"/>
  <c r="A246" i="45"/>
  <c r="D155" i="45"/>
  <c r="F112" i="45"/>
  <c r="B84" i="45"/>
  <c r="H56" i="45"/>
  <c r="H37" i="45"/>
  <c r="H18" i="45"/>
  <c r="C41" i="43"/>
  <c r="C54" i="38"/>
  <c r="D35" i="38"/>
  <c r="B21" i="38"/>
  <c r="I6" i="38"/>
  <c r="B16" i="37"/>
  <c r="A291" i="45"/>
  <c r="B119" i="45"/>
  <c r="C62" i="45"/>
  <c r="B23" i="45"/>
  <c r="E54" i="38"/>
  <c r="C21" i="38"/>
  <c r="G16" i="37"/>
  <c r="H173" i="45"/>
  <c r="D93" i="45"/>
  <c r="I43" i="45"/>
  <c r="I5" i="45"/>
  <c r="A42" i="38"/>
  <c r="I11" i="38"/>
  <c r="C6" i="37"/>
  <c r="I84" i="45"/>
  <c r="F43" i="43"/>
  <c r="F8" i="38"/>
  <c r="C23" i="36"/>
  <c r="C7" i="36"/>
  <c r="A26" i="35"/>
  <c r="C13" i="35"/>
  <c r="B5" i="34"/>
  <c r="D105" i="45"/>
  <c r="I51" i="45"/>
  <c r="I13" i="45"/>
  <c r="E46" i="38"/>
  <c r="C15" i="38"/>
  <c r="A8" i="37"/>
  <c r="H93" i="45"/>
  <c r="C6" i="45"/>
  <c r="G7" i="38"/>
  <c r="D25" i="36"/>
  <c r="F14" i="36"/>
  <c r="A4" i="36"/>
  <c r="F28" i="35"/>
  <c r="I17" i="35"/>
  <c r="C8" i="35"/>
  <c r="A4" i="34"/>
  <c r="D104" i="33"/>
  <c r="C97" i="33"/>
  <c r="B90" i="33"/>
  <c r="A83" i="33"/>
  <c r="I75" i="33"/>
  <c r="H68" i="33"/>
  <c r="G61" i="33"/>
  <c r="F54" i="33"/>
  <c r="E47" i="33"/>
  <c r="D40" i="33"/>
  <c r="C33" i="33"/>
  <c r="B26" i="33"/>
  <c r="A19" i="33"/>
  <c r="I11" i="33"/>
  <c r="H4" i="33"/>
  <c r="C30" i="32"/>
  <c r="C22" i="32"/>
  <c r="C14" i="32"/>
  <c r="C6" i="32"/>
  <c r="D8" i="31"/>
  <c r="A3" i="30"/>
  <c r="B83" i="45"/>
  <c r="D41" i="43"/>
  <c r="A13" i="38"/>
  <c r="F283" i="45"/>
  <c r="H238" i="45"/>
  <c r="D217" i="45"/>
  <c r="C160" i="45"/>
  <c r="G253" i="45"/>
  <c r="A114" i="45"/>
  <c r="B57" i="45"/>
  <c r="F41" i="43"/>
  <c r="F177" i="45"/>
  <c r="C95" i="45"/>
  <c r="C45" i="45"/>
  <c r="C7" i="45"/>
  <c r="I40" i="38"/>
  <c r="B11" i="38"/>
  <c r="D5" i="37"/>
  <c r="A134" i="45"/>
  <c r="E73" i="45"/>
  <c r="G30" i="45"/>
  <c r="C13" i="43"/>
  <c r="A30" i="38"/>
  <c r="B26" i="37"/>
  <c r="C185" i="45"/>
  <c r="H46" i="45"/>
  <c r="C40" i="38"/>
  <c r="G4" i="37"/>
  <c r="A72" i="45"/>
  <c r="E28" i="35"/>
  <c r="G15" i="35"/>
  <c r="B8" i="34"/>
  <c r="E112" i="45"/>
  <c r="H191" i="45"/>
  <c r="F134" i="45"/>
  <c r="D299" i="45"/>
  <c r="I67" i="45"/>
  <c r="C134" i="45"/>
  <c r="F73" i="45"/>
  <c r="A38" i="45"/>
  <c r="F9" i="45"/>
  <c r="I53" i="38"/>
  <c r="H224" i="45"/>
  <c r="C140" i="45"/>
  <c r="A105" i="45"/>
  <c r="F76" i="45"/>
  <c r="G51" i="45"/>
  <c r="H32" i="45"/>
  <c r="H13" i="45"/>
  <c r="E13" i="43"/>
  <c r="E47" i="38"/>
  <c r="C30" i="38"/>
  <c r="A16" i="38"/>
  <c r="H26" i="37"/>
  <c r="H10" i="37"/>
  <c r="C241" i="45"/>
  <c r="F153" i="45"/>
  <c r="G111" i="45"/>
  <c r="C83" i="45"/>
  <c r="B56" i="45"/>
  <c r="C37" i="45"/>
  <c r="C18" i="45"/>
  <c r="E39" i="43"/>
  <c r="G53" i="38"/>
  <c r="I34" i="38"/>
  <c r="G20" i="38"/>
  <c r="E6" i="38"/>
  <c r="F15" i="37"/>
  <c r="I273" i="45"/>
  <c r="D117" i="45"/>
  <c r="E60" i="45"/>
  <c r="I21" i="45"/>
  <c r="C53" i="38"/>
  <c r="D20" i="38"/>
  <c r="G15" i="37"/>
  <c r="C170" i="45"/>
  <c r="F91" i="45"/>
  <c r="G42" i="45"/>
  <c r="H4" i="45"/>
  <c r="H40" i="38"/>
  <c r="A11" i="38"/>
  <c r="C5" i="37"/>
  <c r="D81" i="45"/>
  <c r="E38" i="43"/>
  <c r="H6" i="38"/>
  <c r="G22" i="36"/>
  <c r="G6" i="36"/>
  <c r="G25" i="35"/>
  <c r="I12" i="35"/>
  <c r="F4" i="34"/>
  <c r="H101" i="45"/>
  <c r="E49" i="45"/>
  <c r="F11" i="45"/>
  <c r="A44" i="38"/>
  <c r="E13" i="38"/>
  <c r="A6" i="37"/>
  <c r="G86" i="45"/>
  <c r="C15" i="43"/>
  <c r="B4" i="38"/>
  <c r="F24" i="36"/>
  <c r="A14" i="36"/>
  <c r="D3" i="36"/>
  <c r="E27" i="35"/>
  <c r="D17" i="35"/>
  <c r="H7" i="35"/>
  <c r="D3" i="34"/>
  <c r="I103" i="33"/>
  <c r="H96" i="33"/>
  <c r="G89" i="33"/>
  <c r="F82" i="33"/>
  <c r="E75" i="33"/>
  <c r="D68" i="33"/>
  <c r="C61" i="33"/>
  <c r="B54" i="33"/>
  <c r="A47" i="33"/>
  <c r="I39" i="33"/>
  <c r="H32" i="33"/>
  <c r="G25" i="33"/>
  <c r="F18" i="33"/>
  <c r="E11" i="33"/>
  <c r="D4" i="33"/>
  <c r="G29" i="32"/>
  <c r="G21" i="32"/>
  <c r="G13" i="32"/>
  <c r="G5" i="32"/>
  <c r="H7" i="31"/>
  <c r="E2" i="30"/>
  <c r="A76" i="45"/>
  <c r="D18" i="43"/>
  <c r="E9" i="38"/>
  <c r="F25" i="36"/>
  <c r="A15" i="36"/>
  <c r="D4" i="36"/>
  <c r="F24" i="45"/>
  <c r="B29" i="36"/>
  <c r="H7" i="36"/>
  <c r="B25" i="35"/>
  <c r="D12" i="35"/>
  <c r="A277" i="45"/>
  <c r="D52" i="38"/>
  <c r="B22" i="36"/>
  <c r="A1" i="36"/>
  <c r="H20" i="35"/>
  <c r="D7" i="35"/>
  <c r="B108" i="33"/>
  <c r="G98" i="33"/>
  <c r="B89" i="33"/>
  <c r="G79" i="33"/>
  <c r="C70" i="33"/>
  <c r="G60" i="33"/>
  <c r="C51" i="33"/>
  <c r="H41" i="33"/>
  <c r="C32" i="33"/>
  <c r="H22" i="33"/>
  <c r="B360" i="45"/>
  <c r="G269" i="45"/>
  <c r="F257" i="45"/>
  <c r="E212" i="45"/>
  <c r="F231" i="45"/>
  <c r="A149" i="45"/>
  <c r="E174" i="45"/>
  <c r="G93" i="45"/>
  <c r="D275" i="45"/>
  <c r="D165" i="45"/>
  <c r="F117" i="45"/>
  <c r="B89" i="45"/>
  <c r="G60" i="45"/>
  <c r="C32" i="45"/>
  <c r="H3" i="45"/>
  <c r="B48" i="38"/>
  <c r="H192" i="45"/>
  <c r="E128" i="45"/>
  <c r="H98" i="45"/>
  <c r="D70" i="45"/>
  <c r="F47" i="45"/>
  <c r="F28" i="45"/>
  <c r="G9" i="45"/>
  <c r="F6" i="43"/>
  <c r="D43" i="38"/>
  <c r="B27" i="38"/>
  <c r="I12" i="38"/>
  <c r="D23" i="37"/>
  <c r="D7" i="37"/>
  <c r="I215" i="45"/>
  <c r="B141" i="45"/>
  <c r="E105" i="45"/>
  <c r="A77" i="45"/>
  <c r="A52" i="45"/>
  <c r="A33" i="45"/>
  <c r="B14" i="45"/>
  <c r="C16" i="43"/>
  <c r="F49" i="38"/>
  <c r="H31" i="38"/>
  <c r="F17" i="38"/>
  <c r="D3" i="38"/>
  <c r="B12" i="37"/>
  <c r="G213" i="45"/>
  <c r="I104" i="45"/>
  <c r="F51" i="45"/>
  <c r="G13" i="45"/>
  <c r="I44" i="38"/>
  <c r="B14" i="38"/>
  <c r="G8" i="37"/>
  <c r="D145" i="45"/>
  <c r="B79" i="45"/>
  <c r="D34" i="45"/>
  <c r="C17" i="43"/>
  <c r="C33" i="38"/>
  <c r="H4" i="38"/>
  <c r="B250" i="45"/>
  <c r="C57" i="45"/>
  <c r="E56" i="38"/>
  <c r="E18" i="37"/>
  <c r="C19" i="36"/>
  <c r="C3" i="36"/>
  <c r="I22" i="35"/>
  <c r="A10" i="35"/>
  <c r="H295" i="45"/>
  <c r="B91" i="45"/>
  <c r="D42" i="45"/>
  <c r="E4" i="45"/>
  <c r="I36" i="38"/>
  <c r="B8" i="38"/>
  <c r="C324" i="45"/>
  <c r="D65" i="45"/>
  <c r="D55" i="38"/>
  <c r="E17" i="37"/>
  <c r="F22" i="36"/>
  <c r="A12" i="36"/>
  <c r="G1" i="36"/>
  <c r="D25" i="35"/>
  <c r="H15" i="35"/>
  <c r="B6" i="35"/>
  <c r="G1" i="34"/>
  <c r="F102" i="33"/>
  <c r="E95" i="33"/>
  <c r="D88" i="33"/>
  <c r="C81" i="33"/>
  <c r="B74" i="33"/>
  <c r="A67" i="33"/>
  <c r="I59" i="33"/>
  <c r="H52" i="33"/>
  <c r="G45" i="33"/>
  <c r="F38" i="33"/>
  <c r="E31" i="33"/>
  <c r="D24" i="33"/>
  <c r="C17" i="33"/>
  <c r="B10" i="33"/>
  <c r="A3" i="33"/>
  <c r="C28" i="32"/>
  <c r="C20" i="32"/>
  <c r="C12" i="32"/>
  <c r="C4" i="32"/>
  <c r="D6" i="31"/>
  <c r="G240" i="45"/>
  <c r="A56" i="45"/>
  <c r="C1" i="43"/>
  <c r="E23" i="37"/>
  <c r="A319" i="45"/>
  <c r="I181" i="45"/>
  <c r="D170" i="45"/>
  <c r="A115" i="45"/>
  <c r="C193" i="45"/>
  <c r="H99" i="45"/>
  <c r="I42" i="45"/>
  <c r="F1" i="43"/>
  <c r="B149" i="45"/>
  <c r="A81" i="45"/>
  <c r="G35" i="45"/>
  <c r="B18" i="43"/>
  <c r="E32" i="38"/>
  <c r="A4" i="38"/>
  <c r="B265" i="45"/>
  <c r="B116" i="45"/>
  <c r="C59" i="45"/>
  <c r="C21" i="45"/>
  <c r="G56" i="38"/>
  <c r="I22" i="38"/>
  <c r="B18" i="37"/>
  <c r="B127" i="45"/>
  <c r="I27" i="45"/>
  <c r="H24" i="38"/>
  <c r="I195" i="45"/>
  <c r="F48" i="45"/>
  <c r="I26" i="35"/>
  <c r="A14" i="35"/>
  <c r="B6" i="34"/>
  <c r="A403" i="45"/>
  <c r="A307" i="45"/>
  <c r="A261" i="45"/>
  <c r="H216" i="45"/>
  <c r="F380" i="45"/>
  <c r="D123" i="45"/>
  <c r="E66" i="45"/>
  <c r="I30" i="45"/>
  <c r="E2" i="45"/>
  <c r="H46" i="38"/>
  <c r="G185" i="45"/>
  <c r="D127" i="45"/>
  <c r="I97" i="45"/>
  <c r="E69" i="45"/>
  <c r="A47" i="45"/>
  <c r="A28" i="45"/>
  <c r="A9" i="45"/>
  <c r="A6" i="43"/>
  <c r="G42" i="38"/>
  <c r="G26" i="38"/>
  <c r="E12" i="38"/>
  <c r="H22" i="37"/>
  <c r="H6" i="37"/>
  <c r="D212" i="45"/>
  <c r="D139" i="45"/>
  <c r="F104" i="45"/>
  <c r="B76" i="45"/>
  <c r="E51" i="45"/>
  <c r="E32" i="45"/>
  <c r="E13" i="45"/>
  <c r="E15" i="43"/>
  <c r="I48" i="38"/>
  <c r="D31" i="38"/>
  <c r="B17" i="38"/>
  <c r="F27" i="37"/>
  <c r="F11" i="37"/>
  <c r="F206" i="45"/>
  <c r="B103" i="45"/>
  <c r="D50" i="45"/>
  <c r="E12" i="45"/>
  <c r="H43" i="38"/>
  <c r="C13" i="38"/>
  <c r="G7" i="37"/>
  <c r="H141" i="45"/>
  <c r="D77" i="45"/>
  <c r="C33" i="45"/>
  <c r="F15" i="43"/>
  <c r="D32" i="38"/>
  <c r="I3" i="38"/>
  <c r="C233" i="45"/>
  <c r="H54" i="45"/>
  <c r="B54" i="38"/>
  <c r="E16" i="37"/>
  <c r="G18" i="36"/>
  <c r="G2" i="36"/>
  <c r="E22" i="35"/>
  <c r="G9" i="35"/>
  <c r="D264" i="45"/>
  <c r="F87" i="45"/>
  <c r="A40" i="45"/>
  <c r="B2" i="45"/>
  <c r="H34" i="38"/>
  <c r="D6" i="38"/>
  <c r="G259" i="45"/>
  <c r="D58" i="45"/>
  <c r="F50" i="38"/>
  <c r="E13" i="37"/>
  <c r="A22" i="36"/>
  <c r="D11" i="36"/>
  <c r="B1" i="36"/>
  <c r="H24" i="35"/>
  <c r="B15" i="35"/>
  <c r="E5" i="35"/>
  <c r="C1" i="34"/>
  <c r="B102" i="33"/>
  <c r="A95" i="33"/>
  <c r="I87" i="33"/>
  <c r="H80" i="33"/>
  <c r="G73" i="33"/>
  <c r="F66" i="33"/>
  <c r="E59" i="33"/>
  <c r="D52" i="33"/>
  <c r="C45" i="33"/>
  <c r="B38" i="33"/>
  <c r="A31" i="33"/>
  <c r="I23" i="33"/>
  <c r="H16" i="33"/>
  <c r="G9" i="33"/>
  <c r="G35" i="32"/>
  <c r="G27" i="32"/>
  <c r="G19" i="32"/>
  <c r="G11" i="32"/>
  <c r="G3" i="32"/>
  <c r="H5" i="31"/>
  <c r="I211" i="45"/>
  <c r="C51" i="45"/>
  <c r="G57" i="38"/>
  <c r="E19" i="37"/>
  <c r="A23" i="36"/>
  <c r="D12" i="36"/>
  <c r="H314" i="45"/>
  <c r="A10" i="43"/>
  <c r="H23" i="36"/>
  <c r="E2" i="36"/>
  <c r="D22" i="35"/>
  <c r="F9" i="35"/>
  <c r="H117" i="45"/>
  <c r="G19" i="38"/>
  <c r="H16" i="36"/>
  <c r="H30" i="35"/>
  <c r="B17" i="35"/>
  <c r="E10" i="34"/>
  <c r="H105" i="33"/>
  <c r="C96" i="33"/>
  <c r="H86" i="33"/>
  <c r="D77" i="33"/>
  <c r="H67" i="33"/>
  <c r="D58" i="33"/>
  <c r="I48" i="33"/>
  <c r="D39" i="33"/>
  <c r="I29" i="33"/>
  <c r="E20" i="33"/>
  <c r="E377" i="45"/>
  <c r="B225" i="45"/>
  <c r="F224" i="45"/>
  <c r="I167" i="45"/>
  <c r="B203" i="45"/>
  <c r="H134" i="45"/>
  <c r="A146" i="45"/>
  <c r="E79" i="45"/>
  <c r="I235" i="45"/>
  <c r="B151" i="45"/>
  <c r="E110" i="45"/>
  <c r="A82" i="45"/>
  <c r="F53" i="45"/>
  <c r="B25" i="45"/>
  <c r="F17" i="43"/>
  <c r="A41" i="38"/>
  <c r="E170" i="45"/>
  <c r="B120" i="45"/>
  <c r="G91" i="45"/>
  <c r="C63" i="45"/>
  <c r="H42" i="45"/>
  <c r="I23" i="45"/>
  <c r="I4" i="45"/>
  <c r="F57" i="38"/>
  <c r="F38" i="38"/>
  <c r="F23" i="38"/>
  <c r="D9" i="38"/>
  <c r="D19" i="37"/>
  <c r="D3" i="37"/>
  <c r="E187" i="45"/>
  <c r="I127" i="45"/>
  <c r="D98" i="45"/>
  <c r="I69" i="45"/>
  <c r="C47" i="45"/>
  <c r="D28" i="45"/>
  <c r="D9" i="45"/>
  <c r="B10" i="43"/>
  <c r="H44" i="38"/>
  <c r="C28" i="38"/>
  <c r="A14" i="38"/>
  <c r="B24" i="37"/>
  <c r="B8" i="37"/>
  <c r="E168" i="45"/>
  <c r="G90" i="45"/>
  <c r="B42" i="45"/>
  <c r="B4" i="45"/>
  <c r="E35" i="38"/>
  <c r="A7" i="38"/>
  <c r="E319" i="45"/>
  <c r="H121" i="45"/>
  <c r="I64" i="45"/>
  <c r="I24" i="45"/>
  <c r="A5" i="43"/>
  <c r="B26" i="38"/>
  <c r="C22" i="37"/>
  <c r="I156" i="45"/>
  <c r="C38" i="45"/>
  <c r="F37" i="38"/>
  <c r="E2" i="37"/>
  <c r="C15" i="36"/>
  <c r="E32" i="35"/>
  <c r="G19" i="35"/>
  <c r="I6" i="35"/>
  <c r="D169" i="45"/>
  <c r="I76" i="45"/>
  <c r="I32" i="45"/>
  <c r="D35" i="43"/>
  <c r="E29" i="38"/>
  <c r="A24" i="37"/>
  <c r="G174" i="45"/>
  <c r="B44" i="45"/>
  <c r="D36" i="38"/>
  <c r="F1" i="37"/>
  <c r="A20" i="36"/>
  <c r="D9" i="36"/>
  <c r="H32" i="35"/>
  <c r="B23" i="35"/>
  <c r="F13" i="35"/>
  <c r="D9" i="34"/>
  <c r="I107" i="33"/>
  <c r="H100" i="33"/>
  <c r="G93" i="33"/>
  <c r="F86" i="33"/>
  <c r="E79" i="33"/>
  <c r="D72" i="33"/>
  <c r="C65" i="33"/>
  <c r="B58" i="33"/>
  <c r="A51" i="33"/>
  <c r="I43" i="33"/>
  <c r="H36" i="33"/>
  <c r="G29" i="33"/>
  <c r="F22" i="33"/>
  <c r="E15" i="33"/>
  <c r="D8" i="33"/>
  <c r="C34" i="32"/>
  <c r="C26" i="32"/>
  <c r="C18" i="32"/>
  <c r="C10" i="32"/>
  <c r="C2" i="32"/>
  <c r="D4" i="31"/>
  <c r="D153" i="45"/>
  <c r="A37" i="45"/>
  <c r="E43" i="38"/>
  <c r="E7" i="37"/>
  <c r="I242" i="45"/>
  <c r="A184" i="45"/>
  <c r="I141" i="45"/>
  <c r="F86" i="45"/>
  <c r="C158" i="45"/>
  <c r="F85" i="45"/>
  <c r="G28" i="45"/>
  <c r="F44" i="38"/>
  <c r="H123" i="45"/>
  <c r="H66" i="45"/>
  <c r="C26" i="45"/>
  <c r="F3" i="43"/>
  <c r="D25" i="38"/>
  <c r="D21" i="37"/>
  <c r="G201" i="45"/>
  <c r="I101" i="45"/>
  <c r="G49" i="45"/>
  <c r="G11" i="45"/>
  <c r="B47" i="38"/>
  <c r="H15" i="38"/>
  <c r="B10" i="37"/>
  <c r="E14" i="45"/>
  <c r="H16" i="45"/>
  <c r="E162" i="45"/>
  <c r="G37" i="38"/>
  <c r="D69" i="45"/>
  <c r="G20" i="37"/>
  <c r="G10" i="45"/>
  <c r="E15" i="38"/>
  <c r="B99" i="45"/>
  <c r="G15" i="38"/>
  <c r="C9" i="36"/>
  <c r="I14" i="35"/>
  <c r="A116" i="45"/>
  <c r="G18" i="45"/>
  <c r="H18" i="38"/>
  <c r="A108" i="45"/>
  <c r="H14" i="38"/>
  <c r="A16" i="36"/>
  <c r="F29" i="35"/>
  <c r="D9" i="35"/>
  <c r="C105" i="33"/>
  <c r="A91" i="33"/>
  <c r="H76" i="33"/>
  <c r="F62" i="33"/>
  <c r="D48" i="33"/>
  <c r="B34" i="33"/>
  <c r="I19" i="33"/>
  <c r="G5" i="33"/>
  <c r="C23" i="32"/>
  <c r="C7" i="32"/>
  <c r="A1" i="31"/>
  <c r="F8" i="45"/>
  <c r="F27" i="36"/>
  <c r="F13" i="36"/>
  <c r="E144" i="45"/>
  <c r="A17" i="37"/>
  <c r="B5" i="36"/>
  <c r="F19" i="35"/>
  <c r="C8" i="34"/>
  <c r="I33" i="38"/>
  <c r="H12" i="36"/>
  <c r="F23" i="35"/>
  <c r="H5" i="35"/>
  <c r="A104" i="33"/>
  <c r="I90" i="33"/>
  <c r="E78" i="33"/>
  <c r="A66" i="33"/>
  <c r="A53" i="33"/>
  <c r="F40" i="33"/>
  <c r="B28" i="33"/>
  <c r="G15" i="33"/>
  <c r="C6" i="33"/>
  <c r="B29" i="32"/>
  <c r="E18" i="32"/>
  <c r="H7" i="32"/>
  <c r="A13" i="43"/>
  <c r="B4" i="36"/>
  <c r="I11" i="35"/>
  <c r="D29" i="45"/>
  <c r="B8" i="36"/>
  <c r="H9" i="35"/>
  <c r="B104" i="33"/>
  <c r="D91" i="33"/>
  <c r="H78" i="33"/>
  <c r="C66" i="33"/>
  <c r="E53" i="33"/>
  <c r="I40" i="33"/>
  <c r="C28" i="33"/>
  <c r="F15" i="33"/>
  <c r="D35" i="32"/>
  <c r="A21" i="32"/>
  <c r="H6" i="32"/>
  <c r="F4" i="31"/>
  <c r="E8" i="36"/>
  <c r="C108" i="33"/>
  <c r="C91" i="33"/>
  <c r="E74" i="33"/>
  <c r="F57" i="33"/>
  <c r="G40" i="33"/>
  <c r="H23" i="33"/>
  <c r="B7" i="33"/>
  <c r="F20" i="32"/>
  <c r="F1" i="32"/>
  <c r="C1" i="30"/>
  <c r="D9" i="28"/>
  <c r="A1" i="28"/>
  <c r="A31" i="27"/>
  <c r="A23" i="27"/>
  <c r="A15" i="27"/>
  <c r="A7" i="27"/>
  <c r="B27" i="36"/>
  <c r="C4" i="34"/>
  <c r="A94" i="33"/>
  <c r="A77" i="33"/>
  <c r="C60" i="33"/>
  <c r="D43" i="33"/>
  <c r="E26" i="33"/>
  <c r="F9" i="33"/>
  <c r="H24" i="32"/>
  <c r="F5" i="32"/>
  <c r="E305" i="45"/>
  <c r="F350" i="45"/>
  <c r="B168" i="45"/>
  <c r="H112" i="45"/>
  <c r="I187" i="45"/>
  <c r="E98" i="45"/>
  <c r="F41" i="45"/>
  <c r="E57" i="38"/>
  <c r="D147" i="45"/>
  <c r="B80" i="45"/>
  <c r="B35" i="45"/>
  <c r="D17" i="43"/>
  <c r="A32" i="38"/>
  <c r="F3" i="38"/>
  <c r="C260" i="45"/>
  <c r="C115" i="45"/>
  <c r="F58" i="45"/>
  <c r="F20" i="45"/>
  <c r="A56" i="38"/>
  <c r="E22" i="38"/>
  <c r="F17" i="37"/>
  <c r="H124" i="45"/>
  <c r="G26" i="45"/>
  <c r="I23" i="38"/>
  <c r="H188" i="45"/>
  <c r="E47" i="45"/>
  <c r="F45" i="38"/>
  <c r="C9" i="37"/>
  <c r="E7" i="45"/>
  <c r="G24" i="36"/>
  <c r="C27" i="35"/>
  <c r="F6" i="34"/>
  <c r="C54" i="45"/>
  <c r="H48" i="38"/>
  <c r="A10" i="37"/>
  <c r="A11" i="45"/>
  <c r="A26" i="36"/>
  <c r="F4" i="36"/>
  <c r="D18" i="35"/>
  <c r="G4" i="34"/>
  <c r="G97" i="33"/>
  <c r="E83" i="33"/>
  <c r="C69" i="33"/>
  <c r="A55" i="33"/>
  <c r="H40" i="33"/>
  <c r="F26" i="33"/>
  <c r="D12" i="33"/>
  <c r="G30" i="32"/>
  <c r="G14" i="32"/>
  <c r="H8" i="31"/>
  <c r="C90" i="45"/>
  <c r="F16" i="38"/>
  <c r="F19" i="36"/>
  <c r="F5" i="36"/>
  <c r="C40" i="43"/>
  <c r="B17" i="36"/>
  <c r="D27" i="35"/>
  <c r="C10" i="35"/>
  <c r="G50" i="45"/>
  <c r="H24" i="36"/>
  <c r="E31" i="35"/>
  <c r="H13" i="35"/>
  <c r="D1" i="34"/>
  <c r="I96" i="33"/>
  <c r="H83" i="33"/>
  <c r="D71" i="33"/>
  <c r="I58" i="33"/>
  <c r="I45" i="33"/>
  <c r="E33" i="33"/>
  <c r="A21" i="33"/>
  <c r="D10" i="33"/>
  <c r="H33" i="32"/>
  <c r="B23" i="32"/>
  <c r="E12" i="32"/>
  <c r="I254" i="45"/>
  <c r="H22" i="36"/>
  <c r="I21" i="35"/>
  <c r="C3" i="34"/>
  <c r="H26" i="36"/>
  <c r="F22" i="35"/>
  <c r="F1" i="34"/>
  <c r="A97" i="33"/>
  <c r="C84" i="33"/>
  <c r="G71" i="33"/>
  <c r="B59" i="33"/>
  <c r="D46" i="33"/>
  <c r="H33" i="33"/>
  <c r="B21" i="33"/>
  <c r="E8" i="33"/>
  <c r="D27" i="32"/>
  <c r="A13" i="32"/>
  <c r="C9" i="31"/>
  <c r="E40" i="38"/>
  <c r="D11" i="35"/>
  <c r="H98" i="33"/>
  <c r="H81" i="33"/>
  <c r="A65" i="33"/>
  <c r="B48" i="33"/>
  <c r="C31" i="33"/>
  <c r="D14" i="33"/>
  <c r="H28" i="32"/>
  <c r="A10" i="32"/>
  <c r="F3" i="31"/>
  <c r="H12" i="28"/>
  <c r="H4" i="28"/>
  <c r="E34" i="27"/>
  <c r="E26" i="27"/>
  <c r="E18" i="27"/>
  <c r="E10" i="27"/>
  <c r="E2" i="27"/>
  <c r="D21" i="35"/>
  <c r="D101" i="33"/>
  <c r="F84" i="33"/>
  <c r="F67" i="33"/>
  <c r="H50" i="33"/>
  <c r="I33" i="33"/>
  <c r="A17" i="33"/>
  <c r="A33" i="32"/>
  <c r="B14" i="32"/>
  <c r="G6" i="31"/>
  <c r="B15" i="28"/>
  <c r="B7" i="28"/>
  <c r="C37" i="27"/>
  <c r="C29" i="27"/>
  <c r="C21" i="27"/>
  <c r="C13" i="27"/>
  <c r="C5" i="27"/>
  <c r="D6" i="35"/>
  <c r="B282" i="45"/>
  <c r="C197" i="45"/>
  <c r="B121" i="45"/>
  <c r="D7" i="45"/>
  <c r="D102" i="45"/>
  <c r="A12" i="45"/>
  <c r="G14" i="38"/>
  <c r="C148" i="45"/>
  <c r="E35" i="45"/>
  <c r="F33" i="38"/>
  <c r="A243" i="45"/>
  <c r="G49" i="38"/>
  <c r="C86" i="45"/>
  <c r="D8" i="38"/>
  <c r="E26" i="37"/>
  <c r="G11" i="35"/>
  <c r="C9" i="45"/>
  <c r="F79" i="45"/>
  <c r="D13" i="36"/>
  <c r="B7" i="35"/>
  <c r="C89" i="33"/>
  <c r="H60" i="33"/>
  <c r="D32" i="33"/>
  <c r="I3" i="33"/>
  <c r="C5" i="32"/>
  <c r="C12" i="43"/>
  <c r="F11" i="36"/>
  <c r="E1" i="37"/>
  <c r="E17" i="35"/>
  <c r="F12" i="38"/>
  <c r="E21" i="35"/>
  <c r="C102" i="33"/>
  <c r="G76" i="33"/>
  <c r="H51" i="33"/>
  <c r="D26" i="33"/>
  <c r="A5" i="33"/>
  <c r="B17" i="32"/>
  <c r="D30" i="38"/>
  <c r="A9" i="35"/>
  <c r="H2" i="36"/>
  <c r="E102" i="33"/>
  <c r="B77" i="33"/>
  <c r="A52" i="33"/>
  <c r="G26" i="33"/>
  <c r="E33" i="32"/>
  <c r="A5" i="32"/>
  <c r="D31" i="35"/>
  <c r="D89" i="33"/>
  <c r="F55" i="33"/>
  <c r="H21" i="33"/>
  <c r="B18" i="32"/>
  <c r="D1" i="29"/>
  <c r="A38" i="27"/>
  <c r="A22" i="27"/>
  <c r="A6" i="27"/>
  <c r="F108" i="33"/>
  <c r="B75" i="33"/>
  <c r="D41" i="33"/>
  <c r="F7" i="33"/>
  <c r="E3" i="32"/>
  <c r="F14" i="28"/>
  <c r="I257" i="45"/>
  <c r="E50" i="38"/>
  <c r="G87" i="45"/>
  <c r="G8" i="38"/>
  <c r="I8" i="45"/>
  <c r="B131" i="45"/>
  <c r="B11" i="43"/>
  <c r="C26" i="37"/>
  <c r="G47" i="45"/>
  <c r="E10" i="37"/>
  <c r="D1" i="36"/>
  <c r="E8" i="35"/>
  <c r="A84" i="45"/>
  <c r="E42" i="43"/>
  <c r="F4" i="38"/>
  <c r="G53" i="45"/>
  <c r="E9" i="37"/>
  <c r="F10" i="36"/>
  <c r="C24" i="35"/>
  <c r="G10" i="34"/>
  <c r="G101" i="33"/>
  <c r="E87" i="33"/>
  <c r="C73" i="33"/>
  <c r="A59" i="33"/>
  <c r="H44" i="33"/>
  <c r="F30" i="33"/>
  <c r="D16" i="33"/>
  <c r="C35" i="32"/>
  <c r="C19" i="32"/>
  <c r="C3" i="32"/>
  <c r="E183" i="45"/>
  <c r="I52" i="38"/>
  <c r="D24" i="36"/>
  <c r="D10" i="36"/>
  <c r="A53" i="45"/>
  <c r="E26" i="36"/>
  <c r="A33" i="35"/>
  <c r="F14" i="35"/>
  <c r="H165" i="45"/>
  <c r="A23" i="37"/>
  <c r="H4" i="36"/>
  <c r="D19" i="35"/>
  <c r="H7" i="34"/>
  <c r="E100" i="33"/>
  <c r="A88" i="33"/>
  <c r="F75" i="33"/>
  <c r="E62" i="33"/>
  <c r="A50" i="33"/>
  <c r="F37" i="33"/>
  <c r="F24" i="33"/>
  <c r="D13" i="33"/>
  <c r="H3" i="33"/>
  <c r="E26" i="32"/>
  <c r="H15" i="32"/>
  <c r="B5" i="32"/>
  <c r="A27" i="37"/>
  <c r="D30" i="35"/>
  <c r="C6" i="35"/>
  <c r="C23" i="38"/>
  <c r="A31" i="35"/>
  <c r="D8" i="34"/>
  <c r="I100" i="33"/>
  <c r="C88" i="33"/>
  <c r="G75" i="33"/>
  <c r="I62" i="33"/>
  <c r="D50" i="33"/>
  <c r="H37" i="33"/>
  <c r="A25" i="33"/>
  <c r="E12" i="33"/>
  <c r="F31" i="32"/>
  <c r="E17" i="32"/>
  <c r="D3" i="32"/>
  <c r="A2" i="31"/>
  <c r="F25" i="35"/>
  <c r="H103" i="33"/>
  <c r="B87" i="33"/>
  <c r="D70" i="33"/>
  <c r="D53" i="33"/>
  <c r="F36" i="33"/>
  <c r="G19" i="33"/>
  <c r="H34" i="32"/>
  <c r="A16" i="32"/>
  <c r="B8" i="31"/>
  <c r="D15" i="28"/>
  <c r="D7" i="28"/>
  <c r="A37" i="27"/>
  <c r="A29" i="27"/>
  <c r="A21" i="27"/>
  <c r="A13" i="27"/>
  <c r="A5" i="27"/>
  <c r="H5" i="36"/>
  <c r="G106" i="33"/>
  <c r="F89" i="33"/>
  <c r="I72" i="33"/>
  <c r="B56" i="33"/>
  <c r="B39" i="33"/>
  <c r="D22" i="33"/>
  <c r="E5" i="33"/>
  <c r="A20" i="32"/>
  <c r="B1" i="32"/>
  <c r="D235" i="45"/>
  <c r="C177" i="45"/>
  <c r="G139" i="45"/>
  <c r="D84" i="45"/>
  <c r="F155" i="45"/>
  <c r="C84" i="45"/>
  <c r="D27" i="45"/>
  <c r="C43" i="38"/>
  <c r="H122" i="45"/>
  <c r="I65" i="45"/>
  <c r="G25" i="45"/>
  <c r="A3" i="43"/>
  <c r="I24" i="38"/>
  <c r="H20" i="37"/>
  <c r="B198" i="45"/>
  <c r="A101" i="45"/>
  <c r="A49" i="45"/>
  <c r="B11" i="45"/>
  <c r="F46" i="38"/>
  <c r="D15" i="38"/>
  <c r="F9" i="37"/>
  <c r="A96" i="45"/>
  <c r="G7" i="45"/>
  <c r="G9" i="38"/>
  <c r="D128" i="45"/>
  <c r="E28" i="45"/>
  <c r="H28" i="38"/>
  <c r="C178" i="45"/>
  <c r="G44" i="38"/>
  <c r="G16" i="36"/>
  <c r="I20" i="35"/>
  <c r="C201" i="45"/>
  <c r="C35" i="45"/>
  <c r="C31" i="38"/>
  <c r="G197" i="45"/>
  <c r="B41" i="38"/>
  <c r="F20" i="36"/>
  <c r="D33" i="35"/>
  <c r="B14" i="35"/>
  <c r="D108" i="33"/>
  <c r="B94" i="33"/>
  <c r="I79" i="33"/>
  <c r="G65" i="33"/>
  <c r="E51" i="33"/>
  <c r="C37" i="33"/>
  <c r="A23" i="33"/>
  <c r="H8" i="33"/>
  <c r="G26" i="32"/>
  <c r="G10" i="32"/>
  <c r="H4" i="31"/>
  <c r="H41" i="45"/>
  <c r="E11" i="37"/>
  <c r="D16" i="36"/>
  <c r="D2" i="36"/>
  <c r="E21" i="38"/>
  <c r="E10" i="36"/>
  <c r="A23" i="35"/>
  <c r="C5" i="35"/>
  <c r="C3" i="45"/>
  <c r="B18" i="36"/>
  <c r="F26" i="35"/>
  <c r="E9" i="35"/>
  <c r="D106" i="33"/>
  <c r="D93" i="33"/>
  <c r="I80" i="33"/>
  <c r="E68" i="33"/>
  <c r="D55" i="33"/>
  <c r="I42" i="33"/>
  <c r="E30" i="33"/>
  <c r="E17" i="33"/>
  <c r="A8" i="33"/>
  <c r="B31" i="32"/>
  <c r="E20" i="32"/>
  <c r="H9" i="32"/>
  <c r="H57" i="45"/>
  <c r="B12" i="36"/>
  <c r="B16" i="35"/>
  <c r="A100" i="45"/>
  <c r="B16" i="36"/>
  <c r="E15" i="35"/>
  <c r="E106" i="33"/>
  <c r="H93" i="33"/>
  <c r="B81" i="33"/>
  <c r="F68" i="33"/>
  <c r="H55" i="33"/>
  <c r="C43" i="33"/>
  <c r="G30" i="33"/>
  <c r="I17" i="33"/>
  <c r="D5" i="33"/>
  <c r="F23" i="32"/>
  <c r="E9" i="32"/>
  <c r="F6" i="31"/>
  <c r="E24" i="36"/>
  <c r="E5" i="34"/>
  <c r="D94" i="33"/>
  <c r="F77" i="33"/>
  <c r="I60" i="33"/>
  <c r="H43" i="33"/>
  <c r="B27" i="33"/>
  <c r="C10" i="33"/>
  <c r="B24" i="32"/>
  <c r="D5" i="32"/>
  <c r="B3" i="30"/>
  <c r="H10" i="28"/>
  <c r="H2" i="28"/>
  <c r="E32" i="27"/>
  <c r="E24" i="27"/>
  <c r="E16" i="27"/>
  <c r="E8" i="27"/>
  <c r="E36" i="45"/>
  <c r="A7" i="35"/>
  <c r="B97" i="33"/>
  <c r="B80" i="33"/>
  <c r="D63" i="33"/>
  <c r="G46" i="33"/>
  <c r="F29" i="33"/>
  <c r="I12" i="33"/>
  <c r="D28" i="32"/>
  <c r="D9" i="32"/>
  <c r="B3" i="31"/>
  <c r="B13" i="28"/>
  <c r="B5" i="28"/>
  <c r="C35" i="27"/>
  <c r="C27" i="27"/>
  <c r="C19" i="27"/>
  <c r="C11" i="27"/>
  <c r="C3" i="27"/>
  <c r="D105" i="33"/>
  <c r="E241" i="45"/>
  <c r="H100" i="45"/>
  <c r="G92" i="45"/>
  <c r="G51" i="38"/>
  <c r="I73" i="45"/>
  <c r="E10" i="43"/>
  <c r="D25" i="37"/>
  <c r="A109" i="45"/>
  <c r="E16" i="45"/>
  <c r="D19" i="38"/>
  <c r="A112" i="45"/>
  <c r="G17" i="38"/>
  <c r="B39" i="45"/>
  <c r="C2" i="37"/>
  <c r="C21" i="36"/>
  <c r="B3" i="34"/>
  <c r="G41" i="38"/>
  <c r="C9" i="43"/>
  <c r="F2" i="36"/>
  <c r="G2" i="34"/>
  <c r="B82" i="33"/>
  <c r="G53" i="33"/>
  <c r="C25" i="33"/>
  <c r="C29" i="32"/>
  <c r="D7" i="31"/>
  <c r="I5" i="38"/>
  <c r="A5" i="36"/>
  <c r="H15" i="36"/>
  <c r="E109" i="45"/>
  <c r="C18" i="38"/>
  <c r="B40" i="45"/>
  <c r="B2" i="37"/>
  <c r="F2" i="43"/>
  <c r="E100" i="45"/>
  <c r="G46" i="38"/>
  <c r="C10" i="37"/>
  <c r="H9" i="45"/>
  <c r="C25" i="36"/>
  <c r="G27" i="35"/>
  <c r="B7" i="34"/>
  <c r="F56" i="45"/>
  <c r="B51" i="38"/>
  <c r="A12" i="37"/>
  <c r="G15" i="45"/>
  <c r="F26" i="36"/>
  <c r="D5" i="36"/>
  <c r="E19" i="35"/>
  <c r="D5" i="34"/>
  <c r="B98" i="33"/>
  <c r="I83" i="33"/>
  <c r="G69" i="33"/>
  <c r="E55" i="33"/>
  <c r="C41" i="33"/>
  <c r="A27" i="33"/>
  <c r="H12" i="33"/>
  <c r="C31" i="32"/>
  <c r="C15" i="32"/>
  <c r="D9" i="31"/>
  <c r="D97" i="45"/>
  <c r="B20" i="38"/>
  <c r="A21" i="36"/>
  <c r="D6" i="36"/>
  <c r="G5" i="45"/>
  <c r="H19" i="36"/>
  <c r="B28" i="35"/>
  <c r="A11" i="35"/>
  <c r="B75" i="45"/>
  <c r="B26" i="36"/>
  <c r="B32" i="35"/>
  <c r="A15" i="35"/>
  <c r="E2" i="34"/>
  <c r="E97" i="33"/>
  <c r="A85" i="33"/>
  <c r="A72" i="33"/>
  <c r="F59" i="33"/>
  <c r="B47" i="33"/>
  <c r="A34" i="33"/>
  <c r="F21" i="33"/>
  <c r="I10" i="33"/>
  <c r="E34" i="32"/>
  <c r="H23" i="32"/>
  <c r="B13" i="32"/>
  <c r="E2" i="32"/>
  <c r="E25" i="36"/>
  <c r="D23" i="35"/>
  <c r="E4" i="34"/>
  <c r="E29" i="36"/>
  <c r="E25" i="35"/>
  <c r="H2" i="34"/>
  <c r="H97" i="33"/>
  <c r="B85" i="33"/>
  <c r="E72" i="33"/>
  <c r="H59" i="33"/>
  <c r="C47" i="33"/>
  <c r="E34" i="33"/>
  <c r="I21" i="33"/>
  <c r="D9" i="33"/>
  <c r="B28" i="32"/>
  <c r="A14" i="32"/>
  <c r="A10" i="31"/>
  <c r="E17" i="45"/>
  <c r="C14" i="35"/>
  <c r="G99" i="33"/>
  <c r="I82" i="33"/>
  <c r="I65" i="33"/>
  <c r="B49" i="33"/>
  <c r="E32" i="33"/>
  <c r="D15" i="33"/>
  <c r="B30" i="32"/>
  <c r="A11" i="32"/>
  <c r="E4" i="31"/>
  <c r="D13" i="28"/>
  <c r="D5" i="28"/>
  <c r="A35" i="27"/>
  <c r="A27" i="27"/>
  <c r="A19" i="27"/>
  <c r="A11" i="27"/>
  <c r="A3" i="27"/>
  <c r="B24" i="35"/>
  <c r="D102" i="33"/>
  <c r="E85" i="33"/>
  <c r="G68" i="33"/>
  <c r="G51" i="33"/>
  <c r="I34" i="33"/>
  <c r="C18" i="33"/>
  <c r="B34" i="32"/>
  <c r="D15" i="32"/>
  <c r="F7" i="31"/>
  <c r="D378" i="45"/>
  <c r="H300" i="45"/>
  <c r="C247" i="45"/>
  <c r="A63" i="45"/>
  <c r="A128" i="45"/>
  <c r="A70" i="45"/>
  <c r="B13" i="45"/>
  <c r="G243" i="45"/>
  <c r="F108" i="45"/>
  <c r="B54" i="45"/>
  <c r="B16" i="45"/>
  <c r="H49" i="38"/>
  <c r="H17" i="38"/>
  <c r="H12" i="37"/>
  <c r="G160" i="45"/>
  <c r="H86" i="45"/>
  <c r="F39" i="45"/>
  <c r="F44" i="43"/>
  <c r="B37" i="38"/>
  <c r="C8" i="38"/>
  <c r="I389" i="45"/>
  <c r="F67" i="45"/>
  <c r="E1" i="43"/>
  <c r="G19" i="37"/>
  <c r="G98" i="45"/>
  <c r="E9" i="45"/>
  <c r="F14" i="38"/>
  <c r="F95" i="45"/>
  <c r="I13" i="38"/>
  <c r="G8" i="36"/>
  <c r="E14" i="35"/>
  <c r="I108" i="45"/>
  <c r="D16" i="45"/>
  <c r="A17" i="38"/>
  <c r="I100" i="45"/>
  <c r="C11" i="38"/>
  <c r="D15" i="36"/>
  <c r="A29" i="35"/>
  <c r="H8" i="35"/>
  <c r="H104" i="33"/>
  <c r="F90" i="33"/>
  <c r="D76" i="33"/>
  <c r="B62" i="33"/>
  <c r="I47" i="33"/>
  <c r="G33" i="33"/>
  <c r="E19" i="33"/>
  <c r="C5" i="33"/>
  <c r="G22" i="32"/>
  <c r="G6" i="32"/>
  <c r="E3" i="30"/>
  <c r="I3" i="45"/>
  <c r="A27" i="36"/>
  <c r="A13" i="36"/>
  <c r="B107" i="45"/>
  <c r="A9" i="37"/>
  <c r="H3" i="36"/>
  <c r="B18" i="35"/>
  <c r="C7" i="34"/>
  <c r="H26" i="38"/>
  <c r="B10" i="36"/>
  <c r="C22" i="35"/>
  <c r="A5" i="35"/>
  <c r="H102" i="33"/>
  <c r="D90" i="33"/>
  <c r="I77" i="33"/>
  <c r="I64" i="33"/>
  <c r="E52" i="33"/>
  <c r="A40" i="33"/>
  <c r="I26" i="33"/>
  <c r="B15" i="33"/>
  <c r="F5" i="33"/>
  <c r="E28" i="32"/>
  <c r="H17" i="32"/>
  <c r="B7" i="32"/>
  <c r="F47" i="38"/>
  <c r="E1" i="36"/>
  <c r="F10" i="35"/>
  <c r="D10" i="45"/>
  <c r="E5" i="36"/>
  <c r="D8" i="35"/>
  <c r="C103" i="33"/>
  <c r="G90" i="33"/>
  <c r="A78" i="33"/>
  <c r="D65" i="33"/>
  <c r="G52" i="33"/>
  <c r="B40" i="33"/>
  <c r="D27" i="33"/>
  <c r="H14" i="33"/>
  <c r="D34" i="32"/>
  <c r="B20" i="32"/>
  <c r="A6" i="32"/>
  <c r="A4" i="31"/>
  <c r="B3" i="36"/>
  <c r="B107" i="33"/>
  <c r="C90" i="33"/>
  <c r="E73" i="33"/>
  <c r="E56" i="33"/>
  <c r="G39" i="33"/>
  <c r="I22" i="33"/>
  <c r="I5" i="33"/>
  <c r="E19" i="32"/>
  <c r="G10" i="31"/>
  <c r="H1" i="29"/>
  <c r="H8" i="28"/>
  <c r="E38" i="27"/>
  <c r="E30" i="27"/>
  <c r="E22" i="27"/>
  <c r="E14" i="27"/>
  <c r="E6" i="27"/>
  <c r="H21" i="36"/>
  <c r="H1" i="34"/>
  <c r="I92" i="33"/>
  <c r="A76" i="33"/>
  <c r="C59" i="33"/>
  <c r="C42" i="33"/>
  <c r="E25" i="33"/>
  <c r="G8" i="33"/>
  <c r="E23" i="32"/>
  <c r="F4" i="32"/>
  <c r="D3" i="30"/>
  <c r="B11" i="28"/>
  <c r="B3" i="28"/>
  <c r="C33" i="27"/>
  <c r="C25" i="27"/>
  <c r="C17" i="27"/>
  <c r="C9" i="27"/>
  <c r="I45" i="45"/>
  <c r="F361" i="45"/>
  <c r="I247" i="45"/>
  <c r="B317" i="45"/>
  <c r="C64" i="45"/>
  <c r="F210" i="45"/>
  <c r="I49" i="45"/>
  <c r="G45" i="38"/>
  <c r="D9" i="37"/>
  <c r="F80" i="45"/>
  <c r="C36" i="43"/>
  <c r="B5" i="38"/>
  <c r="D56" i="45"/>
  <c r="G12" i="37"/>
  <c r="D44" i="43"/>
  <c r="G70" i="45"/>
  <c r="C5" i="36"/>
  <c r="C98" i="45"/>
  <c r="G11" i="38"/>
  <c r="E25" i="37"/>
  <c r="D26" i="35"/>
  <c r="E103" i="33"/>
  <c r="A75" i="33"/>
  <c r="F46" i="33"/>
  <c r="B18" i="33"/>
  <c r="C21" i="32"/>
  <c r="A2" i="30"/>
  <c r="D26" i="36"/>
  <c r="I92" i="45"/>
  <c r="G54" i="45"/>
  <c r="D13" i="37"/>
  <c r="C2" i="45"/>
  <c r="H97" i="45"/>
  <c r="F10" i="38"/>
  <c r="G29" i="45"/>
  <c r="G29" i="38"/>
  <c r="F190" i="45"/>
  <c r="A47" i="38"/>
  <c r="C17" i="36"/>
  <c r="C21" i="35"/>
  <c r="E215" i="45"/>
  <c r="G37" i="45"/>
  <c r="A33" i="38"/>
  <c r="B226" i="45"/>
  <c r="H45" i="38"/>
  <c r="D21" i="36"/>
  <c r="I33" i="35"/>
  <c r="G14" i="35"/>
  <c r="H108" i="33"/>
  <c r="F94" i="33"/>
  <c r="D80" i="33"/>
  <c r="B66" i="33"/>
  <c r="I51" i="33"/>
  <c r="G37" i="33"/>
  <c r="E23" i="33"/>
  <c r="C9" i="33"/>
  <c r="C27" i="32"/>
  <c r="C11" i="32"/>
  <c r="D5" i="31"/>
  <c r="F46" i="45"/>
  <c r="E15" i="37"/>
  <c r="A17" i="36"/>
  <c r="A3" i="36"/>
  <c r="H35" i="38"/>
  <c r="H11" i="36"/>
  <c r="I23" i="35"/>
  <c r="H6" i="35"/>
  <c r="H12" i="45"/>
  <c r="E19" i="36"/>
  <c r="I27" i="35"/>
  <c r="B10" i="35"/>
  <c r="I106" i="33"/>
  <c r="E94" i="33"/>
  <c r="E81" i="33"/>
  <c r="A69" i="33"/>
  <c r="F56" i="33"/>
  <c r="F43" i="33"/>
  <c r="B31" i="33"/>
  <c r="G18" i="33"/>
  <c r="F8" i="33"/>
  <c r="H31" i="32"/>
  <c r="B21" i="32"/>
  <c r="E10" i="32"/>
  <c r="H85" i="45"/>
  <c r="H14" i="36"/>
  <c r="F17" i="35"/>
  <c r="C130" i="45"/>
  <c r="H18" i="36"/>
  <c r="C18" i="35"/>
  <c r="C107" i="33"/>
  <c r="G94" i="33"/>
  <c r="I81" i="33"/>
  <c r="D69" i="33"/>
  <c r="G56" i="33"/>
  <c r="A44" i="33"/>
  <c r="D31" i="33"/>
  <c r="H18" i="33"/>
  <c r="A6" i="33"/>
  <c r="F24" i="32"/>
  <c r="D10" i="32"/>
  <c r="C7" i="31"/>
  <c r="H29" i="36"/>
  <c r="E8" i="34"/>
  <c r="F95" i="33"/>
  <c r="G78" i="33"/>
  <c r="H61" i="33"/>
  <c r="A45" i="33"/>
  <c r="A28" i="33"/>
  <c r="C11" i="33"/>
  <c r="D25" i="32"/>
  <c r="D6" i="32"/>
  <c r="G3" i="30"/>
  <c r="D11" i="28"/>
  <c r="D3" i="28"/>
  <c r="A33" i="27"/>
  <c r="A25" i="27"/>
  <c r="A17" i="27"/>
  <c r="A9" i="27"/>
  <c r="C82" i="45"/>
  <c r="H12" i="35"/>
  <c r="C98" i="33"/>
  <c r="D81" i="33"/>
  <c r="E64" i="33"/>
  <c r="F47" i="33"/>
  <c r="H30" i="33"/>
  <c r="H13" i="33"/>
  <c r="E29" i="32"/>
  <c r="F10" i="32"/>
  <c r="F263" i="45"/>
  <c r="I233" i="45"/>
  <c r="I212" i="45"/>
  <c r="H155" i="45"/>
  <c r="F246" i="45"/>
  <c r="G112" i="45"/>
  <c r="H55" i="45"/>
  <c r="F38" i="43"/>
  <c r="H175" i="45"/>
  <c r="D94" i="45"/>
  <c r="F44" i="45"/>
  <c r="G6" i="45"/>
  <c r="D40" i="38"/>
  <c r="G10" i="38"/>
  <c r="H4" i="37"/>
  <c r="C132" i="45"/>
  <c r="F72" i="45"/>
  <c r="B30" i="45"/>
  <c r="D12" i="43"/>
  <c r="F29" i="38"/>
  <c r="F25" i="37"/>
  <c r="B179" i="45"/>
  <c r="G45" i="45"/>
  <c r="A39" i="38"/>
  <c r="G3" i="37"/>
  <c r="C70" i="45"/>
  <c r="E9" i="43"/>
  <c r="C25" i="37"/>
  <c r="D45" i="45"/>
  <c r="E8" i="37"/>
  <c r="G33" i="35"/>
  <c r="A8" i="35"/>
  <c r="E80" i="45"/>
  <c r="E37" i="43"/>
  <c r="A26" i="37"/>
  <c r="I48" i="45"/>
  <c r="E5" i="37"/>
  <c r="A10" i="36"/>
  <c r="H23" i="35"/>
  <c r="A10" i="34"/>
  <c r="C101" i="33"/>
  <c r="A87" i="33"/>
  <c r="H72" i="33"/>
  <c r="F58" i="33"/>
  <c r="D44" i="33"/>
  <c r="B30" i="33"/>
  <c r="I15" i="33"/>
  <c r="G34" i="32"/>
  <c r="G18" i="32"/>
  <c r="G2" i="32"/>
  <c r="F167" i="45"/>
  <c r="C48" i="38"/>
  <c r="F23" i="36"/>
  <c r="A9" i="36"/>
  <c r="F43" i="45"/>
  <c r="B25" i="36"/>
  <c r="F31" i="35"/>
  <c r="I13" i="35"/>
  <c r="D137" i="45"/>
  <c r="A7" i="37"/>
  <c r="E3" i="36"/>
  <c r="G18" i="35"/>
  <c r="C6" i="34"/>
  <c r="H99" i="33"/>
  <c r="D87" i="33"/>
  <c r="D74" i="33"/>
  <c r="I61" i="33"/>
  <c r="E49" i="33"/>
  <c r="E36" i="33"/>
  <c r="A24" i="33"/>
  <c r="G12" i="33"/>
  <c r="C3" i="33"/>
  <c r="H25" i="32"/>
  <c r="B15" i="32"/>
  <c r="E4" i="32"/>
  <c r="A11" i="37"/>
  <c r="F27" i="35"/>
  <c r="C9" i="34"/>
  <c r="A9" i="38"/>
  <c r="H29" i="35"/>
  <c r="E6" i="34"/>
  <c r="B100" i="33"/>
  <c r="F87" i="33"/>
  <c r="H74" i="33"/>
  <c r="C62" i="33"/>
  <c r="F49" i="33"/>
  <c r="I36" i="33"/>
  <c r="C24" i="33"/>
  <c r="G11" i="33"/>
  <c r="H30" i="32"/>
  <c r="F16" i="32"/>
  <c r="D2" i="32"/>
  <c r="H236" i="45"/>
  <c r="H22" i="35"/>
  <c r="I102" i="33"/>
  <c r="A86" i="33"/>
  <c r="B69" i="33"/>
  <c r="C52" i="33"/>
  <c r="F35" i="33"/>
  <c r="E18" i="33"/>
  <c r="F33" i="32"/>
  <c r="F14" i="32"/>
  <c r="B7" i="31"/>
  <c r="H14" i="28"/>
  <c r="H6" i="28"/>
  <c r="E36" i="27"/>
  <c r="E28" i="27"/>
  <c r="E20" i="27"/>
  <c r="E12" i="27"/>
  <c r="E4" i="27"/>
  <c r="G32" i="35"/>
  <c r="E105" i="33"/>
  <c r="G88" i="33"/>
  <c r="H71" i="33"/>
  <c r="I54" i="33"/>
  <c r="A38" i="33"/>
  <c r="D21" i="33"/>
  <c r="C4" i="33"/>
  <c r="H18" i="32"/>
  <c r="C10" i="31"/>
  <c r="A1" i="30"/>
  <c r="B9" i="28"/>
  <c r="C1" i="28"/>
  <c r="C31" i="27"/>
  <c r="C23" i="27"/>
  <c r="C15" i="27"/>
  <c r="C7" i="27"/>
  <c r="B29" i="35"/>
  <c r="G315" i="45"/>
  <c r="B156" i="45"/>
  <c r="E172" i="45"/>
  <c r="H35" i="45"/>
  <c r="I134" i="45"/>
  <c r="A31" i="45"/>
  <c r="I28" i="38"/>
  <c r="B230" i="45"/>
  <c r="D54" i="45"/>
  <c r="I51" i="38"/>
  <c r="B14" i="37"/>
  <c r="D18" i="45"/>
  <c r="F159" i="45"/>
  <c r="C37" i="38"/>
  <c r="E11" i="43"/>
  <c r="E24" i="35"/>
  <c r="B47" i="45"/>
  <c r="A4" i="37"/>
  <c r="A24" i="36"/>
  <c r="H16" i="35"/>
  <c r="D96" i="33"/>
  <c r="I67" i="33"/>
  <c r="E39" i="33"/>
  <c r="A11" i="33"/>
  <c r="C13" i="32"/>
  <c r="I68" i="45"/>
  <c r="A19" i="36"/>
  <c r="G54" i="38"/>
  <c r="G26" i="35"/>
  <c r="C41" i="45"/>
  <c r="D29" i="35"/>
  <c r="G108" i="33"/>
  <c r="C83" i="33"/>
  <c r="H57" i="33"/>
  <c r="I32" i="33"/>
  <c r="H9" i="33"/>
  <c r="E22" i="32"/>
  <c r="G158" i="45"/>
  <c r="D20" i="35"/>
  <c r="B24" i="36"/>
  <c r="I108" i="33"/>
  <c r="F83" i="33"/>
  <c r="C58" i="33"/>
  <c r="A33" i="33"/>
  <c r="G7" i="33"/>
  <c r="B12" i="32"/>
  <c r="H10" i="38"/>
  <c r="F97" i="33"/>
  <c r="A64" i="33"/>
  <c r="C30" i="33"/>
  <c r="F27" i="32"/>
  <c r="G2" i="31"/>
  <c r="D4" i="28"/>
  <c r="A26" i="27"/>
  <c r="A10" i="27"/>
  <c r="F18" i="35"/>
  <c r="D83" i="33"/>
  <c r="H49" i="33"/>
  <c r="A16" i="33"/>
  <c r="H12" i="32"/>
  <c r="E1" i="30"/>
  <c r="F6" i="28"/>
  <c r="C1" i="36"/>
  <c r="H8" i="36"/>
  <c r="H89" i="33"/>
  <c r="H38" i="33"/>
  <c r="H27" i="32"/>
  <c r="B33" i="35"/>
  <c r="D5" i="35"/>
  <c r="F64" i="33"/>
  <c r="A14" i="33"/>
  <c r="C3" i="31"/>
  <c r="C72" i="33"/>
  <c r="I4" i="33"/>
  <c r="D8" i="28"/>
  <c r="A14" i="27"/>
  <c r="H91" i="33"/>
  <c r="E24" i="33"/>
  <c r="G1" i="31"/>
  <c r="G1" i="28"/>
  <c r="G28" i="27"/>
  <c r="C18" i="27"/>
  <c r="G7" i="27"/>
  <c r="H5" i="34"/>
  <c r="H75" i="33"/>
  <c r="A42" i="33"/>
  <c r="C8" i="33"/>
  <c r="D4" i="32"/>
  <c r="E11" i="28"/>
  <c r="F33" i="27"/>
  <c r="F17" i="27"/>
  <c r="H1" i="27"/>
  <c r="F45" i="26"/>
  <c r="F41" i="26"/>
  <c r="F37" i="26"/>
  <c r="F33" i="26"/>
  <c r="F29" i="26"/>
  <c r="F25" i="26"/>
  <c r="F21" i="26"/>
  <c r="F17" i="26"/>
  <c r="F13" i="26"/>
  <c r="F9" i="26"/>
  <c r="E5" i="26"/>
  <c r="G885" i="25"/>
  <c r="F878" i="25"/>
  <c r="E871" i="25"/>
  <c r="D864" i="25"/>
  <c r="C857" i="25"/>
  <c r="B850" i="25"/>
  <c r="A843" i="25"/>
  <c r="I835" i="25"/>
  <c r="H828" i="25"/>
  <c r="G821" i="25"/>
  <c r="F814" i="25"/>
  <c r="E807" i="25"/>
  <c r="D800" i="25"/>
  <c r="C793" i="25"/>
  <c r="B786" i="25"/>
  <c r="A779" i="25"/>
  <c r="I771" i="25"/>
  <c r="H764" i="25"/>
  <c r="G757" i="25"/>
  <c r="F750" i="25"/>
  <c r="E743" i="25"/>
  <c r="D736" i="25"/>
  <c r="C729" i="25"/>
  <c r="B722" i="25"/>
  <c r="A715" i="25"/>
  <c r="I707" i="25"/>
  <c r="H700" i="25"/>
  <c r="G693" i="25"/>
  <c r="F686" i="25"/>
  <c r="E679" i="25"/>
  <c r="D672" i="25"/>
  <c r="C665" i="25"/>
  <c r="B658" i="25"/>
  <c r="A651" i="25"/>
  <c r="I643" i="25"/>
  <c r="H636" i="25"/>
  <c r="G629" i="25"/>
  <c r="F622" i="25"/>
  <c r="E615" i="25"/>
  <c r="D608" i="25"/>
  <c r="C601" i="25"/>
  <c r="B594" i="25"/>
  <c r="A587" i="25"/>
  <c r="I579" i="25"/>
  <c r="H572" i="25"/>
  <c r="G565" i="25"/>
  <c r="F558" i="25"/>
  <c r="E551" i="25"/>
  <c r="D544" i="25"/>
  <c r="C537" i="25"/>
  <c r="B530" i="25"/>
  <c r="A523" i="25"/>
  <c r="I515" i="25"/>
  <c r="H508" i="25"/>
  <c r="G501" i="25"/>
  <c r="F494" i="25"/>
  <c r="E487" i="25"/>
  <c r="D480" i="25"/>
  <c r="C473" i="25"/>
  <c r="B466" i="25"/>
  <c r="A459" i="25"/>
  <c r="I451" i="25"/>
  <c r="H444" i="25"/>
  <c r="G437" i="25"/>
  <c r="F430" i="25"/>
  <c r="E423" i="25"/>
  <c r="D416" i="25"/>
  <c r="C409" i="25"/>
  <c r="B402" i="25"/>
  <c r="A395" i="25"/>
  <c r="I387" i="25"/>
  <c r="H380" i="25"/>
  <c r="F100" i="33"/>
  <c r="H66" i="33"/>
  <c r="B33" i="33"/>
  <c r="B32" i="32"/>
  <c r="B6" i="31"/>
  <c r="C7" i="28"/>
  <c r="D29" i="27"/>
  <c r="D13" i="27"/>
  <c r="G48" i="26"/>
  <c r="F44" i="26"/>
  <c r="F40" i="26"/>
  <c r="F36" i="26"/>
  <c r="F32" i="26"/>
  <c r="F28" i="26"/>
  <c r="F24" i="26"/>
  <c r="F20" i="26"/>
  <c r="F16" i="26"/>
  <c r="F12" i="26"/>
  <c r="F8" i="26"/>
  <c r="I890" i="25"/>
  <c r="H883" i="25"/>
  <c r="G876" i="25"/>
  <c r="F869" i="25"/>
  <c r="E862" i="25"/>
  <c r="D855" i="25"/>
  <c r="C848" i="25"/>
  <c r="B841" i="25"/>
  <c r="A834" i="25"/>
  <c r="I826" i="25"/>
  <c r="H819" i="25"/>
  <c r="G812" i="25"/>
  <c r="F805" i="25"/>
  <c r="E798" i="25"/>
  <c r="D791" i="25"/>
  <c r="C784" i="25"/>
  <c r="B777" i="25"/>
  <c r="A770" i="25"/>
  <c r="I762" i="25"/>
  <c r="H755" i="25"/>
  <c r="G748" i="25"/>
  <c r="F741" i="25"/>
  <c r="E734" i="25"/>
  <c r="D727" i="25"/>
  <c r="C720" i="25"/>
  <c r="B713" i="25"/>
  <c r="A706" i="25"/>
  <c r="I698" i="25"/>
  <c r="H691" i="25"/>
  <c r="G684" i="25"/>
  <c r="F677" i="25"/>
  <c r="E670" i="25"/>
  <c r="D663" i="25"/>
  <c r="C656" i="25"/>
  <c r="B649" i="25"/>
  <c r="A642" i="25"/>
  <c r="I634" i="25"/>
  <c r="H627" i="25"/>
  <c r="G620" i="25"/>
  <c r="F613" i="25"/>
  <c r="E606" i="25"/>
  <c r="B93" i="33"/>
  <c r="F25" i="33"/>
  <c r="F1" i="30"/>
  <c r="H25" i="27"/>
  <c r="A47" i="26"/>
  <c r="A39" i="26"/>
  <c r="A31" i="26"/>
  <c r="A23" i="26"/>
  <c r="A15" i="26"/>
  <c r="A7" i="26"/>
  <c r="H881" i="25"/>
  <c r="F867" i="25"/>
  <c r="D853" i="25"/>
  <c r="B839" i="25"/>
  <c r="I824" i="25"/>
  <c r="G810" i="25"/>
  <c r="E796" i="25"/>
  <c r="C782" i="25"/>
  <c r="A768" i="25"/>
  <c r="H753" i="25"/>
  <c r="F739" i="25"/>
  <c r="D725" i="25"/>
  <c r="B711" i="25"/>
  <c r="I696" i="25"/>
  <c r="G682" i="25"/>
  <c r="E668" i="25"/>
  <c r="C654" i="25"/>
  <c r="A640" i="25"/>
  <c r="H625" i="25"/>
  <c r="F611" i="25"/>
  <c r="C599" i="25"/>
  <c r="H589" i="25"/>
  <c r="C580" i="25"/>
  <c r="H570" i="25"/>
  <c r="D561" i="25"/>
  <c r="H551" i="25"/>
  <c r="D542" i="25"/>
  <c r="I532" i="25"/>
  <c r="I394" i="45"/>
  <c r="A242" i="45"/>
  <c r="B298" i="45"/>
  <c r="B8" i="35"/>
  <c r="C12" i="35"/>
  <c r="H70" i="33"/>
  <c r="H19" i="33"/>
  <c r="H11" i="32"/>
  <c r="C2" i="34"/>
  <c r="B96" i="33"/>
  <c r="F45" i="33"/>
  <c r="D26" i="32"/>
  <c r="F8" i="35"/>
  <c r="I46" i="33"/>
  <c r="H8" i="32"/>
  <c r="A34" i="27"/>
  <c r="A2" i="27"/>
  <c r="E66" i="33"/>
  <c r="A32" i="32"/>
  <c r="B12" i="28"/>
  <c r="G36" i="27"/>
  <c r="C26" i="27"/>
  <c r="G15" i="27"/>
  <c r="G4" i="27"/>
  <c r="B101" i="33"/>
  <c r="D67" i="33"/>
  <c r="F33" i="33"/>
  <c r="H32" i="32"/>
  <c r="C8" i="31"/>
  <c r="E7" i="28"/>
  <c r="F29" i="27"/>
  <c r="F13" i="27"/>
  <c r="H48" i="26"/>
  <c r="G44" i="26"/>
  <c r="G40" i="26"/>
  <c r="G36" i="26"/>
  <c r="G32" i="26"/>
  <c r="G28" i="26"/>
  <c r="G24" i="26"/>
  <c r="G20" i="26"/>
  <c r="G16" i="26"/>
  <c r="G12" i="26"/>
  <c r="G8" i="26"/>
  <c r="A891" i="25"/>
  <c r="I883" i="25"/>
  <c r="H876" i="25"/>
  <c r="G869" i="25"/>
  <c r="F862" i="25"/>
  <c r="E855" i="25"/>
  <c r="D848" i="25"/>
  <c r="C841" i="25"/>
  <c r="B834" i="25"/>
  <c r="A827" i="25"/>
  <c r="I819" i="25"/>
  <c r="H812" i="25"/>
  <c r="G805" i="25"/>
  <c r="F798" i="25"/>
  <c r="E791" i="25"/>
  <c r="D784" i="25"/>
  <c r="C777" i="25"/>
  <c r="B770" i="25"/>
  <c r="A763" i="25"/>
  <c r="I755" i="25"/>
  <c r="H748" i="25"/>
  <c r="G741" i="25"/>
  <c r="F734" i="25"/>
  <c r="E727" i="25"/>
  <c r="D720" i="25"/>
  <c r="C713" i="25"/>
  <c r="B706" i="25"/>
  <c r="A699" i="25"/>
  <c r="I691" i="25"/>
  <c r="H684" i="25"/>
  <c r="G677" i="25"/>
  <c r="F670" i="25"/>
  <c r="E663" i="25"/>
  <c r="D656" i="25"/>
  <c r="C649" i="25"/>
  <c r="B642" i="25"/>
  <c r="A635" i="25"/>
  <c r="I627" i="25"/>
  <c r="H620" i="25"/>
  <c r="G613" i="25"/>
  <c r="F606" i="25"/>
  <c r="E599" i="25"/>
  <c r="D592" i="25"/>
  <c r="C585" i="25"/>
  <c r="B578" i="25"/>
  <c r="A571" i="25"/>
  <c r="I563" i="25"/>
  <c r="H556" i="25"/>
  <c r="G549" i="25"/>
  <c r="F542" i="25"/>
  <c r="E535" i="25"/>
  <c r="D528" i="25"/>
  <c r="C521" i="25"/>
  <c r="B514" i="25"/>
  <c r="A507" i="25"/>
  <c r="I499" i="25"/>
  <c r="H492" i="25"/>
  <c r="G485" i="25"/>
  <c r="F478" i="25"/>
  <c r="E471" i="25"/>
  <c r="D464" i="25"/>
  <c r="C457" i="25"/>
  <c r="B450" i="25"/>
  <c r="A443" i="25"/>
  <c r="I435" i="25"/>
  <c r="H428" i="25"/>
  <c r="G421" i="25"/>
  <c r="F414" i="25"/>
  <c r="E407" i="25"/>
  <c r="D400" i="25"/>
  <c r="C393" i="25"/>
  <c r="B386" i="25"/>
  <c r="I17" i="38"/>
  <c r="A92" i="33"/>
  <c r="E58" i="33"/>
  <c r="G24" i="33"/>
  <c r="F22" i="32"/>
  <c r="F3" i="30"/>
  <c r="C3" i="28"/>
  <c r="D25" i="27"/>
  <c r="D9" i="27"/>
  <c r="G47" i="26"/>
  <c r="G43" i="26"/>
  <c r="G39" i="26"/>
  <c r="G35" i="26"/>
  <c r="G31" i="26"/>
  <c r="G27" i="26"/>
  <c r="G23" i="26"/>
  <c r="G19" i="26"/>
  <c r="G15" i="26"/>
  <c r="G11" i="26"/>
  <c r="G7" i="26"/>
  <c r="B889" i="25"/>
  <c r="A882" i="25"/>
  <c r="I874" i="25"/>
  <c r="H867" i="25"/>
  <c r="G860" i="25"/>
  <c r="F853" i="25"/>
  <c r="E846" i="25"/>
  <c r="D839" i="25"/>
  <c r="C832" i="25"/>
  <c r="B825" i="25"/>
  <c r="A818" i="25"/>
  <c r="I810" i="25"/>
  <c r="H803" i="25"/>
  <c r="G796" i="25"/>
  <c r="F789" i="25"/>
  <c r="E782" i="25"/>
  <c r="D775" i="25"/>
  <c r="C768" i="25"/>
  <c r="B761" i="25"/>
  <c r="A754" i="25"/>
  <c r="I746" i="25"/>
  <c r="H739" i="25"/>
  <c r="G732" i="25"/>
  <c r="F725" i="25"/>
  <c r="E718" i="25"/>
  <c r="D711" i="25"/>
  <c r="C704" i="25"/>
  <c r="B697" i="25"/>
  <c r="A690" i="25"/>
  <c r="I682" i="25"/>
  <c r="H675" i="25"/>
  <c r="G668" i="25"/>
  <c r="F661" i="25"/>
  <c r="E654" i="25"/>
  <c r="D647" i="25"/>
  <c r="C640" i="25"/>
  <c r="B633" i="25"/>
  <c r="A626" i="25"/>
  <c r="I618" i="25"/>
  <c r="H611" i="25"/>
  <c r="G604" i="25"/>
  <c r="C76" i="33"/>
  <c r="I8" i="33"/>
  <c r="G10" i="28"/>
  <c r="H17" i="27"/>
  <c r="C45" i="26"/>
  <c r="C37" i="26"/>
  <c r="C29" i="26"/>
  <c r="C21" i="26"/>
  <c r="C13" i="26"/>
  <c r="B5" i="26"/>
  <c r="C878" i="25"/>
  <c r="A864" i="25"/>
  <c r="H849" i="25"/>
  <c r="F835" i="25"/>
  <c r="D821" i="25"/>
  <c r="B807" i="25"/>
  <c r="I792" i="25"/>
  <c r="G778" i="25"/>
  <c r="E764" i="25"/>
  <c r="C750" i="25"/>
  <c r="A736" i="25"/>
  <c r="H721" i="25"/>
  <c r="F707" i="25"/>
  <c r="D693" i="25"/>
  <c r="B679" i="25"/>
  <c r="I664" i="25"/>
  <c r="G650" i="25"/>
  <c r="E636" i="25"/>
  <c r="C622" i="25"/>
  <c r="A608" i="25"/>
  <c r="I596" i="25"/>
  <c r="D587" i="25"/>
  <c r="I577" i="25"/>
  <c r="E568" i="25"/>
  <c r="I558" i="25"/>
  <c r="E549" i="25"/>
  <c r="A540" i="25"/>
  <c r="E530" i="25"/>
  <c r="A299" i="45"/>
  <c r="I153" i="45"/>
  <c r="H169" i="45"/>
  <c r="E34" i="45"/>
  <c r="B133" i="45"/>
  <c r="D30" i="45"/>
  <c r="E28" i="38"/>
  <c r="F226" i="45"/>
  <c r="H53" i="45"/>
  <c r="D51" i="38"/>
  <c r="F13" i="37"/>
  <c r="C17" i="45"/>
  <c r="A156" i="45"/>
  <c r="A36" i="38"/>
  <c r="D8" i="43"/>
  <c r="A24" i="35"/>
  <c r="H44" i="45"/>
  <c r="A2" i="37"/>
  <c r="D23" i="36"/>
  <c r="C16" i="35"/>
  <c r="I95" i="33"/>
  <c r="E67" i="33"/>
  <c r="A39" i="33"/>
  <c r="F10" i="33"/>
  <c r="G12" i="32"/>
  <c r="H61" i="45"/>
  <c r="D18" i="36"/>
  <c r="C45" i="38"/>
  <c r="F24" i="35"/>
  <c r="G31" i="45"/>
  <c r="G28" i="35"/>
  <c r="F107" i="33"/>
  <c r="G82" i="33"/>
  <c r="B57" i="33"/>
  <c r="G31" i="33"/>
  <c r="B9" i="33"/>
  <c r="H21" i="32"/>
  <c r="C114" i="45"/>
  <c r="A19" i="35"/>
  <c r="E21" i="36"/>
  <c r="A108" i="33"/>
  <c r="H82" i="33"/>
  <c r="E57" i="33"/>
  <c r="B32" i="33"/>
  <c r="I6" i="33"/>
  <c r="D11" i="32"/>
  <c r="A5" i="37"/>
  <c r="F96" i="33"/>
  <c r="H62" i="33"/>
  <c r="B29" i="33"/>
  <c r="F26" i="32"/>
  <c r="D1" i="31"/>
  <c r="H3" i="28"/>
  <c r="E25" i="27"/>
  <c r="E9" i="27"/>
  <c r="F15" i="35"/>
  <c r="D82" i="33"/>
  <c r="F48" i="33"/>
  <c r="I14" i="33"/>
  <c r="F11" i="32"/>
  <c r="F1" i="29"/>
  <c r="B6" i="28"/>
  <c r="G33" i="27"/>
  <c r="G22" i="27"/>
  <c r="C12" i="27"/>
  <c r="A180" i="45"/>
  <c r="E90" i="33"/>
  <c r="I56" i="33"/>
  <c r="B23" i="33"/>
  <c r="H20" i="32"/>
  <c r="F2" i="30"/>
  <c r="E2" i="28"/>
  <c r="F24" i="27"/>
  <c r="F8" i="27"/>
  <c r="D47" i="26"/>
  <c r="D43" i="26"/>
  <c r="D39" i="26"/>
  <c r="D35" i="26"/>
  <c r="D31" i="26"/>
  <c r="D27" i="26"/>
  <c r="D23" i="26"/>
  <c r="D19" i="26"/>
  <c r="D15" i="26"/>
  <c r="D11" i="26"/>
  <c r="D7" i="26"/>
  <c r="H888" i="25"/>
  <c r="G881" i="25"/>
  <c r="F874" i="25"/>
  <c r="E867" i="25"/>
  <c r="D860" i="25"/>
  <c r="C853" i="25"/>
  <c r="B846" i="25"/>
  <c r="A839" i="25"/>
  <c r="I831" i="25"/>
  <c r="H824" i="25"/>
  <c r="G817" i="25"/>
  <c r="F810" i="25"/>
  <c r="E803" i="25"/>
  <c r="D796" i="25"/>
  <c r="C789" i="25"/>
  <c r="B782" i="25"/>
  <c r="A775" i="25"/>
  <c r="I767" i="25"/>
  <c r="H760" i="25"/>
  <c r="G753" i="25"/>
  <c r="F746" i="25"/>
  <c r="E739" i="25"/>
  <c r="D732" i="25"/>
  <c r="C725" i="25"/>
  <c r="B718" i="25"/>
  <c r="A711" i="25"/>
  <c r="I703" i="25"/>
  <c r="H696" i="25"/>
  <c r="G689" i="25"/>
  <c r="F682" i="25"/>
  <c r="E675" i="25"/>
  <c r="D668" i="25"/>
  <c r="C661" i="25"/>
  <c r="B654" i="25"/>
  <c r="A647" i="25"/>
  <c r="I639" i="25"/>
  <c r="H632" i="25"/>
  <c r="G625" i="25"/>
  <c r="F618" i="25"/>
  <c r="E611" i="25"/>
  <c r="D604" i="25"/>
  <c r="C597" i="25"/>
  <c r="B590" i="25"/>
  <c r="A583" i="25"/>
  <c r="I575" i="25"/>
  <c r="H568" i="25"/>
  <c r="G561" i="25"/>
  <c r="F554" i="25"/>
  <c r="E547" i="25"/>
  <c r="D540" i="25"/>
  <c r="C533" i="25"/>
  <c r="B526" i="25"/>
  <c r="A519" i="25"/>
  <c r="I511" i="25"/>
  <c r="H504" i="25"/>
  <c r="G497" i="25"/>
  <c r="F490" i="25"/>
  <c r="E483" i="25"/>
  <c r="D476" i="25"/>
  <c r="C469" i="25"/>
  <c r="B462" i="25"/>
  <c r="A455" i="25"/>
  <c r="I447" i="25"/>
  <c r="H440" i="25"/>
  <c r="G433" i="25"/>
  <c r="F426" i="25"/>
  <c r="E419" i="25"/>
  <c r="D412" i="25"/>
  <c r="C405" i="25"/>
  <c r="B398" i="25"/>
  <c r="A391" i="25"/>
  <c r="I383" i="25"/>
  <c r="D16" i="35"/>
  <c r="F81" i="33"/>
  <c r="H47" i="33"/>
  <c r="C14" i="33"/>
  <c r="H10" i="32"/>
  <c r="C14" i="28"/>
  <c r="D36" i="27"/>
  <c r="D20" i="27"/>
  <c r="D4" i="27"/>
  <c r="D46" i="26"/>
  <c r="D42" i="26"/>
  <c r="D38" i="26"/>
  <c r="D34" i="26"/>
  <c r="D30" i="26"/>
  <c r="D26" i="26"/>
  <c r="D22" i="26"/>
  <c r="D18" i="26"/>
  <c r="D14" i="26"/>
  <c r="D10" i="26"/>
  <c r="D6" i="26"/>
  <c r="I886" i="25"/>
  <c r="H879" i="25"/>
  <c r="G872" i="25"/>
  <c r="F865" i="25"/>
  <c r="E858" i="25"/>
  <c r="D851" i="25"/>
  <c r="C844" i="25"/>
  <c r="B837" i="25"/>
  <c r="A830" i="25"/>
  <c r="I822" i="25"/>
  <c r="H815" i="25"/>
  <c r="G808" i="25"/>
  <c r="F801" i="25"/>
  <c r="E794" i="25"/>
  <c r="D787" i="25"/>
  <c r="C780" i="25"/>
  <c r="B773" i="25"/>
  <c r="A766" i="25"/>
  <c r="I758" i="25"/>
  <c r="H751" i="25"/>
  <c r="G744" i="25"/>
  <c r="F737" i="25"/>
  <c r="E730" i="25"/>
  <c r="D723" i="25"/>
  <c r="C716" i="25"/>
  <c r="B709" i="25"/>
  <c r="A702" i="25"/>
  <c r="I694" i="25"/>
  <c r="H687" i="25"/>
  <c r="G680" i="25"/>
  <c r="F673" i="25"/>
  <c r="E666" i="25"/>
  <c r="D659" i="25"/>
  <c r="C652" i="25"/>
  <c r="B645" i="25"/>
  <c r="A638" i="25"/>
  <c r="I630" i="25"/>
  <c r="H623" i="25"/>
  <c r="G616" i="25"/>
  <c r="F609" i="25"/>
  <c r="G3" i="38"/>
  <c r="C55" i="33"/>
  <c r="A19" i="32"/>
  <c r="H1" i="28"/>
  <c r="H7" i="27"/>
  <c r="N42" i="26"/>
  <c r="N34" i="26"/>
  <c r="N26" i="26"/>
  <c r="N18" i="26"/>
  <c r="N10" i="26"/>
  <c r="A888" i="25"/>
  <c r="H873" i="25"/>
  <c r="F859" i="25"/>
  <c r="D845" i="25"/>
  <c r="B831" i="25"/>
  <c r="I816" i="25"/>
  <c r="G802" i="25"/>
  <c r="E788" i="25"/>
  <c r="C774" i="25"/>
  <c r="A760" i="25"/>
  <c r="H745" i="25"/>
  <c r="F731" i="25"/>
  <c r="D717" i="25"/>
  <c r="B703" i="25"/>
  <c r="I688" i="25"/>
  <c r="G674" i="25"/>
  <c r="E660" i="25"/>
  <c r="C646" i="25"/>
  <c r="A632" i="25"/>
  <c r="H617" i="25"/>
  <c r="F603" i="25"/>
  <c r="I593" i="25"/>
  <c r="E584" i="25"/>
  <c r="I574" i="25"/>
  <c r="E565" i="25"/>
  <c r="G153" i="45"/>
  <c r="E78" i="45"/>
  <c r="G59" i="45"/>
  <c r="D17" i="37"/>
  <c r="A7" i="45"/>
  <c r="F83" i="45"/>
  <c r="B20" i="45"/>
  <c r="C13" i="36"/>
  <c r="I25" i="38"/>
  <c r="H31" i="35"/>
  <c r="F78" i="33"/>
  <c r="G21" i="33"/>
  <c r="D3" i="31"/>
  <c r="F222" i="45"/>
  <c r="H10" i="34"/>
  <c r="G8" i="35"/>
  <c r="C67" i="33"/>
  <c r="I16" i="33"/>
  <c r="B9" i="32"/>
  <c r="F71" i="45"/>
  <c r="A93" i="33"/>
  <c r="E42" i="33"/>
  <c r="H22" i="32"/>
  <c r="A3" i="34"/>
  <c r="H42" i="33"/>
  <c r="A4" i="32"/>
  <c r="A32" i="27"/>
  <c r="A25" i="38"/>
  <c r="D62" i="33"/>
  <c r="A27" i="32"/>
  <c r="F10" i="28"/>
  <c r="G27" i="27"/>
  <c r="C6" i="27"/>
  <c r="F71" i="33"/>
  <c r="B4" i="33"/>
  <c r="E9" i="28"/>
  <c r="F15" i="27"/>
  <c r="O44" i="26"/>
  <c r="O36" i="26"/>
  <c r="O28" i="26"/>
  <c r="O20" i="26"/>
  <c r="O12" i="26"/>
  <c r="I891" i="25"/>
  <c r="G877" i="25"/>
  <c r="E863" i="25"/>
  <c r="C849" i="25"/>
  <c r="D6" i="34"/>
  <c r="G9" i="34"/>
  <c r="C64" i="33"/>
  <c r="E14" i="33"/>
  <c r="E6" i="32"/>
  <c r="B57" i="38"/>
  <c r="I89" i="33"/>
  <c r="C39" i="33"/>
  <c r="D19" i="32"/>
  <c r="A106" i="33"/>
  <c r="G38" i="33"/>
  <c r="G9" i="31"/>
  <c r="A30" i="27"/>
  <c r="E16" i="36"/>
  <c r="A58" i="33"/>
  <c r="D22" i="32"/>
  <c r="F9" i="28"/>
  <c r="C34" i="27"/>
  <c r="G23" i="27"/>
  <c r="G12" i="27"/>
  <c r="C2" i="27"/>
  <c r="F92" i="33"/>
  <c r="H58" i="33"/>
  <c r="D25" i="33"/>
  <c r="D23" i="32"/>
  <c r="H3" i="30"/>
  <c r="E3" i="28"/>
  <c r="F25" i="27"/>
  <c r="F9" i="27"/>
  <c r="H47" i="26"/>
  <c r="H43" i="26"/>
  <c r="H39" i="26"/>
  <c r="H35" i="26"/>
  <c r="H31" i="26"/>
  <c r="H27" i="26"/>
  <c r="H23" i="26"/>
  <c r="H19" i="26"/>
  <c r="H15" i="26"/>
  <c r="H11" i="26"/>
  <c r="H7" i="26"/>
  <c r="C889" i="25"/>
  <c r="B882" i="25"/>
  <c r="A875" i="25"/>
  <c r="I867" i="25"/>
  <c r="H860" i="25"/>
  <c r="G853" i="25"/>
  <c r="F846" i="25"/>
  <c r="E839" i="25"/>
  <c r="D832" i="25"/>
  <c r="C825" i="25"/>
  <c r="B818" i="25"/>
  <c r="A811" i="25"/>
  <c r="I803" i="25"/>
  <c r="H796" i="25"/>
  <c r="G789" i="25"/>
  <c r="F782" i="25"/>
  <c r="E775" i="25"/>
  <c r="D768" i="25"/>
  <c r="C761" i="25"/>
  <c r="B754" i="25"/>
  <c r="A747" i="25"/>
  <c r="I739" i="25"/>
  <c r="H732" i="25"/>
  <c r="G725" i="25"/>
  <c r="F718" i="25"/>
  <c r="E711" i="25"/>
  <c r="D704" i="25"/>
  <c r="C697" i="25"/>
  <c r="B690" i="25"/>
  <c r="A683" i="25"/>
  <c r="I675" i="25"/>
  <c r="H668" i="25"/>
  <c r="G661" i="25"/>
  <c r="F654" i="25"/>
  <c r="E647" i="25"/>
  <c r="D640" i="25"/>
  <c r="C633" i="25"/>
  <c r="B626" i="25"/>
  <c r="A619" i="25"/>
  <c r="I611" i="25"/>
  <c r="H604" i="25"/>
  <c r="G597" i="25"/>
  <c r="F590" i="25"/>
  <c r="E583" i="25"/>
  <c r="D576" i="25"/>
  <c r="C569" i="25"/>
  <c r="B562" i="25"/>
  <c r="A555" i="25"/>
  <c r="I547" i="25"/>
  <c r="H540" i="25"/>
  <c r="G533" i="25"/>
  <c r="F526" i="25"/>
  <c r="E519" i="25"/>
  <c r="D512" i="25"/>
  <c r="C505" i="25"/>
  <c r="B498" i="25"/>
  <c r="A491" i="25"/>
  <c r="I483" i="25"/>
  <c r="H476" i="25"/>
  <c r="E23" i="36"/>
  <c r="G95" i="33"/>
  <c r="D45" i="33"/>
  <c r="B33" i="32"/>
  <c r="B20" i="36"/>
  <c r="B21" i="35"/>
  <c r="I70" i="33"/>
  <c r="C20" i="33"/>
  <c r="F8" i="31"/>
  <c r="G80" i="33"/>
  <c r="E13" i="33"/>
  <c r="D12" i="28"/>
  <c r="A18" i="27"/>
  <c r="C100" i="33"/>
  <c r="G32" i="33"/>
  <c r="G5" i="31"/>
  <c r="B4" i="28"/>
  <c r="G31" i="27"/>
  <c r="G20" i="27"/>
  <c r="C10" i="27"/>
  <c r="E12" i="36"/>
  <c r="B84" i="33"/>
  <c r="E50" i="33"/>
  <c r="G16" i="33"/>
  <c r="F13" i="32"/>
  <c r="E15" i="28"/>
  <c r="F37" i="27"/>
  <c r="F21" i="27"/>
  <c r="F5" i="27"/>
  <c r="E46" i="26"/>
  <c r="E42" i="26"/>
  <c r="E38" i="26"/>
  <c r="E34" i="26"/>
  <c r="E30" i="26"/>
  <c r="E26" i="26"/>
  <c r="E22" i="26"/>
  <c r="E18" i="26"/>
  <c r="E14" i="26"/>
  <c r="E10" i="26"/>
  <c r="E6" i="26"/>
  <c r="E887" i="25"/>
  <c r="D880" i="25"/>
  <c r="C873" i="25"/>
  <c r="B866" i="25"/>
  <c r="A859" i="25"/>
  <c r="I851" i="25"/>
  <c r="H844" i="25"/>
  <c r="G837" i="25"/>
  <c r="F830" i="25"/>
  <c r="E823" i="25"/>
  <c r="D816" i="25"/>
  <c r="C809" i="25"/>
  <c r="B802" i="25"/>
  <c r="A795" i="25"/>
  <c r="I787" i="25"/>
  <c r="H780" i="25"/>
  <c r="G773" i="25"/>
  <c r="F766" i="25"/>
  <c r="E759" i="25"/>
  <c r="D752" i="25"/>
  <c r="C745" i="25"/>
  <c r="B738" i="25"/>
  <c r="A731" i="25"/>
  <c r="I723" i="25"/>
  <c r="H716" i="25"/>
  <c r="G709" i="25"/>
  <c r="F702" i="25"/>
  <c r="E695" i="25"/>
  <c r="D688" i="25"/>
  <c r="C681" i="25"/>
  <c r="B674" i="25"/>
  <c r="A667" i="25"/>
  <c r="I659" i="25"/>
  <c r="H652" i="25"/>
  <c r="G645" i="25"/>
  <c r="F638" i="25"/>
  <c r="E631" i="25"/>
  <c r="D624" i="25"/>
  <c r="C617" i="25"/>
  <c r="B610" i="25"/>
  <c r="A603" i="25"/>
  <c r="I595" i="25"/>
  <c r="H588" i="25"/>
  <c r="G581" i="25"/>
  <c r="F574" i="25"/>
  <c r="E567" i="25"/>
  <c r="D560" i="25"/>
  <c r="C553" i="25"/>
  <c r="B546" i="25"/>
  <c r="A539" i="25"/>
  <c r="I531" i="25"/>
  <c r="H524" i="25"/>
  <c r="G517" i="25"/>
  <c r="F510" i="25"/>
  <c r="E503" i="25"/>
  <c r="D496" i="25"/>
  <c r="C489" i="25"/>
  <c r="B482" i="25"/>
  <c r="A475" i="25"/>
  <c r="I467" i="25"/>
  <c r="H460" i="25"/>
  <c r="G453" i="25"/>
  <c r="F446" i="25"/>
  <c r="E439" i="25"/>
  <c r="D432" i="25"/>
  <c r="C425" i="25"/>
  <c r="B418" i="25"/>
  <c r="A411" i="25"/>
  <c r="I403" i="25"/>
  <c r="H396" i="25"/>
  <c r="G389" i="25"/>
  <c r="F382" i="25"/>
  <c r="A1" i="34"/>
  <c r="C75" i="33"/>
  <c r="E41" i="33"/>
  <c r="H7" i="33"/>
  <c r="F3" i="32"/>
  <c r="C11" i="28"/>
  <c r="D33" i="27"/>
  <c r="D17" i="27"/>
  <c r="G1" i="27"/>
  <c r="E45" i="26"/>
  <c r="E41" i="26"/>
  <c r="E37" i="26"/>
  <c r="E33" i="26"/>
  <c r="E29" i="26"/>
  <c r="E25" i="26"/>
  <c r="E21" i="26"/>
  <c r="E17" i="26"/>
  <c r="E13" i="26"/>
  <c r="E9" i="26"/>
  <c r="H5" i="26"/>
  <c r="F885" i="25"/>
  <c r="E878" i="25"/>
  <c r="D871" i="25"/>
  <c r="C864" i="25"/>
  <c r="B857" i="25"/>
  <c r="A850" i="25"/>
  <c r="I842" i="25"/>
  <c r="H835" i="25"/>
  <c r="G828" i="25"/>
  <c r="F821" i="25"/>
  <c r="E814" i="25"/>
  <c r="D807" i="25"/>
  <c r="C800" i="25"/>
  <c r="B793" i="25"/>
  <c r="A786" i="25"/>
  <c r="I778" i="25"/>
  <c r="H771" i="25"/>
  <c r="G764" i="25"/>
  <c r="F757" i="25"/>
  <c r="E750" i="25"/>
  <c r="D743" i="25"/>
  <c r="C736" i="25"/>
  <c r="B729" i="25"/>
  <c r="A722" i="25"/>
  <c r="I714" i="25"/>
  <c r="H707" i="25"/>
  <c r="G700" i="25"/>
  <c r="F693" i="25"/>
  <c r="E686" i="25"/>
  <c r="D679" i="25"/>
  <c r="C672" i="25"/>
  <c r="B665" i="25"/>
  <c r="A658" i="25"/>
  <c r="I650" i="25"/>
  <c r="H643" i="25"/>
  <c r="G636" i="25"/>
  <c r="F629" i="25"/>
  <c r="E622" i="25"/>
  <c r="D615" i="25"/>
  <c r="C608" i="25"/>
  <c r="G7" i="34"/>
  <c r="G42" i="33"/>
  <c r="H4" i="32"/>
  <c r="H33" i="27"/>
  <c r="A1" i="27"/>
  <c r="G41" i="26"/>
  <c r="G33" i="26"/>
  <c r="G25" i="26"/>
  <c r="G17" i="26"/>
  <c r="G9" i="26"/>
  <c r="D885" i="25"/>
  <c r="B871" i="25"/>
  <c r="I856" i="25"/>
  <c r="G842" i="25"/>
  <c r="E828" i="25"/>
  <c r="C814" i="25"/>
  <c r="A800" i="25"/>
  <c r="H785" i="25"/>
  <c r="F771" i="25"/>
  <c r="D757" i="25"/>
  <c r="B743" i="25"/>
  <c r="I728" i="25"/>
  <c r="G714" i="25"/>
  <c r="E700" i="25"/>
  <c r="C686" i="25"/>
  <c r="A672" i="25"/>
  <c r="H657" i="25"/>
  <c r="F643" i="25"/>
  <c r="D629" i="25"/>
  <c r="B615" i="25"/>
  <c r="F601" i="25"/>
  <c r="B592" i="25"/>
  <c r="G582" i="25"/>
  <c r="B573" i="25"/>
  <c r="G563" i="25"/>
  <c r="C554" i="25"/>
  <c r="G544" i="25"/>
  <c r="C535" i="25"/>
  <c r="H525" i="25"/>
  <c r="B231" i="45"/>
  <c r="F98" i="45"/>
  <c r="D91" i="45"/>
  <c r="D50" i="38"/>
  <c r="A73" i="45"/>
  <c r="A9" i="43"/>
  <c r="H24" i="37"/>
  <c r="B108" i="45"/>
  <c r="I15" i="45"/>
  <c r="I18" i="38"/>
  <c r="C110" i="45"/>
  <c r="H16" i="38"/>
  <c r="I37" i="45"/>
  <c r="C371" i="45"/>
  <c r="G20" i="36"/>
  <c r="F2" i="34"/>
  <c r="D39" i="38"/>
  <c r="B3" i="43"/>
  <c r="A2" i="36"/>
  <c r="A2" i="34"/>
  <c r="G81" i="33"/>
  <c r="C53" i="33"/>
  <c r="H24" i="33"/>
  <c r="G28" i="32"/>
  <c r="H6" i="31"/>
  <c r="E27" i="37"/>
  <c r="F3" i="36"/>
  <c r="E14" i="36"/>
  <c r="E7" i="35"/>
  <c r="H20" i="36"/>
  <c r="F11" i="35"/>
  <c r="B95" i="33"/>
  <c r="F69" i="33"/>
  <c r="G44" i="33"/>
  <c r="C19" i="33"/>
  <c r="E32" i="32"/>
  <c r="B11" i="32"/>
  <c r="E17" i="36"/>
  <c r="B194" i="45"/>
  <c r="H19" i="35"/>
  <c r="D95" i="33"/>
  <c r="A70" i="33"/>
  <c r="I44" i="33"/>
  <c r="F19" i="33"/>
  <c r="E25" i="32"/>
  <c r="A8" i="31"/>
  <c r="G5" i="35"/>
  <c r="H79" i="33"/>
  <c r="A46" i="33"/>
  <c r="C12" i="33"/>
  <c r="E7" i="32"/>
  <c r="H11" i="28"/>
  <c r="E33" i="27"/>
  <c r="E17" i="27"/>
  <c r="F151" i="45"/>
  <c r="B99" i="33"/>
  <c r="F65" i="33"/>
  <c r="H31" i="33"/>
  <c r="F30" i="32"/>
  <c r="A5" i="31"/>
  <c r="F11" i="28"/>
  <c r="G38" i="27"/>
  <c r="C28" i="27"/>
  <c r="G17" i="27"/>
  <c r="G6" i="27"/>
  <c r="E1" i="34"/>
  <c r="F73" i="33"/>
  <c r="H39" i="33"/>
  <c r="D6" i="33"/>
  <c r="A2" i="32"/>
  <c r="E10" i="28"/>
  <c r="F32" i="27"/>
  <c r="F16" i="27"/>
  <c r="D1" i="27"/>
  <c r="B45" i="26"/>
  <c r="B41" i="26"/>
  <c r="B37" i="26"/>
  <c r="B33" i="26"/>
  <c r="B29" i="26"/>
  <c r="B25" i="26"/>
  <c r="B21" i="26"/>
  <c r="B17" i="26"/>
  <c r="B13" i="26"/>
  <c r="B9" i="26"/>
  <c r="A5" i="26"/>
  <c r="C885" i="25"/>
  <c r="B878" i="25"/>
  <c r="A871" i="25"/>
  <c r="I863" i="25"/>
  <c r="H856" i="25"/>
  <c r="G849" i="25"/>
  <c r="F842" i="25"/>
  <c r="E835" i="25"/>
  <c r="D828" i="25"/>
  <c r="C821" i="25"/>
  <c r="B814" i="25"/>
  <c r="A807" i="25"/>
  <c r="I799" i="25"/>
  <c r="H792" i="25"/>
  <c r="G785" i="25"/>
  <c r="F778" i="25"/>
  <c r="E771" i="25"/>
  <c r="D764" i="25"/>
  <c r="C757" i="25"/>
  <c r="B750" i="25"/>
  <c r="A743" i="25"/>
  <c r="I735" i="25"/>
  <c r="H728" i="25"/>
  <c r="G721" i="25"/>
  <c r="F714" i="25"/>
  <c r="E707" i="25"/>
  <c r="D700" i="25"/>
  <c r="C693" i="25"/>
  <c r="B686" i="25"/>
  <c r="A679" i="25"/>
  <c r="I671" i="25"/>
  <c r="H664" i="25"/>
  <c r="G657" i="25"/>
  <c r="F650" i="25"/>
  <c r="E643" i="25"/>
  <c r="D636" i="25"/>
  <c r="C629" i="25"/>
  <c r="B622" i="25"/>
  <c r="A615" i="25"/>
  <c r="I607" i="25"/>
  <c r="H600" i="25"/>
  <c r="G593" i="25"/>
  <c r="F586" i="25"/>
  <c r="E579" i="25"/>
  <c r="D572" i="25"/>
  <c r="C565" i="25"/>
  <c r="B558" i="25"/>
  <c r="A551" i="25"/>
  <c r="I543" i="25"/>
  <c r="H536" i="25"/>
  <c r="G529" i="25"/>
  <c r="F522" i="25"/>
  <c r="E515" i="25"/>
  <c r="D508" i="25"/>
  <c r="C501" i="25"/>
  <c r="B494" i="25"/>
  <c r="A487" i="25"/>
  <c r="I479" i="25"/>
  <c r="H472" i="25"/>
  <c r="G465" i="25"/>
  <c r="F458" i="25"/>
  <c r="E451" i="25"/>
  <c r="D444" i="25"/>
  <c r="C437" i="25"/>
  <c r="B430" i="25"/>
  <c r="A423" i="25"/>
  <c r="I415" i="25"/>
  <c r="H408" i="25"/>
  <c r="G401" i="25"/>
  <c r="F394" i="25"/>
  <c r="E387" i="25"/>
  <c r="D380" i="25"/>
  <c r="D98" i="33"/>
  <c r="G64" i="33"/>
  <c r="I30" i="33"/>
  <c r="F29" i="32"/>
  <c r="C4" i="31"/>
  <c r="C6" i="28"/>
  <c r="D28" i="27"/>
  <c r="D12" i="27"/>
  <c r="C48" i="26"/>
  <c r="B44" i="26"/>
  <c r="B40" i="26"/>
  <c r="B36" i="26"/>
  <c r="B32" i="26"/>
  <c r="B28" i="26"/>
  <c r="B24" i="26"/>
  <c r="B20" i="26"/>
  <c r="B16" i="26"/>
  <c r="B12" i="26"/>
  <c r="B8" i="26"/>
  <c r="E890" i="25"/>
  <c r="D883" i="25"/>
  <c r="C876" i="25"/>
  <c r="B869" i="25"/>
  <c r="A862" i="25"/>
  <c r="I854" i="25"/>
  <c r="H847" i="25"/>
  <c r="G840" i="25"/>
  <c r="F833" i="25"/>
  <c r="E826" i="25"/>
  <c r="D819" i="25"/>
  <c r="C812" i="25"/>
  <c r="B805" i="25"/>
  <c r="A798" i="25"/>
  <c r="I790" i="25"/>
  <c r="H783" i="25"/>
  <c r="G776" i="25"/>
  <c r="F769" i="25"/>
  <c r="E762" i="25"/>
  <c r="D755" i="25"/>
  <c r="C748" i="25"/>
  <c r="B741" i="25"/>
  <c r="A734" i="25"/>
  <c r="I726" i="25"/>
  <c r="H719" i="25"/>
  <c r="G712" i="25"/>
  <c r="F705" i="25"/>
  <c r="E698" i="25"/>
  <c r="D691" i="25"/>
  <c r="C684" i="25"/>
  <c r="B677" i="25"/>
  <c r="A670" i="25"/>
  <c r="I662" i="25"/>
  <c r="H655" i="25"/>
  <c r="G648" i="25"/>
  <c r="F641" i="25"/>
  <c r="E634" i="25"/>
  <c r="D627" i="25"/>
  <c r="C620" i="25"/>
  <c r="B613" i="25"/>
  <c r="A606" i="25"/>
  <c r="I88" i="33"/>
  <c r="E21" i="33"/>
  <c r="G1" i="29"/>
  <c r="H23" i="27"/>
  <c r="J46" i="26"/>
  <c r="J38" i="26"/>
  <c r="J30" i="26"/>
  <c r="J22" i="26"/>
  <c r="J14" i="26"/>
  <c r="J6" i="26"/>
  <c r="I880" i="25"/>
  <c r="G866" i="25"/>
  <c r="E852" i="25"/>
  <c r="C838" i="25"/>
  <c r="A824" i="25"/>
  <c r="H809" i="25"/>
  <c r="F795" i="25"/>
  <c r="D781" i="25"/>
  <c r="B767" i="25"/>
  <c r="I752" i="25"/>
  <c r="G738" i="25"/>
  <c r="E724" i="25"/>
  <c r="C710" i="25"/>
  <c r="A696" i="25"/>
  <c r="H681" i="25"/>
  <c r="F667" i="25"/>
  <c r="D653" i="25"/>
  <c r="B639" i="25"/>
  <c r="I624" i="25"/>
  <c r="G610" i="25"/>
  <c r="G598" i="25"/>
  <c r="B589" i="25"/>
  <c r="G579" i="25"/>
  <c r="C570" i="25"/>
  <c r="G560" i="25"/>
  <c r="B74" i="45"/>
  <c r="E37" i="38"/>
  <c r="B55" i="38"/>
  <c r="H94" i="45"/>
  <c r="C12" i="38"/>
  <c r="E3" i="38"/>
  <c r="I128" i="45"/>
  <c r="I140" i="45"/>
  <c r="A29" i="38"/>
  <c r="A107" i="33"/>
  <c r="B50" i="33"/>
  <c r="C25" i="32"/>
  <c r="D1" i="37"/>
  <c r="B9" i="36"/>
  <c r="E15" i="36"/>
  <c r="G92" i="33"/>
  <c r="D42" i="33"/>
  <c r="E30" i="32"/>
  <c r="E9" i="36"/>
  <c r="G12" i="35"/>
  <c r="G67" i="33"/>
  <c r="B17" i="33"/>
  <c r="A6" i="31"/>
  <c r="F76" i="33"/>
  <c r="A9" i="33"/>
  <c r="D10" i="28"/>
  <c r="A16" i="27"/>
  <c r="A96" i="33"/>
  <c r="F28" i="33"/>
  <c r="B4" i="31"/>
  <c r="C38" i="27"/>
  <c r="G16" i="27"/>
  <c r="D107" i="33"/>
  <c r="I37" i="33"/>
  <c r="G1" i="32"/>
  <c r="F31" i="27"/>
  <c r="P48" i="26"/>
  <c r="O40" i="26"/>
  <c r="O32" i="26"/>
  <c r="O24" i="26"/>
  <c r="O16" i="26"/>
  <c r="O8" i="26"/>
  <c r="H884" i="25"/>
  <c r="F870" i="25"/>
  <c r="D856" i="25"/>
  <c r="B842" i="25"/>
  <c r="I827" i="25"/>
  <c r="G813" i="25"/>
  <c r="G469" i="25"/>
  <c r="C441" i="25"/>
  <c r="H412" i="25"/>
  <c r="D384" i="25"/>
  <c r="B16" i="33"/>
  <c r="D21" i="27"/>
  <c r="H38" i="26"/>
  <c r="H22" i="26"/>
  <c r="H6" i="26"/>
  <c r="A866" i="25"/>
  <c r="F837" i="25"/>
  <c r="B809" i="25"/>
  <c r="G780" i="25"/>
  <c r="C752" i="25"/>
  <c r="H723" i="25"/>
  <c r="D695" i="25"/>
  <c r="I666" i="25"/>
  <c r="E638" i="25"/>
  <c r="A610" i="25"/>
  <c r="G2" i="28"/>
  <c r="E27" i="26"/>
  <c r="G874" i="25"/>
  <c r="H817" i="25"/>
  <c r="I760" i="25"/>
  <c r="A704" i="25"/>
  <c r="B647" i="25"/>
  <c r="E594" i="25"/>
  <c r="F556" i="25"/>
  <c r="H271" i="45"/>
  <c r="A6" i="45"/>
  <c r="E11" i="45"/>
  <c r="E146" i="45"/>
  <c r="B33" i="38"/>
  <c r="E48" i="38"/>
  <c r="E7" i="38"/>
  <c r="C11" i="35"/>
  <c r="E72" i="45"/>
  <c r="G6" i="35"/>
  <c r="D60" i="33"/>
  <c r="E3" i="33"/>
  <c r="B6" i="43"/>
  <c r="H27" i="36"/>
  <c r="E5" i="38"/>
  <c r="F101" i="33"/>
  <c r="G50" i="33"/>
  <c r="E4" i="33"/>
  <c r="B16" i="38"/>
  <c r="F32" i="35"/>
  <c r="E76" i="33"/>
  <c r="I25" i="33"/>
  <c r="B4" i="32"/>
  <c r="B88" i="33"/>
  <c r="G20" i="33"/>
  <c r="H15" i="28"/>
  <c r="E21" i="27"/>
  <c r="G107" i="33"/>
  <c r="C40" i="33"/>
  <c r="B2" i="32"/>
  <c r="F3" i="28"/>
  <c r="C20" i="27"/>
  <c r="E23" i="35"/>
  <c r="E48" i="33"/>
  <c r="E11" i="32"/>
  <c r="F36" i="27"/>
  <c r="F4" i="27"/>
  <c r="A42" i="26"/>
  <c r="A34" i="26"/>
  <c r="A26" i="26"/>
  <c r="A18" i="26"/>
  <c r="A10" i="26"/>
  <c r="A887" i="25"/>
  <c r="H872" i="25"/>
  <c r="F858" i="25"/>
  <c r="D844" i="25"/>
  <c r="B830" i="25"/>
  <c r="I815" i="25"/>
  <c r="G801" i="25"/>
  <c r="E787" i="25"/>
  <c r="C773" i="25"/>
  <c r="A759" i="25"/>
  <c r="H744" i="25"/>
  <c r="F730" i="25"/>
  <c r="D716" i="25"/>
  <c r="B702" i="25"/>
  <c r="I687" i="25"/>
  <c r="G673" i="25"/>
  <c r="E659" i="25"/>
  <c r="C645" i="25"/>
  <c r="A631" i="25"/>
  <c r="H616" i="25"/>
  <c r="F602" i="25"/>
  <c r="D588" i="25"/>
  <c r="B574" i="25"/>
  <c r="I559" i="25"/>
  <c r="G545" i="25"/>
  <c r="E531" i="25"/>
  <c r="C517" i="25"/>
  <c r="A503" i="25"/>
  <c r="H488" i="25"/>
  <c r="F474" i="25"/>
  <c r="D460" i="25"/>
  <c r="B446" i="25"/>
  <c r="I431" i="25"/>
  <c r="G417" i="25"/>
  <c r="E403" i="25"/>
  <c r="C389" i="25"/>
  <c r="H106" i="33"/>
  <c r="F39" i="33"/>
  <c r="E1" i="32"/>
  <c r="D32" i="27"/>
  <c r="C1" i="27"/>
  <c r="A41" i="26"/>
  <c r="A33" i="26"/>
  <c r="A25" i="26"/>
  <c r="A17" i="26"/>
  <c r="A9" i="26"/>
  <c r="B885" i="25"/>
  <c r="I870" i="25"/>
  <c r="G856" i="25"/>
  <c r="E842" i="25"/>
  <c r="C828" i="25"/>
  <c r="A814" i="25"/>
  <c r="H799" i="25"/>
  <c r="F785" i="25"/>
  <c r="D771" i="25"/>
  <c r="B757" i="25"/>
  <c r="I742" i="25"/>
  <c r="G728" i="25"/>
  <c r="E714" i="25"/>
  <c r="C700" i="25"/>
  <c r="A686" i="25"/>
  <c r="H671" i="25"/>
  <c r="F657" i="25"/>
  <c r="D643" i="25"/>
  <c r="B629" i="25"/>
  <c r="I614" i="25"/>
  <c r="I105" i="33"/>
  <c r="G8" i="31"/>
  <c r="I48" i="26"/>
  <c r="P32" i="26"/>
  <c r="P16" i="26"/>
  <c r="E884" i="25"/>
  <c r="A856" i="25"/>
  <c r="F827" i="25"/>
  <c r="B799" i="25"/>
  <c r="G770" i="25"/>
  <c r="C742" i="25"/>
  <c r="H713" i="25"/>
  <c r="D685" i="25"/>
  <c r="I656" i="25"/>
  <c r="E628" i="25"/>
  <c r="A601" i="25"/>
  <c r="A582" i="25"/>
  <c r="B563" i="25"/>
  <c r="F21" i="45"/>
  <c r="G176" i="45"/>
  <c r="C38" i="43"/>
  <c r="A18" i="35"/>
  <c r="F12" i="35"/>
  <c r="E7" i="33"/>
  <c r="D14" i="38"/>
  <c r="B105" i="33"/>
  <c r="D7" i="33"/>
  <c r="E13" i="36"/>
  <c r="H29" i="33"/>
  <c r="E93" i="33"/>
  <c r="D2" i="30"/>
  <c r="D10" i="34"/>
  <c r="B8" i="32"/>
  <c r="C22" i="27"/>
  <c r="G54" i="33"/>
  <c r="F1" i="28"/>
  <c r="M42" i="26"/>
  <c r="M26" i="26"/>
  <c r="M10" i="26"/>
  <c r="B874" i="25"/>
  <c r="G845" i="25"/>
  <c r="D824" i="25"/>
  <c r="F806" i="25"/>
  <c r="D792" i="25"/>
  <c r="B778" i="25"/>
  <c r="I763" i="25"/>
  <c r="G749" i="25"/>
  <c r="E735" i="25"/>
  <c r="C721" i="25"/>
  <c r="A707" i="25"/>
  <c r="H692" i="25"/>
  <c r="F678" i="25"/>
  <c r="D664" i="25"/>
  <c r="B650" i="25"/>
  <c r="I635" i="25"/>
  <c r="G621" i="25"/>
  <c r="E607" i="25"/>
  <c r="C593" i="25"/>
  <c r="A579" i="25"/>
  <c r="H564" i="25"/>
  <c r="F550" i="25"/>
  <c r="D536" i="25"/>
  <c r="B522" i="25"/>
  <c r="I507" i="25"/>
  <c r="G493" i="25"/>
  <c r="E479" i="25"/>
  <c r="C465" i="25"/>
  <c r="A451" i="25"/>
  <c r="H436" i="25"/>
  <c r="F422" i="25"/>
  <c r="D408" i="25"/>
  <c r="B394" i="25"/>
  <c r="D125" i="45"/>
  <c r="G62" i="33"/>
  <c r="E27" i="32"/>
  <c r="C5" i="28"/>
  <c r="D11" i="27"/>
  <c r="O43" i="26"/>
  <c r="O35" i="26"/>
  <c r="O27" i="26"/>
  <c r="O19" i="26"/>
  <c r="O11" i="26"/>
  <c r="A890" i="25"/>
  <c r="H875" i="25"/>
  <c r="F861" i="25"/>
  <c r="D847" i="25"/>
  <c r="B833" i="25"/>
  <c r="I818" i="25"/>
  <c r="G804" i="25"/>
  <c r="E790" i="25"/>
  <c r="C776" i="25"/>
  <c r="A762" i="25"/>
  <c r="H747" i="25"/>
  <c r="F733" i="25"/>
  <c r="D719" i="25"/>
  <c r="B705" i="25"/>
  <c r="I690" i="25"/>
  <c r="G676" i="25"/>
  <c r="E662" i="25"/>
  <c r="C648" i="25"/>
  <c r="A634" i="25"/>
  <c r="H619" i="25"/>
  <c r="F605" i="25"/>
  <c r="D17" i="33"/>
  <c r="H21" i="27"/>
  <c r="B38" i="26"/>
  <c r="B22" i="26"/>
  <c r="B6" i="26"/>
  <c r="H865" i="25"/>
  <c r="D837" i="25"/>
  <c r="I808" i="25"/>
  <c r="E780" i="25"/>
  <c r="A752" i="25"/>
  <c r="F723" i="25"/>
  <c r="B695" i="25"/>
  <c r="G666" i="25"/>
  <c r="C638" i="25"/>
  <c r="H609" i="25"/>
  <c r="F588" i="25"/>
  <c r="F569" i="25"/>
  <c r="F553" i="25"/>
  <c r="B541" i="25"/>
  <c r="G528" i="25"/>
  <c r="A518" i="25"/>
  <c r="F508" i="25"/>
  <c r="B499" i="25"/>
  <c r="F489" i="25"/>
  <c r="B480" i="25"/>
  <c r="G470" i="25"/>
  <c r="B461" i="25"/>
  <c r="G451" i="25"/>
  <c r="C442" i="25"/>
  <c r="G432" i="25"/>
  <c r="C423" i="25"/>
  <c r="H413" i="25"/>
  <c r="C404" i="25"/>
  <c r="H394" i="25"/>
  <c r="D385" i="25"/>
  <c r="I376" i="25"/>
  <c r="H369" i="25"/>
  <c r="G362" i="25"/>
  <c r="F355" i="25"/>
  <c r="E348" i="25"/>
  <c r="D341" i="25"/>
  <c r="C334" i="25"/>
  <c r="B327" i="25"/>
  <c r="A320" i="25"/>
  <c r="I312" i="25"/>
  <c r="H305" i="25"/>
  <c r="G298" i="25"/>
  <c r="F291" i="25"/>
  <c r="E284" i="25"/>
  <c r="D277" i="25"/>
  <c r="C270" i="25"/>
  <c r="B263" i="25"/>
  <c r="A256" i="25"/>
  <c r="I248" i="25"/>
  <c r="H241" i="25"/>
  <c r="G234" i="25"/>
  <c r="F227" i="25"/>
  <c r="E220" i="25"/>
  <c r="D213" i="25"/>
  <c r="C206" i="25"/>
  <c r="B199" i="25"/>
  <c r="A192" i="25"/>
  <c r="I184" i="25"/>
  <c r="H177" i="25"/>
  <c r="G170" i="25"/>
  <c r="F163" i="25"/>
  <c r="E156" i="25"/>
  <c r="D149" i="25"/>
  <c r="C142" i="25"/>
  <c r="B135" i="25"/>
  <c r="A128" i="25"/>
  <c r="I120" i="25"/>
  <c r="H113" i="25"/>
  <c r="G106" i="25"/>
  <c r="F99" i="25"/>
  <c r="E92" i="25"/>
  <c r="D85" i="25"/>
  <c r="C78" i="25"/>
  <c r="B71" i="25"/>
  <c r="A64" i="25"/>
  <c r="I56" i="25"/>
  <c r="H49" i="25"/>
  <c r="G42" i="25"/>
  <c r="F35" i="25"/>
  <c r="E28" i="25"/>
  <c r="D21" i="25"/>
  <c r="C14" i="25"/>
  <c r="B7" i="25"/>
  <c r="G111" i="24"/>
  <c r="G103" i="24"/>
  <c r="G95" i="24"/>
  <c r="G87" i="24"/>
  <c r="G79" i="24"/>
  <c r="G71" i="24"/>
  <c r="G63" i="24"/>
  <c r="G55" i="24"/>
  <c r="G47" i="24"/>
  <c r="G39" i="24"/>
  <c r="G31" i="24"/>
  <c r="G23" i="24"/>
  <c r="G15" i="24"/>
  <c r="G7" i="24"/>
  <c r="H224" i="23"/>
  <c r="H216" i="23"/>
  <c r="H208" i="23"/>
  <c r="H200" i="23"/>
  <c r="H192" i="23"/>
  <c r="H184" i="23"/>
  <c r="H176" i="23"/>
  <c r="H168" i="23"/>
  <c r="H160" i="23"/>
  <c r="H152" i="23"/>
  <c r="H144" i="23"/>
  <c r="H136" i="23"/>
  <c r="H128" i="23"/>
  <c r="H120" i="23"/>
  <c r="H112" i="23"/>
  <c r="H104" i="23"/>
  <c r="H96" i="23"/>
  <c r="H88" i="23"/>
  <c r="H80" i="23"/>
  <c r="H72" i="23"/>
  <c r="H64" i="23"/>
  <c r="H56" i="23"/>
  <c r="H48" i="23"/>
  <c r="H40" i="23"/>
  <c r="H32" i="23"/>
  <c r="H24" i="23"/>
  <c r="H16" i="23"/>
  <c r="H8" i="23"/>
  <c r="E237" i="22"/>
  <c r="E229" i="22"/>
  <c r="E221" i="22"/>
  <c r="E213" i="22"/>
  <c r="E205" i="22"/>
  <c r="E197" i="22"/>
  <c r="E189" i="22"/>
  <c r="E181" i="22"/>
  <c r="E173" i="22"/>
  <c r="E165" i="22"/>
  <c r="E157" i="22"/>
  <c r="E149" i="22"/>
  <c r="E141" i="22"/>
  <c r="E133" i="22"/>
  <c r="E125" i="22"/>
  <c r="E117" i="22"/>
  <c r="E109" i="22"/>
  <c r="H148" i="45"/>
  <c r="B77" i="45"/>
  <c r="H58" i="45"/>
  <c r="H16" i="37"/>
  <c r="D6" i="45"/>
  <c r="H81" i="45"/>
  <c r="A19" i="45"/>
  <c r="G12" i="36"/>
  <c r="B24" i="38"/>
  <c r="F462" i="25"/>
  <c r="B434" i="25"/>
  <c r="G405" i="25"/>
  <c r="H27" i="35"/>
  <c r="D13" i="32"/>
  <c r="D5" i="27"/>
  <c r="H34" i="26"/>
  <c r="H18" i="26"/>
  <c r="D887" i="25"/>
  <c r="I858" i="25"/>
  <c r="E830" i="25"/>
  <c r="A802" i="25"/>
  <c r="F773" i="25"/>
  <c r="B745" i="25"/>
  <c r="G716" i="25"/>
  <c r="C688" i="25"/>
  <c r="H659" i="25"/>
  <c r="D631" i="25"/>
  <c r="E96" i="45"/>
  <c r="H9" i="27"/>
  <c r="E19" i="26"/>
  <c r="E860" i="25"/>
  <c r="F803" i="25"/>
  <c r="G746" i="25"/>
  <c r="H689" i="25"/>
  <c r="I632" i="25"/>
  <c r="A585" i="25"/>
  <c r="B547" i="25"/>
  <c r="D188" i="45"/>
  <c r="A207" i="45"/>
  <c r="B45" i="38"/>
  <c r="G79" i="45"/>
  <c r="G4" i="38"/>
  <c r="G11" i="37"/>
  <c r="B67" i="45"/>
  <c r="G94" i="45"/>
  <c r="E21" i="37"/>
  <c r="A103" i="33"/>
  <c r="B46" i="33"/>
  <c r="G20" i="32"/>
  <c r="A25" i="36"/>
  <c r="H33" i="35"/>
  <c r="E7" i="36"/>
  <c r="F88" i="33"/>
  <c r="C38" i="33"/>
  <c r="B27" i="32"/>
  <c r="I31" i="35"/>
  <c r="C10" i="34"/>
  <c r="H63" i="33"/>
  <c r="B13" i="33"/>
  <c r="F2" i="31"/>
  <c r="C71" i="33"/>
  <c r="A4" i="33"/>
  <c r="H7" i="28"/>
  <c r="E13" i="27"/>
  <c r="H90" i="33"/>
  <c r="C23" i="33"/>
  <c r="B1" i="31"/>
  <c r="C36" i="27"/>
  <c r="G14" i="27"/>
  <c r="I98" i="33"/>
  <c r="F31" i="33"/>
  <c r="E6" i="31"/>
  <c r="F28" i="27"/>
  <c r="D48" i="26"/>
  <c r="C40" i="26"/>
  <c r="C32" i="26"/>
  <c r="C24" i="26"/>
  <c r="C16" i="26"/>
  <c r="C8" i="26"/>
  <c r="E883" i="25"/>
  <c r="C869" i="25"/>
  <c r="A855" i="25"/>
  <c r="H840" i="25"/>
  <c r="F826" i="25"/>
  <c r="D812" i="25"/>
  <c r="B798" i="25"/>
  <c r="I783" i="25"/>
  <c r="G769" i="25"/>
  <c r="E755" i="25"/>
  <c r="C741" i="25"/>
  <c r="A727" i="25"/>
  <c r="H712" i="25"/>
  <c r="F698" i="25"/>
  <c r="D684" i="25"/>
  <c r="B670" i="25"/>
  <c r="I655" i="25"/>
  <c r="G641" i="25"/>
  <c r="E627" i="25"/>
  <c r="C613" i="25"/>
  <c r="A599" i="25"/>
  <c r="H584" i="25"/>
  <c r="F570" i="25"/>
  <c r="D556" i="25"/>
  <c r="B542" i="25"/>
  <c r="I527" i="25"/>
  <c r="G513" i="25"/>
  <c r="E499" i="25"/>
  <c r="C485" i="25"/>
  <c r="A471" i="25"/>
  <c r="H456" i="25"/>
  <c r="F442" i="25"/>
  <c r="D428" i="25"/>
  <c r="B414" i="25"/>
  <c r="I399" i="25"/>
  <c r="G385" i="25"/>
  <c r="A90" i="33"/>
  <c r="E22" i="33"/>
  <c r="C2" i="30"/>
  <c r="D24" i="27"/>
  <c r="C47" i="26"/>
  <c r="C39" i="26"/>
  <c r="C31" i="26"/>
  <c r="C23" i="26"/>
  <c r="C15" i="26"/>
  <c r="C7" i="26"/>
  <c r="F881" i="25"/>
  <c r="D867" i="25"/>
  <c r="B853" i="25"/>
  <c r="I838" i="25"/>
  <c r="G824" i="25"/>
  <c r="E810" i="25"/>
  <c r="C796" i="25"/>
  <c r="A782" i="25"/>
  <c r="H767" i="25"/>
  <c r="F753" i="25"/>
  <c r="D739" i="25"/>
  <c r="B725" i="25"/>
  <c r="I710" i="25"/>
  <c r="G696" i="25"/>
  <c r="E682" i="25"/>
  <c r="C668" i="25"/>
  <c r="A654" i="25"/>
  <c r="H639" i="25"/>
  <c r="F625" i="25"/>
  <c r="D611" i="25"/>
  <c r="B72" i="33"/>
  <c r="G8" i="28"/>
  <c r="L44" i="26"/>
  <c r="L28" i="26"/>
  <c r="L12" i="26"/>
  <c r="D877" i="25"/>
  <c r="I848" i="25"/>
  <c r="E820" i="25"/>
  <c r="A792" i="25"/>
  <c r="F763" i="25"/>
  <c r="B735" i="25"/>
  <c r="G706" i="25"/>
  <c r="C678" i="25"/>
  <c r="H649" i="25"/>
  <c r="D621" i="25"/>
  <c r="C596" i="25"/>
  <c r="D577" i="25"/>
  <c r="I210" i="45"/>
  <c r="F116" i="45"/>
  <c r="I44" i="45"/>
  <c r="G114" i="45"/>
  <c r="B28" i="45"/>
  <c r="H92" i="33"/>
  <c r="C9" i="32"/>
  <c r="H21" i="35"/>
  <c r="C80" i="33"/>
  <c r="H19" i="32"/>
  <c r="F105" i="33"/>
  <c r="F4" i="33"/>
  <c r="G59" i="33"/>
  <c r="D2" i="28"/>
  <c r="C79" i="33"/>
  <c r="B1" i="29"/>
  <c r="G11" i="27"/>
  <c r="I20" i="33"/>
  <c r="F23" i="27"/>
  <c r="M38" i="26"/>
  <c r="M22" i="26"/>
  <c r="M6" i="26"/>
  <c r="A867" i="25"/>
  <c r="F838" i="25"/>
  <c r="H820" i="25"/>
  <c r="A803" i="25"/>
  <c r="H788" i="25"/>
  <c r="F774" i="25"/>
  <c r="D760" i="25"/>
  <c r="B746" i="25"/>
  <c r="I731" i="25"/>
  <c r="G717" i="25"/>
  <c r="E703" i="25"/>
  <c r="C689" i="25"/>
  <c r="A675" i="25"/>
  <c r="H660" i="25"/>
  <c r="F646" i="25"/>
  <c r="D632" i="25"/>
  <c r="B618" i="25"/>
  <c r="I603" i="25"/>
  <c r="G589" i="25"/>
  <c r="E575" i="25"/>
  <c r="C561" i="25"/>
  <c r="A547" i="25"/>
  <c r="H532" i="25"/>
  <c r="F518" i="25"/>
  <c r="D504" i="25"/>
  <c r="B490" i="25"/>
  <c r="I475" i="25"/>
  <c r="G461" i="25"/>
  <c r="E447" i="25"/>
  <c r="C433" i="25"/>
  <c r="A419" i="25"/>
  <c r="H404" i="25"/>
  <c r="F390" i="25"/>
  <c r="G10" i="35"/>
  <c r="H45" i="33"/>
  <c r="D8" i="32"/>
  <c r="D35" i="27"/>
  <c r="D3" i="27"/>
  <c r="M41" i="26"/>
  <c r="M33" i="26"/>
  <c r="M25" i="26"/>
  <c r="M17" i="26"/>
  <c r="M9" i="26"/>
  <c r="E886" i="25"/>
  <c r="C872" i="25"/>
  <c r="A858" i="25"/>
  <c r="H843" i="25"/>
  <c r="F829" i="25"/>
  <c r="D815" i="25"/>
  <c r="B801" i="25"/>
  <c r="I786" i="25"/>
  <c r="G772" i="25"/>
  <c r="E758" i="25"/>
  <c r="C744" i="25"/>
  <c r="A730" i="25"/>
  <c r="H715" i="25"/>
  <c r="F701" i="25"/>
  <c r="D687" i="25"/>
  <c r="B673" i="25"/>
  <c r="I658" i="25"/>
  <c r="G644" i="25"/>
  <c r="E630" i="25"/>
  <c r="C616" i="25"/>
  <c r="H17" i="36"/>
  <c r="D14" i="32"/>
  <c r="H5" i="27"/>
  <c r="F34" i="26"/>
  <c r="F18" i="26"/>
  <c r="B887" i="25"/>
  <c r="G858" i="25"/>
  <c r="C830" i="25"/>
  <c r="H801" i="25"/>
  <c r="D773" i="25"/>
  <c r="I744" i="25"/>
  <c r="E716" i="25"/>
  <c r="A688" i="25"/>
  <c r="F659" i="25"/>
  <c r="B631" i="25"/>
  <c r="H602" i="25"/>
  <c r="H583" i="25"/>
  <c r="I564" i="25"/>
  <c r="G550" i="25"/>
  <c r="C538" i="25"/>
  <c r="B525" i="25"/>
  <c r="G515" i="25"/>
  <c r="C506" i="25"/>
  <c r="G496" i="25"/>
  <c r="C487" i="25"/>
  <c r="H477" i="25"/>
  <c r="C468" i="25"/>
  <c r="H458" i="25"/>
  <c r="D449" i="25"/>
  <c r="H439" i="25"/>
  <c r="D430" i="25"/>
  <c r="I420" i="25"/>
  <c r="D411" i="25"/>
  <c r="I401" i="25"/>
  <c r="E392" i="25"/>
  <c r="I382" i="25"/>
  <c r="B375" i="25"/>
  <c r="A368" i="25"/>
  <c r="I360" i="25"/>
  <c r="H353" i="25"/>
  <c r="G346" i="25"/>
  <c r="F339" i="25"/>
  <c r="E332" i="25"/>
  <c r="D325" i="25"/>
  <c r="C318" i="25"/>
  <c r="B311" i="25"/>
  <c r="A304" i="25"/>
  <c r="I296" i="25"/>
  <c r="H289" i="25"/>
  <c r="G282" i="25"/>
  <c r="F275" i="25"/>
  <c r="E268" i="25"/>
  <c r="D261" i="25"/>
  <c r="C254" i="25"/>
  <c r="B247" i="25"/>
  <c r="A240" i="25"/>
  <c r="I232" i="25"/>
  <c r="H225" i="25"/>
  <c r="G218" i="25"/>
  <c r="F211" i="25"/>
  <c r="E204" i="25"/>
  <c r="D197" i="25"/>
  <c r="C190" i="25"/>
  <c r="B183" i="25"/>
  <c r="A176" i="25"/>
  <c r="I168" i="25"/>
  <c r="H161" i="25"/>
  <c r="G154" i="25"/>
  <c r="F147" i="25"/>
  <c r="E140" i="25"/>
  <c r="D133" i="25"/>
  <c r="C126" i="25"/>
  <c r="B119" i="25"/>
  <c r="A112" i="25"/>
  <c r="I104" i="25"/>
  <c r="H97" i="25"/>
  <c r="G90" i="25"/>
  <c r="F83" i="25"/>
  <c r="E76" i="25"/>
  <c r="D69" i="25"/>
  <c r="C62" i="25"/>
  <c r="B55" i="25"/>
  <c r="A48" i="25"/>
  <c r="I40" i="25"/>
  <c r="H33" i="25"/>
  <c r="G26" i="25"/>
  <c r="F19" i="25"/>
  <c r="E12" i="25"/>
  <c r="D5" i="25"/>
  <c r="G109" i="24"/>
  <c r="G101" i="24"/>
  <c r="G93" i="24"/>
  <c r="G85" i="24"/>
  <c r="G77" i="24"/>
  <c r="G69" i="24"/>
  <c r="G61" i="24"/>
  <c r="G53" i="24"/>
  <c r="G45" i="24"/>
  <c r="G37" i="24"/>
  <c r="G29" i="24"/>
  <c r="G21" i="24"/>
  <c r="G13" i="24"/>
  <c r="G5" i="24"/>
  <c r="H222" i="23"/>
  <c r="H214" i="23"/>
  <c r="H206" i="23"/>
  <c r="H198" i="23"/>
  <c r="H190" i="23"/>
  <c r="H182" i="23"/>
  <c r="H174" i="23"/>
  <c r="H166" i="23"/>
  <c r="H158" i="23"/>
  <c r="H150" i="23"/>
  <c r="H142" i="23"/>
  <c r="H134" i="23"/>
  <c r="H126" i="23"/>
  <c r="H118" i="23"/>
  <c r="H110" i="23"/>
  <c r="H102" i="23"/>
  <c r="H94" i="23"/>
  <c r="H86" i="23"/>
  <c r="H78" i="23"/>
  <c r="H70" i="23"/>
  <c r="H62" i="23"/>
  <c r="H54" i="23"/>
  <c r="H46" i="23"/>
  <c r="H38" i="23"/>
  <c r="H30" i="23"/>
  <c r="H22" i="23"/>
  <c r="H14" i="23"/>
  <c r="H6" i="23"/>
  <c r="E235" i="22"/>
  <c r="E227" i="22"/>
  <c r="E219" i="22"/>
  <c r="E211" i="22"/>
  <c r="E203" i="22"/>
  <c r="E195" i="22"/>
  <c r="E187" i="22"/>
  <c r="E179" i="22"/>
  <c r="E171" i="22"/>
  <c r="E163" i="22"/>
  <c r="E155" i="22"/>
  <c r="E147" i="22"/>
  <c r="E139" i="22"/>
  <c r="E131" i="22"/>
  <c r="E123" i="22"/>
  <c r="E115" i="22"/>
  <c r="E107" i="22"/>
  <c r="E125" i="45"/>
  <c r="C20" i="45"/>
  <c r="I20" i="45"/>
  <c r="I174" i="45"/>
  <c r="H41" i="38"/>
  <c r="A18" i="43"/>
  <c r="G21" i="38"/>
  <c r="G17" i="35"/>
  <c r="A132" i="45"/>
  <c r="E11" i="35"/>
  <c r="I63" i="33"/>
  <c r="A7" i="33"/>
  <c r="H22" i="45"/>
  <c r="C7" i="38"/>
  <c r="I42" i="38"/>
  <c r="F104" i="33"/>
  <c r="C54" i="33"/>
  <c r="H6" i="33"/>
  <c r="I19" i="45"/>
  <c r="H10" i="36"/>
  <c r="F79" i="33"/>
  <c r="A29" i="33"/>
  <c r="F7" i="32"/>
  <c r="E92" i="33"/>
  <c r="I24" i="33"/>
  <c r="G1" i="30"/>
  <c r="E23" i="27"/>
  <c r="H6" i="34"/>
  <c r="E44" i="33"/>
  <c r="A7" i="32"/>
  <c r="F4" i="28"/>
  <c r="G21" i="27"/>
  <c r="B23" i="36"/>
  <c r="F52" i="33"/>
  <c r="B16" i="32"/>
  <c r="F38" i="27"/>
  <c r="F6" i="27"/>
  <c r="I42" i="26"/>
  <c r="I34" i="26"/>
  <c r="I26" i="26"/>
  <c r="I18" i="26"/>
  <c r="I10" i="26"/>
  <c r="I887" i="25"/>
  <c r="G873" i="25"/>
  <c r="E859" i="25"/>
  <c r="C845" i="25"/>
  <c r="A831" i="25"/>
  <c r="H816" i="25"/>
  <c r="F802" i="25"/>
  <c r="D788" i="25"/>
  <c r="B774" i="25"/>
  <c r="I759" i="25"/>
  <c r="G745" i="25"/>
  <c r="E731" i="25"/>
  <c r="C717" i="25"/>
  <c r="A703" i="25"/>
  <c r="H688" i="25"/>
  <c r="F674" i="25"/>
  <c r="D660" i="25"/>
  <c r="B646" i="25"/>
  <c r="I631" i="25"/>
  <c r="G617" i="25"/>
  <c r="E603" i="25"/>
  <c r="C589" i="25"/>
  <c r="A575" i="25"/>
  <c r="H560" i="25"/>
  <c r="F546" i="25"/>
  <c r="D532" i="25"/>
  <c r="B518" i="25"/>
  <c r="I503" i="25"/>
  <c r="G489" i="25"/>
  <c r="E475" i="25"/>
  <c r="C461" i="25"/>
  <c r="A447" i="25"/>
  <c r="H432" i="25"/>
  <c r="F418" i="25"/>
  <c r="D404" i="25"/>
  <c r="B390" i="25"/>
  <c r="H4" i="34"/>
  <c r="G43" i="33"/>
  <c r="B6" i="32"/>
  <c r="D34" i="27"/>
  <c r="D2" i="27"/>
  <c r="I41" i="26"/>
  <c r="I33" i="26"/>
  <c r="I25" i="26"/>
  <c r="I17" i="26"/>
  <c r="I9" i="26"/>
  <c r="A886" i="25"/>
  <c r="H871" i="25"/>
  <c r="F857" i="25"/>
  <c r="D843" i="25"/>
  <c r="B829" i="25"/>
  <c r="I814" i="25"/>
  <c r="G800" i="25"/>
  <c r="E786" i="25"/>
  <c r="C772" i="25"/>
  <c r="A758" i="25"/>
  <c r="H743" i="25"/>
  <c r="F729" i="25"/>
  <c r="D715" i="25"/>
  <c r="B701" i="25"/>
  <c r="I686" i="25"/>
  <c r="G672" i="25"/>
  <c r="E658" i="25"/>
  <c r="C644" i="25"/>
  <c r="A630" i="25"/>
  <c r="H615" i="25"/>
  <c r="E13" i="35"/>
  <c r="F9" i="32"/>
  <c r="H3" i="27"/>
  <c r="O33" i="26"/>
  <c r="O17" i="26"/>
  <c r="C886" i="25"/>
  <c r="H857" i="25"/>
  <c r="D829" i="25"/>
  <c r="I800" i="25"/>
  <c r="E772" i="25"/>
  <c r="A744" i="25"/>
  <c r="F715" i="25"/>
  <c r="B687" i="25"/>
  <c r="G658" i="25"/>
  <c r="C630" i="25"/>
  <c r="C602" i="25"/>
  <c r="C583" i="25"/>
  <c r="E455" i="25"/>
  <c r="A427" i="25"/>
  <c r="F398" i="25"/>
  <c r="G83" i="33"/>
  <c r="C15" i="28"/>
  <c r="H46" i="26"/>
  <c r="H30" i="26"/>
  <c r="H14" i="26"/>
  <c r="C880" i="25"/>
  <c r="H851" i="25"/>
  <c r="D823" i="25"/>
  <c r="I794" i="25"/>
  <c r="E766" i="25"/>
  <c r="A738" i="25"/>
  <c r="F709" i="25"/>
  <c r="B681" i="25"/>
  <c r="G652" i="25"/>
  <c r="C624" i="25"/>
  <c r="D59" i="33"/>
  <c r="E43" i="26"/>
  <c r="E11" i="26"/>
  <c r="C846" i="25"/>
  <c r="D789" i="25"/>
  <c r="E732" i="25"/>
  <c r="F675" i="25"/>
  <c r="G618" i="25"/>
  <c r="F575" i="25"/>
  <c r="F537" i="25"/>
  <c r="H119" i="45"/>
  <c r="E101" i="45"/>
  <c r="C14" i="38"/>
  <c r="H34" i="45"/>
  <c r="A235" i="45"/>
  <c r="E84" i="45"/>
  <c r="E24" i="37"/>
  <c r="H6" i="45"/>
  <c r="F12" i="36"/>
  <c r="H88" i="33"/>
  <c r="I31" i="33"/>
  <c r="G4" i="32"/>
  <c r="A11" i="36"/>
  <c r="G16" i="35"/>
  <c r="B20" i="35"/>
  <c r="B76" i="33"/>
  <c r="H25" i="33"/>
  <c r="E16" i="32"/>
  <c r="F7" i="35"/>
  <c r="H101" i="33"/>
  <c r="B51" i="33"/>
  <c r="F32" i="32"/>
  <c r="D28" i="35"/>
  <c r="E54" i="33"/>
  <c r="A17" i="32"/>
  <c r="E37" i="27"/>
  <c r="E5" i="27"/>
  <c r="I73" i="33"/>
  <c r="E6" i="33"/>
  <c r="B14" i="28"/>
  <c r="G30" i="27"/>
  <c r="G9" i="27"/>
  <c r="C82" i="33"/>
  <c r="G14" i="33"/>
  <c r="E14" i="28"/>
  <c r="F20" i="27"/>
  <c r="A46" i="26"/>
  <c r="A38" i="26"/>
  <c r="A30" i="26"/>
  <c r="A22" i="26"/>
  <c r="A14" i="26"/>
  <c r="A6" i="26"/>
  <c r="I879" i="25"/>
  <c r="G865" i="25"/>
  <c r="E851" i="25"/>
  <c r="C837" i="25"/>
  <c r="A823" i="25"/>
  <c r="H808" i="25"/>
  <c r="F794" i="25"/>
  <c r="D780" i="25"/>
  <c r="B766" i="25"/>
  <c r="I751" i="25"/>
  <c r="G737" i="25"/>
  <c r="E723" i="25"/>
  <c r="C709" i="25"/>
  <c r="A695" i="25"/>
  <c r="H680" i="25"/>
  <c r="F666" i="25"/>
  <c r="D652" i="25"/>
  <c r="B638" i="25"/>
  <c r="I623" i="25"/>
  <c r="G609" i="25"/>
  <c r="E595" i="25"/>
  <c r="C581" i="25"/>
  <c r="A567" i="25"/>
  <c r="H552" i="25"/>
  <c r="F538" i="25"/>
  <c r="D524" i="25"/>
  <c r="B510" i="25"/>
  <c r="I495" i="25"/>
  <c r="G481" i="25"/>
  <c r="E467" i="25"/>
  <c r="C453" i="25"/>
  <c r="A439" i="25"/>
  <c r="H424" i="25"/>
  <c r="F410" i="25"/>
  <c r="D396" i="25"/>
  <c r="B382" i="25"/>
  <c r="A73" i="33"/>
  <c r="H5" i="33"/>
  <c r="C10" i="28"/>
  <c r="D16" i="27"/>
  <c r="A45" i="26"/>
  <c r="A37" i="26"/>
  <c r="A29" i="26"/>
  <c r="A21" i="26"/>
  <c r="A13" i="26"/>
  <c r="D5" i="26"/>
  <c r="A878" i="25"/>
  <c r="H863" i="25"/>
  <c r="F849" i="25"/>
  <c r="D835" i="25"/>
  <c r="B821" i="25"/>
  <c r="I806" i="25"/>
  <c r="G792" i="25"/>
  <c r="E778" i="25"/>
  <c r="C764" i="25"/>
  <c r="A750" i="25"/>
  <c r="H735" i="25"/>
  <c r="F721" i="25"/>
  <c r="D707" i="25"/>
  <c r="B693" i="25"/>
  <c r="I678" i="25"/>
  <c r="G664" i="25"/>
  <c r="E650" i="25"/>
  <c r="C636" i="25"/>
  <c r="A622" i="25"/>
  <c r="H607" i="25"/>
  <c r="D38" i="33"/>
  <c r="H31" i="27"/>
  <c r="P40" i="26"/>
  <c r="P24" i="26"/>
  <c r="P8" i="26"/>
  <c r="C870" i="25"/>
  <c r="H841" i="25"/>
  <c r="D813" i="25"/>
  <c r="I784" i="25"/>
  <c r="E756" i="25"/>
  <c r="A728" i="25"/>
  <c r="F699" i="25"/>
  <c r="B671" i="25"/>
  <c r="G642" i="25"/>
  <c r="C614" i="25"/>
  <c r="F591" i="25"/>
  <c r="F572" i="25"/>
  <c r="G127" i="45"/>
  <c r="E21" i="45"/>
  <c r="E42" i="38"/>
  <c r="F22" i="38"/>
  <c r="C146" i="45"/>
  <c r="D64" i="33"/>
  <c r="F27" i="45"/>
  <c r="A7" i="43"/>
  <c r="H54" i="33"/>
  <c r="H38" i="45"/>
  <c r="E80" i="33"/>
  <c r="F8" i="32"/>
  <c r="A26" i="33"/>
  <c r="A24" i="27"/>
  <c r="E45" i="33"/>
  <c r="F5" i="28"/>
  <c r="B32" i="38"/>
  <c r="F18" i="32"/>
  <c r="F7" i="27"/>
  <c r="M34" i="26"/>
  <c r="M18" i="26"/>
  <c r="D888" i="25"/>
  <c r="I859" i="25"/>
  <c r="A835" i="25"/>
  <c r="C817" i="25"/>
  <c r="E799" i="25"/>
  <c r="C785" i="25"/>
  <c r="A771" i="25"/>
  <c r="H756" i="25"/>
  <c r="F742" i="25"/>
  <c r="D728" i="25"/>
  <c r="B714" i="25"/>
  <c r="I699" i="25"/>
  <c r="G685" i="25"/>
  <c r="E671" i="25"/>
  <c r="C657" i="25"/>
  <c r="A643" i="25"/>
  <c r="H628" i="25"/>
  <c r="F614" i="25"/>
  <c r="D600" i="25"/>
  <c r="B586" i="25"/>
  <c r="I571" i="25"/>
  <c r="G557" i="25"/>
  <c r="E543" i="25"/>
  <c r="C529" i="25"/>
  <c r="A515" i="25"/>
  <c r="H500" i="25"/>
  <c r="F486" i="25"/>
  <c r="D472" i="25"/>
  <c r="B458" i="25"/>
  <c r="I443" i="25"/>
  <c r="G429" i="25"/>
  <c r="E415" i="25"/>
  <c r="C401" i="25"/>
  <c r="A387" i="25"/>
  <c r="E96" i="33"/>
  <c r="I28" i="33"/>
  <c r="E2" i="31"/>
  <c r="D27" i="27"/>
  <c r="O47" i="26"/>
  <c r="O39" i="26"/>
  <c r="O31" i="26"/>
  <c r="O23" i="26"/>
  <c r="O15" i="26"/>
  <c r="O7" i="26"/>
  <c r="I882" i="25"/>
  <c r="G868" i="25"/>
  <c r="E854" i="25"/>
  <c r="C840" i="25"/>
  <c r="A826" i="25"/>
  <c r="H811" i="25"/>
  <c r="F797" i="25"/>
  <c r="D783" i="25"/>
  <c r="B769" i="25"/>
  <c r="I754" i="25"/>
  <c r="G740" i="25"/>
  <c r="E726" i="25"/>
  <c r="C712" i="25"/>
  <c r="A698" i="25"/>
  <c r="H683" i="25"/>
  <c r="F669" i="25"/>
  <c r="D655" i="25"/>
  <c r="B641" i="25"/>
  <c r="I626" i="25"/>
  <c r="G612" i="25"/>
  <c r="G84" i="33"/>
  <c r="G14" i="28"/>
  <c r="B46" i="26"/>
  <c r="B30" i="26"/>
  <c r="B14" i="26"/>
  <c r="A880" i="25"/>
  <c r="F851" i="25"/>
  <c r="B823" i="25"/>
  <c r="G794" i="25"/>
  <c r="C766" i="25"/>
  <c r="H737" i="25"/>
  <c r="D709" i="25"/>
  <c r="I680" i="25"/>
  <c r="E652" i="25"/>
  <c r="A624" i="25"/>
  <c r="A598" i="25"/>
  <c r="B579" i="25"/>
  <c r="B560" i="25"/>
  <c r="G547" i="25"/>
  <c r="G534" i="25"/>
  <c r="H522" i="25"/>
  <c r="D513" i="25"/>
  <c r="H503" i="25"/>
  <c r="D494" i="25"/>
  <c r="I484" i="25"/>
  <c r="D475" i="25"/>
  <c r="I465" i="25"/>
  <c r="E456" i="25"/>
  <c r="I446" i="25"/>
  <c r="E437" i="25"/>
  <c r="A428" i="25"/>
  <c r="E418" i="25"/>
  <c r="A409" i="25"/>
  <c r="F399" i="25"/>
  <c r="A390" i="25"/>
  <c r="F380" i="25"/>
  <c r="D373" i="25"/>
  <c r="C366" i="25"/>
  <c r="B359" i="25"/>
  <c r="A352" i="25"/>
  <c r="I344" i="25"/>
  <c r="H337" i="25"/>
  <c r="G330" i="25"/>
  <c r="F323" i="25"/>
  <c r="E316" i="25"/>
  <c r="D309" i="25"/>
  <c r="C302" i="25"/>
  <c r="B295" i="25"/>
  <c r="A288" i="25"/>
  <c r="I280" i="25"/>
  <c r="H273" i="25"/>
  <c r="G266" i="25"/>
  <c r="F259" i="25"/>
  <c r="E252" i="25"/>
  <c r="D245" i="25"/>
  <c r="C238" i="25"/>
  <c r="B231" i="25"/>
  <c r="A224" i="25"/>
  <c r="I216" i="25"/>
  <c r="H209" i="25"/>
  <c r="G202" i="25"/>
  <c r="F195" i="25"/>
  <c r="E188" i="25"/>
  <c r="D181" i="25"/>
  <c r="C174" i="25"/>
  <c r="B167" i="25"/>
  <c r="A160" i="25"/>
  <c r="I152" i="25"/>
  <c r="H145" i="25"/>
  <c r="G138" i="25"/>
  <c r="F131" i="25"/>
  <c r="E124" i="25"/>
  <c r="D117" i="25"/>
  <c r="C110" i="25"/>
  <c r="B103" i="25"/>
  <c r="A96" i="25"/>
  <c r="I88" i="25"/>
  <c r="H81" i="25"/>
  <c r="G74" i="25"/>
  <c r="F67" i="25"/>
  <c r="E60" i="25"/>
  <c r="D53" i="25"/>
  <c r="C46" i="25"/>
  <c r="B39" i="25"/>
  <c r="A32" i="25"/>
  <c r="I24" i="25"/>
  <c r="H17" i="25"/>
  <c r="G10" i="25"/>
  <c r="G115" i="24"/>
  <c r="G107" i="24"/>
  <c r="G99" i="24"/>
  <c r="G91" i="24"/>
  <c r="G83" i="24"/>
  <c r="G75" i="24"/>
  <c r="G67" i="24"/>
  <c r="G59" i="24"/>
  <c r="G51" i="24"/>
  <c r="G43" i="24"/>
  <c r="G35" i="24"/>
  <c r="G27" i="24"/>
  <c r="G19" i="24"/>
  <c r="G11" i="24"/>
  <c r="G3" i="24"/>
  <c r="H220" i="23"/>
  <c r="H212" i="23"/>
  <c r="H204" i="23"/>
  <c r="H196" i="23"/>
  <c r="H188" i="23"/>
  <c r="H180" i="23"/>
  <c r="H172" i="23"/>
  <c r="H164" i="23"/>
  <c r="H156" i="23"/>
  <c r="H148" i="23"/>
  <c r="H140" i="23"/>
  <c r="H132" i="23"/>
  <c r="H124" i="23"/>
  <c r="H116" i="23"/>
  <c r="H108" i="23"/>
  <c r="H100" i="23"/>
  <c r="H92" i="23"/>
  <c r="H84" i="23"/>
  <c r="H76" i="23"/>
  <c r="H68" i="23"/>
  <c r="H60" i="23"/>
  <c r="H52" i="23"/>
  <c r="H44" i="23"/>
  <c r="H36" i="23"/>
  <c r="H28" i="23"/>
  <c r="H20" i="23"/>
  <c r="H12" i="23"/>
  <c r="H4" i="23"/>
  <c r="E233" i="22"/>
  <c r="E225" i="22"/>
  <c r="E217" i="22"/>
  <c r="E209" i="22"/>
  <c r="E201" i="22"/>
  <c r="E193" i="22"/>
  <c r="E185" i="22"/>
  <c r="E177" i="22"/>
  <c r="E169" i="22"/>
  <c r="E161" i="22"/>
  <c r="E153" i="22"/>
  <c r="E145" i="22"/>
  <c r="E137" i="22"/>
  <c r="E129" i="22"/>
  <c r="E121" i="22"/>
  <c r="E113" i="22"/>
  <c r="E105" i="22"/>
  <c r="D72" i="45"/>
  <c r="B36" i="38"/>
  <c r="F54" i="38"/>
  <c r="I93" i="45"/>
  <c r="H11" i="38"/>
  <c r="G27" i="37"/>
  <c r="C124" i="45"/>
  <c r="H133" i="45"/>
  <c r="E25" i="38"/>
  <c r="F106" i="33"/>
  <c r="G49" i="33"/>
  <c r="G24" i="32"/>
  <c r="F29" i="36"/>
  <c r="E6" i="36"/>
  <c r="B14" i="36"/>
  <c r="B92" i="33"/>
  <c r="B41" i="33"/>
  <c r="H29" i="32"/>
  <c r="H6" i="36"/>
  <c r="B11" i="35"/>
  <c r="I66" i="33"/>
  <c r="E16" i="33"/>
  <c r="C5" i="31"/>
  <c r="D75" i="33"/>
  <c r="B8" i="33"/>
  <c r="H9" i="28"/>
  <c r="E15" i="27"/>
  <c r="I94" i="33"/>
  <c r="G27" i="33"/>
  <c r="C2" i="31"/>
  <c r="G37" i="27"/>
  <c r="C16" i="27"/>
  <c r="B103" i="33"/>
  <c r="G35" i="33"/>
  <c r="B10" i="31"/>
  <c r="F30" i="27"/>
  <c r="L48" i="26"/>
  <c r="K40" i="26"/>
  <c r="K32" i="26"/>
  <c r="K24" i="26"/>
  <c r="K16" i="26"/>
  <c r="K8" i="26"/>
  <c r="D884" i="25"/>
  <c r="B870" i="25"/>
  <c r="I855" i="25"/>
  <c r="G841" i="25"/>
  <c r="E827" i="25"/>
  <c r="C813" i="25"/>
  <c r="A799" i="25"/>
  <c r="H784" i="25"/>
  <c r="F770" i="25"/>
  <c r="D756" i="25"/>
  <c r="B742" i="25"/>
  <c r="I727" i="25"/>
  <c r="G713" i="25"/>
  <c r="E699" i="25"/>
  <c r="C685" i="25"/>
  <c r="A671" i="25"/>
  <c r="H656" i="25"/>
  <c r="F642" i="25"/>
  <c r="D628" i="25"/>
  <c r="B614" i="25"/>
  <c r="I599" i="25"/>
  <c r="G585" i="25"/>
  <c r="E571" i="25"/>
  <c r="C557" i="25"/>
  <c r="A543" i="25"/>
  <c r="H528" i="25"/>
  <c r="F514" i="25"/>
  <c r="D500" i="25"/>
  <c r="B486" i="25"/>
  <c r="I471" i="25"/>
  <c r="G457" i="25"/>
  <c r="E443" i="25"/>
  <c r="C429" i="25"/>
  <c r="A415" i="25"/>
  <c r="H400" i="25"/>
  <c r="F386" i="25"/>
  <c r="C94" i="33"/>
  <c r="H26" i="33"/>
  <c r="H1" i="31"/>
  <c r="D26" i="27"/>
  <c r="K47" i="26"/>
  <c r="K39" i="26"/>
  <c r="K31" i="26"/>
  <c r="K23" i="26"/>
  <c r="K15" i="26"/>
  <c r="K7" i="26"/>
  <c r="E882" i="25"/>
  <c r="C868" i="25"/>
  <c r="A854" i="25"/>
  <c r="H839" i="25"/>
  <c r="F825" i="25"/>
  <c r="D811" i="25"/>
  <c r="B797" i="25"/>
  <c r="I782" i="25"/>
  <c r="G768" i="25"/>
  <c r="E754" i="25"/>
  <c r="C740" i="25"/>
  <c r="A726" i="25"/>
  <c r="H711" i="25"/>
  <c r="F697" i="25"/>
  <c r="D683" i="25"/>
  <c r="B669" i="25"/>
  <c r="I654" i="25"/>
  <c r="G640" i="25"/>
  <c r="E626" i="25"/>
  <c r="C612" i="25"/>
  <c r="F80" i="33"/>
  <c r="G12" i="28"/>
  <c r="K45" i="26"/>
  <c r="K29" i="26"/>
  <c r="K13" i="26"/>
  <c r="B879" i="25"/>
  <c r="G850" i="25"/>
  <c r="C822" i="25"/>
  <c r="H793" i="25"/>
  <c r="D765" i="25"/>
  <c r="I736" i="25"/>
  <c r="E708" i="25"/>
  <c r="A680" i="25"/>
  <c r="F651" i="25"/>
  <c r="B623" i="25"/>
  <c r="E597" i="25"/>
  <c r="E578" i="25"/>
  <c r="D448" i="25"/>
  <c r="D37" i="27"/>
  <c r="B873" i="25"/>
  <c r="D759" i="25"/>
  <c r="F645" i="25"/>
  <c r="I888" i="25"/>
  <c r="D661" i="25"/>
  <c r="I62" i="45"/>
  <c r="B55" i="45"/>
  <c r="I25" i="35"/>
  <c r="G78" i="45"/>
  <c r="I13" i="33"/>
  <c r="E38" i="33"/>
  <c r="A9" i="31"/>
  <c r="D21" i="32"/>
  <c r="B65" i="33"/>
  <c r="C44" i="26"/>
  <c r="C12" i="26"/>
  <c r="I847" i="25"/>
  <c r="A791" i="25"/>
  <c r="B734" i="25"/>
  <c r="C677" i="25"/>
  <c r="D620" i="25"/>
  <c r="E563" i="25"/>
  <c r="F506" i="25"/>
  <c r="G449" i="25"/>
  <c r="H392" i="25"/>
  <c r="C2" i="28"/>
  <c r="C27" i="26"/>
  <c r="E874" i="25"/>
  <c r="F817" i="25"/>
  <c r="G760" i="25"/>
  <c r="H703" i="25"/>
  <c r="I646" i="25"/>
  <c r="G4" i="33"/>
  <c r="F891" i="25"/>
  <c r="H777" i="25"/>
  <c r="A664" i="25"/>
  <c r="H567" i="25"/>
  <c r="I29" i="38"/>
  <c r="H25" i="35"/>
  <c r="B19" i="36"/>
  <c r="G32" i="27"/>
  <c r="M30" i="26"/>
  <c r="E831" i="25"/>
  <c r="E767" i="25"/>
  <c r="F710" i="25"/>
  <c r="G653" i="25"/>
  <c r="H596" i="25"/>
  <c r="I539" i="25"/>
  <c r="A483" i="25"/>
  <c r="B426" i="25"/>
  <c r="D79" i="33"/>
  <c r="M45" i="26"/>
  <c r="M13" i="26"/>
  <c r="I850" i="25"/>
  <c r="A794" i="25"/>
  <c r="B737" i="25"/>
  <c r="C680" i="25"/>
  <c r="D623" i="25"/>
  <c r="F42" i="26"/>
  <c r="E844" i="25"/>
  <c r="G730" i="25"/>
  <c r="I616" i="25"/>
  <c r="B544" i="25"/>
  <c r="E501" i="25"/>
  <c r="F463" i="25"/>
  <c r="F425" i="25"/>
  <c r="G387" i="25"/>
  <c r="D357" i="25"/>
  <c r="I328" i="25"/>
  <c r="E300" i="25"/>
  <c r="A272" i="25"/>
  <c r="F243" i="25"/>
  <c r="B215" i="25"/>
  <c r="G186" i="25"/>
  <c r="C158" i="25"/>
  <c r="H129" i="25"/>
  <c r="D101" i="25"/>
  <c r="I72" i="25"/>
  <c r="E44" i="25"/>
  <c r="A16" i="25"/>
  <c r="G97" i="24"/>
  <c r="G65" i="24"/>
  <c r="G33" i="24"/>
  <c r="H1" i="24"/>
  <c r="H194" i="23"/>
  <c r="H162" i="23"/>
  <c r="H130" i="23"/>
  <c r="H98" i="23"/>
  <c r="H66" i="23"/>
  <c r="H34" i="23"/>
  <c r="H2" i="23"/>
  <c r="E207" i="22"/>
  <c r="E175" i="22"/>
  <c r="E143" i="22"/>
  <c r="E111" i="22"/>
  <c r="D21" i="38"/>
  <c r="B28" i="38"/>
  <c r="D92" i="33"/>
  <c r="G8" i="32"/>
  <c r="C20" i="35"/>
  <c r="B79" i="33"/>
  <c r="B19" i="32"/>
  <c r="I104" i="33"/>
  <c r="G3" i="33"/>
  <c r="G58" i="33"/>
  <c r="E1" i="28"/>
  <c r="C78" i="33"/>
  <c r="F15" i="28"/>
  <c r="G10" i="27"/>
  <c r="I18" i="33"/>
  <c r="F22" i="27"/>
  <c r="I38" i="26"/>
  <c r="I22" i="26"/>
  <c r="I6" i="26"/>
  <c r="F866" i="25"/>
  <c r="B838" i="25"/>
  <c r="G809" i="25"/>
  <c r="C781" i="25"/>
  <c r="H752" i="25"/>
  <c r="D724" i="25"/>
  <c r="I695" i="25"/>
  <c r="E667" i="25"/>
  <c r="A639" i="25"/>
  <c r="F610" i="25"/>
  <c r="B582" i="25"/>
  <c r="G553" i="25"/>
  <c r="C525" i="25"/>
  <c r="H496" i="25"/>
  <c r="D468" i="25"/>
  <c r="I439" i="25"/>
  <c r="E411" i="25"/>
  <c r="A383" i="25"/>
  <c r="I9" i="33"/>
  <c r="D18" i="27"/>
  <c r="I37" i="26"/>
  <c r="I21" i="26"/>
  <c r="L5" i="26"/>
  <c r="G864" i="25"/>
  <c r="C836" i="25"/>
  <c r="H807" i="25"/>
  <c r="D779" i="25"/>
  <c r="I750" i="25"/>
  <c r="E722" i="25"/>
  <c r="A694" i="25"/>
  <c r="F665" i="25"/>
  <c r="B637" i="25"/>
  <c r="G608" i="25"/>
  <c r="H35" i="27"/>
  <c r="O25" i="26"/>
  <c r="A872" i="25"/>
  <c r="B815" i="25"/>
  <c r="C758" i="25"/>
  <c r="D701" i="25"/>
  <c r="E644" i="25"/>
  <c r="G592" i="25"/>
  <c r="C564" i="25"/>
  <c r="A550" i="25"/>
  <c r="A537" i="25"/>
  <c r="F524" i="25"/>
  <c r="B515" i="25"/>
  <c r="F505" i="25"/>
  <c r="B496" i="25"/>
  <c r="G486" i="25"/>
  <c r="B477" i="25"/>
  <c r="G467" i="25"/>
  <c r="C458" i="25"/>
  <c r="G448" i="25"/>
  <c r="C439" i="25"/>
  <c r="H429" i="25"/>
  <c r="C420" i="25"/>
  <c r="H410" i="25"/>
  <c r="D401" i="25"/>
  <c r="H391" i="25"/>
  <c r="D382" i="25"/>
  <c r="G374" i="25"/>
  <c r="F367" i="25"/>
  <c r="E360" i="25"/>
  <c r="D353" i="25"/>
  <c r="C346" i="25"/>
  <c r="B339" i="25"/>
  <c r="A332" i="25"/>
  <c r="I324" i="25"/>
  <c r="H317" i="25"/>
  <c r="G310" i="25"/>
  <c r="F303" i="25"/>
  <c r="E296" i="25"/>
  <c r="D289" i="25"/>
  <c r="C282" i="25"/>
  <c r="B275" i="25"/>
  <c r="A268" i="25"/>
  <c r="I260" i="25"/>
  <c r="H253" i="25"/>
  <c r="G246" i="25"/>
  <c r="F239" i="25"/>
  <c r="E232" i="25"/>
  <c r="D225" i="25"/>
  <c r="C218" i="25"/>
  <c r="B211" i="25"/>
  <c r="A204" i="25"/>
  <c r="I196" i="25"/>
  <c r="H189" i="25"/>
  <c r="G182" i="25"/>
  <c r="F175" i="25"/>
  <c r="E168" i="25"/>
  <c r="D161" i="25"/>
  <c r="C154" i="25"/>
  <c r="B147" i="25"/>
  <c r="A140" i="25"/>
  <c r="I132" i="25"/>
  <c r="H125" i="25"/>
  <c r="G118" i="25"/>
  <c r="F111" i="25"/>
  <c r="E104" i="25"/>
  <c r="D97" i="25"/>
  <c r="C90" i="25"/>
  <c r="B83" i="25"/>
  <c r="A76" i="25"/>
  <c r="I68" i="25"/>
  <c r="H61" i="25"/>
  <c r="G54" i="25"/>
  <c r="F47" i="25"/>
  <c r="E40" i="25"/>
  <c r="D33" i="25"/>
  <c r="C26" i="25"/>
  <c r="B19" i="25"/>
  <c r="A12" i="25"/>
  <c r="I4" i="25"/>
  <c r="C109" i="24"/>
  <c r="C101" i="24"/>
  <c r="C93" i="24"/>
  <c r="C85" i="24"/>
  <c r="C77" i="24"/>
  <c r="C69" i="24"/>
  <c r="C61" i="24"/>
  <c r="C53" i="24"/>
  <c r="C45" i="24"/>
  <c r="C37" i="24"/>
  <c r="C29" i="24"/>
  <c r="C21" i="24"/>
  <c r="C13" i="24"/>
  <c r="C5" i="24"/>
  <c r="D222" i="23"/>
  <c r="D214" i="23"/>
  <c r="D206" i="23"/>
  <c r="D198" i="23"/>
  <c r="D190" i="23"/>
  <c r="D182" i="23"/>
  <c r="D174" i="23"/>
  <c r="D166" i="23"/>
  <c r="D158" i="23"/>
  <c r="D150" i="23"/>
  <c r="D142" i="23"/>
  <c r="D134" i="23"/>
  <c r="D126" i="23"/>
  <c r="D118" i="23"/>
  <c r="D110" i="23"/>
  <c r="D102" i="23"/>
  <c r="D94" i="23"/>
  <c r="D86" i="23"/>
  <c r="D78" i="23"/>
  <c r="D70" i="23"/>
  <c r="D62" i="23"/>
  <c r="D54" i="23"/>
  <c r="D46" i="23"/>
  <c r="D38" i="23"/>
  <c r="D30" i="23"/>
  <c r="D22" i="23"/>
  <c r="D14" i="23"/>
  <c r="D6" i="23"/>
  <c r="A235" i="22"/>
  <c r="A227" i="22"/>
  <c r="A219" i="22"/>
  <c r="A211" i="22"/>
  <c r="A203" i="22"/>
  <c r="A195" i="22"/>
  <c r="A187" i="22"/>
  <c r="A179" i="22"/>
  <c r="A171" i="22"/>
  <c r="A163" i="22"/>
  <c r="A155" i="22"/>
  <c r="A147" i="22"/>
  <c r="A139" i="22"/>
  <c r="A131" i="22"/>
  <c r="A123" i="22"/>
  <c r="A115" i="22"/>
  <c r="A107" i="22"/>
  <c r="A50" i="45"/>
  <c r="C345" i="45"/>
  <c r="D37" i="45"/>
  <c r="I30" i="35"/>
  <c r="B22" i="35"/>
  <c r="F14" i="33"/>
  <c r="B34" i="45"/>
  <c r="C5" i="34"/>
  <c r="B12" i="33"/>
  <c r="A19" i="37"/>
  <c r="B36" i="33"/>
  <c r="I101" i="33"/>
  <c r="C6" i="31"/>
  <c r="I29" i="35"/>
  <c r="F17" i="32"/>
  <c r="G24" i="27"/>
  <c r="C63" i="33"/>
  <c r="E5" i="28"/>
  <c r="P43" i="26"/>
  <c r="P27" i="26"/>
  <c r="P11" i="26"/>
  <c r="I875" i="25"/>
  <c r="E847" i="25"/>
  <c r="A819" i="25"/>
  <c r="F790" i="25"/>
  <c r="B762" i="25"/>
  <c r="G733" i="25"/>
  <c r="C705" i="25"/>
  <c r="H676" i="25"/>
  <c r="D648" i="25"/>
  <c r="I619" i="25"/>
  <c r="E591" i="25"/>
  <c r="A563" i="25"/>
  <c r="F534" i="25"/>
  <c r="B506" i="25"/>
  <c r="G477" i="25"/>
  <c r="C449" i="25"/>
  <c r="H420" i="25"/>
  <c r="D392" i="25"/>
  <c r="A54" i="33"/>
  <c r="D1" i="28"/>
  <c r="P42" i="26"/>
  <c r="P26" i="26"/>
  <c r="P10" i="26"/>
  <c r="A874" i="25"/>
  <c r="F845" i="25"/>
  <c r="B817" i="25"/>
  <c r="G788" i="25"/>
  <c r="C760" i="25"/>
  <c r="H731" i="25"/>
  <c r="D703" i="25"/>
  <c r="I674" i="25"/>
  <c r="E646" i="25"/>
  <c r="A618" i="25"/>
  <c r="D33" i="32"/>
  <c r="D36" i="26"/>
  <c r="G890" i="25"/>
  <c r="H833" i="25"/>
  <c r="I776" i="25"/>
  <c r="A720" i="25"/>
  <c r="B663" i="25"/>
  <c r="C606" i="25"/>
  <c r="C567" i="25"/>
  <c r="D539" i="25"/>
  <c r="I516" i="25"/>
  <c r="I497" i="25"/>
  <c r="I478" i="25"/>
  <c r="A460" i="25"/>
  <c r="A441" i="25"/>
  <c r="A422" i="25"/>
  <c r="B403" i="25"/>
  <c r="B384" i="25"/>
  <c r="I368" i="25"/>
  <c r="G354" i="25"/>
  <c r="E340" i="25"/>
  <c r="C326" i="25"/>
  <c r="A312" i="25"/>
  <c r="H297" i="25"/>
  <c r="F283" i="25"/>
  <c r="D269" i="25"/>
  <c r="B255" i="25"/>
  <c r="I240" i="25"/>
  <c r="G226" i="25"/>
  <c r="E212" i="25"/>
  <c r="C198" i="25"/>
  <c r="A184" i="25"/>
  <c r="H169" i="25"/>
  <c r="F155" i="25"/>
  <c r="D141" i="25"/>
  <c r="B127" i="25"/>
  <c r="I112" i="25"/>
  <c r="G98" i="25"/>
  <c r="E84" i="25"/>
  <c r="C70" i="25"/>
  <c r="A56" i="25"/>
  <c r="H41" i="25"/>
  <c r="F27" i="25"/>
  <c r="D13" i="25"/>
  <c r="G110" i="24"/>
  <c r="G94" i="24"/>
  <c r="G78" i="24"/>
  <c r="G62" i="24"/>
  <c r="G46" i="24"/>
  <c r="G30" i="24"/>
  <c r="G14" i="24"/>
  <c r="H223" i="23"/>
  <c r="H207" i="23"/>
  <c r="H191" i="23"/>
  <c r="H175" i="23"/>
  <c r="H159" i="23"/>
  <c r="H143" i="23"/>
  <c r="H127" i="23"/>
  <c r="H111" i="23"/>
  <c r="H95" i="23"/>
  <c r="H79" i="23"/>
  <c r="H63" i="23"/>
  <c r="H47" i="23"/>
  <c r="H31" i="23"/>
  <c r="H15" i="23"/>
  <c r="E236" i="22"/>
  <c r="E220" i="22"/>
  <c r="E204" i="22"/>
  <c r="E188" i="22"/>
  <c r="E172" i="22"/>
  <c r="E156" i="22"/>
  <c r="E140" i="22"/>
  <c r="E124" i="22"/>
  <c r="E108" i="22"/>
  <c r="A99" i="22"/>
  <c r="A91" i="22"/>
  <c r="A83" i="22"/>
  <c r="A75" i="22"/>
  <c r="A67" i="22"/>
  <c r="A59" i="22"/>
  <c r="A51" i="22"/>
  <c r="A43" i="22"/>
  <c r="A35" i="22"/>
  <c r="B7" i="36"/>
  <c r="F61" i="33"/>
  <c r="B26" i="32"/>
  <c r="G3" i="28"/>
  <c r="H8" i="27"/>
  <c r="A43" i="26"/>
  <c r="A35" i="26"/>
  <c r="A27" i="26"/>
  <c r="A19" i="26"/>
  <c r="A11" i="26"/>
  <c r="E888" i="25"/>
  <c r="C874" i="25"/>
  <c r="A860" i="25"/>
  <c r="H845" i="25"/>
  <c r="F831" i="25"/>
  <c r="D817" i="25"/>
  <c r="B803" i="25"/>
  <c r="I788" i="25"/>
  <c r="G774" i="25"/>
  <c r="E760" i="25"/>
  <c r="C746" i="25"/>
  <c r="A732" i="25"/>
  <c r="H717" i="25"/>
  <c r="F703" i="25"/>
  <c r="D689" i="25"/>
  <c r="B675" i="25"/>
  <c r="I660" i="25"/>
  <c r="G646" i="25"/>
  <c r="E632" i="25"/>
  <c r="C618" i="25"/>
  <c r="A604" i="25"/>
  <c r="C594" i="25"/>
  <c r="G584" i="25"/>
  <c r="C575" i="25"/>
  <c r="H565" i="25"/>
  <c r="C556" i="25"/>
  <c r="H546" i="25"/>
  <c r="D537" i="25"/>
  <c r="H527" i="25"/>
  <c r="D518" i="25"/>
  <c r="I508" i="25"/>
  <c r="D499" i="25"/>
  <c r="I489" i="25"/>
  <c r="E480" i="25"/>
  <c r="I470" i="25"/>
  <c r="E461" i="25"/>
  <c r="A452" i="25"/>
  <c r="E442" i="25"/>
  <c r="A433" i="25"/>
  <c r="F423" i="25"/>
  <c r="A414" i="25"/>
  <c r="F404" i="25"/>
  <c r="B395" i="25"/>
  <c r="F385" i="25"/>
  <c r="B377" i="25"/>
  <c r="A370" i="25"/>
  <c r="I362" i="25"/>
  <c r="H355" i="25"/>
  <c r="G348" i="25"/>
  <c r="F341" i="25"/>
  <c r="E334" i="25"/>
  <c r="D327" i="25"/>
  <c r="C320" i="25"/>
  <c r="B313" i="25"/>
  <c r="A306" i="25"/>
  <c r="I298" i="25"/>
  <c r="H291" i="25"/>
  <c r="G284" i="25"/>
  <c r="F277" i="25"/>
  <c r="E270" i="25"/>
  <c r="D263" i="25"/>
  <c r="C256" i="25"/>
  <c r="B249" i="25"/>
  <c r="A242" i="25"/>
  <c r="I234" i="25"/>
  <c r="H227" i="25"/>
  <c r="G220" i="25"/>
  <c r="F213" i="25"/>
  <c r="E206" i="25"/>
  <c r="D199" i="25"/>
  <c r="C192" i="25"/>
  <c r="B185" i="25"/>
  <c r="A178" i="25"/>
  <c r="I170" i="25"/>
  <c r="H163" i="25"/>
  <c r="G156" i="25"/>
  <c r="I419" i="25"/>
  <c r="H42" i="26"/>
  <c r="G844" i="25"/>
  <c r="I730" i="25"/>
  <c r="B617" i="25"/>
  <c r="A832" i="25"/>
  <c r="E604" i="25"/>
  <c r="D49" i="45"/>
  <c r="C42" i="43"/>
  <c r="F74" i="33"/>
  <c r="D208" i="45"/>
  <c r="H5" i="32"/>
  <c r="D18" i="32"/>
  <c r="E29" i="27"/>
  <c r="F8" i="28"/>
  <c r="D30" i="32"/>
  <c r="C36" i="26"/>
  <c r="F890" i="25"/>
  <c r="G833" i="25"/>
  <c r="H776" i="25"/>
  <c r="I719" i="25"/>
  <c r="A663" i="25"/>
  <c r="B606" i="25"/>
  <c r="C549" i="25"/>
  <c r="D492" i="25"/>
  <c r="E435" i="25"/>
  <c r="E20" i="36"/>
  <c r="D8" i="27"/>
  <c r="C19" i="26"/>
  <c r="C860" i="25"/>
  <c r="D803" i="25"/>
  <c r="E746" i="25"/>
  <c r="F689" i="25"/>
  <c r="G632" i="25"/>
  <c r="H15" i="27"/>
  <c r="B863" i="25"/>
  <c r="D749" i="25"/>
  <c r="F635" i="25"/>
  <c r="A144" i="45"/>
  <c r="F18" i="36"/>
  <c r="D29" i="33"/>
  <c r="A23" i="32"/>
  <c r="E88" i="33"/>
  <c r="M14" i="26"/>
  <c r="B810" i="25"/>
  <c r="C753" i="25"/>
  <c r="D696" i="25"/>
  <c r="E639" i="25"/>
  <c r="F582" i="25"/>
  <c r="G525" i="25"/>
  <c r="H468" i="25"/>
  <c r="I411" i="25"/>
  <c r="A12" i="33"/>
  <c r="M37" i="26"/>
  <c r="P5" i="26"/>
  <c r="G836" i="25"/>
  <c r="H779" i="25"/>
  <c r="I722" i="25"/>
  <c r="A666" i="25"/>
  <c r="B609" i="25"/>
  <c r="F26" i="26"/>
  <c r="A816" i="25"/>
  <c r="C702" i="25"/>
  <c r="D593" i="25"/>
  <c r="G531" i="25"/>
  <c r="A492" i="25"/>
  <c r="A454" i="25"/>
  <c r="B416" i="25"/>
  <c r="G378" i="25"/>
  <c r="C350" i="25"/>
  <c r="H321" i="25"/>
  <c r="D293" i="25"/>
  <c r="I264" i="25"/>
  <c r="E236" i="25"/>
  <c r="A208" i="25"/>
  <c r="F179" i="25"/>
  <c r="B151" i="25"/>
  <c r="G122" i="25"/>
  <c r="C94" i="25"/>
  <c r="H65" i="25"/>
  <c r="D37" i="25"/>
  <c r="I8" i="25"/>
  <c r="G89" i="24"/>
  <c r="G57" i="24"/>
  <c r="G25" i="24"/>
  <c r="H218" i="23"/>
  <c r="H186" i="23"/>
  <c r="H154" i="23"/>
  <c r="H122" i="23"/>
  <c r="H90" i="23"/>
  <c r="H58" i="23"/>
  <c r="H26" i="23"/>
  <c r="E231" i="22"/>
  <c r="E199" i="22"/>
  <c r="E167" i="22"/>
  <c r="E135" i="22"/>
  <c r="A206" i="45"/>
  <c r="D44" i="45"/>
  <c r="H25" i="45"/>
  <c r="B78" i="33"/>
  <c r="H2" i="31"/>
  <c r="H9" i="34"/>
  <c r="G66" i="33"/>
  <c r="E8" i="32"/>
  <c r="C92" i="33"/>
  <c r="A22" i="32"/>
  <c r="I41" i="33"/>
  <c r="E31" i="27"/>
  <c r="B61" i="33"/>
  <c r="B10" i="28"/>
  <c r="G5" i="27"/>
  <c r="A35" i="32"/>
  <c r="F14" i="27"/>
  <c r="K36" i="26"/>
  <c r="K20" i="26"/>
  <c r="E891" i="25"/>
  <c r="A863" i="25"/>
  <c r="F834" i="25"/>
  <c r="B806" i="25"/>
  <c r="G777" i="25"/>
  <c r="C749" i="25"/>
  <c r="H720" i="25"/>
  <c r="D692" i="25"/>
  <c r="I663" i="25"/>
  <c r="E635" i="25"/>
  <c r="A607" i="25"/>
  <c r="F578" i="25"/>
  <c r="B550" i="25"/>
  <c r="G521" i="25"/>
  <c r="C493" i="25"/>
  <c r="H464" i="25"/>
  <c r="D436" i="25"/>
  <c r="I407" i="25"/>
  <c r="A27" i="45"/>
  <c r="A25" i="32"/>
  <c r="D10" i="27"/>
  <c r="K35" i="26"/>
  <c r="K19" i="26"/>
  <c r="F889" i="25"/>
  <c r="B861" i="25"/>
  <c r="G832" i="25"/>
  <c r="C804" i="25"/>
  <c r="H775" i="25"/>
  <c r="D747" i="25"/>
  <c r="I718" i="25"/>
  <c r="E690" i="25"/>
  <c r="A662" i="25"/>
  <c r="F633" i="25"/>
  <c r="B605" i="25"/>
  <c r="H19" i="27"/>
  <c r="K21" i="26"/>
  <c r="I864" i="25"/>
  <c r="A808" i="25"/>
  <c r="B751" i="25"/>
  <c r="C694" i="25"/>
  <c r="D637" i="25"/>
  <c r="A588" i="25"/>
  <c r="F559" i="25"/>
  <c r="E546" i="25"/>
  <c r="A534" i="25"/>
  <c r="C522" i="25"/>
  <c r="G512" i="25"/>
  <c r="C503" i="25"/>
  <c r="H493" i="25"/>
  <c r="C484" i="25"/>
  <c r="H474" i="25"/>
  <c r="D465" i="25"/>
  <c r="H455" i="25"/>
  <c r="D446" i="25"/>
  <c r="I436" i="25"/>
  <c r="D427" i="25"/>
  <c r="I417" i="25"/>
  <c r="E408" i="25"/>
  <c r="I398" i="25"/>
  <c r="E389" i="25"/>
  <c r="A380" i="25"/>
  <c r="I372" i="25"/>
  <c r="H365" i="25"/>
  <c r="G358" i="25"/>
  <c r="F351" i="25"/>
  <c r="E344" i="25"/>
  <c r="D337" i="25"/>
  <c r="C330" i="25"/>
  <c r="B323" i="25"/>
  <c r="A316" i="25"/>
  <c r="I308" i="25"/>
  <c r="H301" i="25"/>
  <c r="G294" i="25"/>
  <c r="F287" i="25"/>
  <c r="E280" i="25"/>
  <c r="D273" i="25"/>
  <c r="C266" i="25"/>
  <c r="B259" i="25"/>
  <c r="A252" i="25"/>
  <c r="I244" i="25"/>
  <c r="H237" i="25"/>
  <c r="G230" i="25"/>
  <c r="F223" i="25"/>
  <c r="E216" i="25"/>
  <c r="D209" i="25"/>
  <c r="C202" i="25"/>
  <c r="B195" i="25"/>
  <c r="A188" i="25"/>
  <c r="I180" i="25"/>
  <c r="H173" i="25"/>
  <c r="G166" i="25"/>
  <c r="F159" i="25"/>
  <c r="E152" i="25"/>
  <c r="D145" i="25"/>
  <c r="C138" i="25"/>
  <c r="B131" i="25"/>
  <c r="A124" i="25"/>
  <c r="I116" i="25"/>
  <c r="H109" i="25"/>
  <c r="G102" i="25"/>
  <c r="F95" i="25"/>
  <c r="E88" i="25"/>
  <c r="D81" i="25"/>
  <c r="C74" i="25"/>
  <c r="B67" i="25"/>
  <c r="A60" i="25"/>
  <c r="I52" i="25"/>
  <c r="H45" i="25"/>
  <c r="G38" i="25"/>
  <c r="F31" i="25"/>
  <c r="E24" i="25"/>
  <c r="D17" i="25"/>
  <c r="C10" i="25"/>
  <c r="C115" i="24"/>
  <c r="C107" i="24"/>
  <c r="C99" i="24"/>
  <c r="C91" i="24"/>
  <c r="C83" i="24"/>
  <c r="C75" i="24"/>
  <c r="C67" i="24"/>
  <c r="C59" i="24"/>
  <c r="C51" i="24"/>
  <c r="C43" i="24"/>
  <c r="C35" i="24"/>
  <c r="C27" i="24"/>
  <c r="C19" i="24"/>
  <c r="C11" i="24"/>
  <c r="C3" i="24"/>
  <c r="D220" i="23"/>
  <c r="D212" i="23"/>
  <c r="D204" i="23"/>
  <c r="D196" i="23"/>
  <c r="D188" i="23"/>
  <c r="D180" i="23"/>
  <c r="D172" i="23"/>
  <c r="D164" i="23"/>
  <c r="D156" i="23"/>
  <c r="D148" i="23"/>
  <c r="D140" i="23"/>
  <c r="D132" i="23"/>
  <c r="D124" i="23"/>
  <c r="D116" i="23"/>
  <c r="D108" i="23"/>
  <c r="D100" i="23"/>
  <c r="D92" i="23"/>
  <c r="D84" i="23"/>
  <c r="D76" i="23"/>
  <c r="D68" i="23"/>
  <c r="D60" i="23"/>
  <c r="D52" i="23"/>
  <c r="D44" i="23"/>
  <c r="D36" i="23"/>
  <c r="D28" i="23"/>
  <c r="D20" i="23"/>
  <c r="D12" i="23"/>
  <c r="D4" i="23"/>
  <c r="A233" i="22"/>
  <c r="A225" i="22"/>
  <c r="A217" i="22"/>
  <c r="A209" i="22"/>
  <c r="A201" i="22"/>
  <c r="A193" i="22"/>
  <c r="A185" i="22"/>
  <c r="A177" i="22"/>
  <c r="A169" i="22"/>
  <c r="A161" i="22"/>
  <c r="A153" i="22"/>
  <c r="A145" i="22"/>
  <c r="A137" i="22"/>
  <c r="A129" i="22"/>
  <c r="A121" i="22"/>
  <c r="A113" i="22"/>
  <c r="I306" i="45"/>
  <c r="D163" i="45"/>
  <c r="D66" i="45"/>
  <c r="C257" i="45"/>
  <c r="H69" i="45"/>
  <c r="I99" i="33"/>
  <c r="C17" i="32"/>
  <c r="C30" i="35"/>
  <c r="C86" i="33"/>
  <c r="B25" i="32"/>
  <c r="A5" i="34"/>
  <c r="H10" i="33"/>
  <c r="B68" i="33"/>
  <c r="D6" i="28"/>
  <c r="G87" i="33"/>
  <c r="G2" i="30"/>
  <c r="C14" i="27"/>
  <c r="E29" i="33"/>
  <c r="F27" i="27"/>
  <c r="P39" i="26"/>
  <c r="P23" i="26"/>
  <c r="P7" i="26"/>
  <c r="H868" i="25"/>
  <c r="D840" i="25"/>
  <c r="I811" i="25"/>
  <c r="E783" i="25"/>
  <c r="A755" i="25"/>
  <c r="F726" i="25"/>
  <c r="B698" i="25"/>
  <c r="G669" i="25"/>
  <c r="C641" i="25"/>
  <c r="H612" i="25"/>
  <c r="D584" i="25"/>
  <c r="I555" i="25"/>
  <c r="E527" i="25"/>
  <c r="A499" i="25"/>
  <c r="F470" i="25"/>
  <c r="B442" i="25"/>
  <c r="G413" i="25"/>
  <c r="C385" i="25"/>
  <c r="F20" i="33"/>
  <c r="D23" i="27"/>
  <c r="P38" i="26"/>
  <c r="P22" i="26"/>
  <c r="P6" i="26"/>
  <c r="I866" i="25"/>
  <c r="E838" i="25"/>
  <c r="A810" i="25"/>
  <c r="F781" i="25"/>
  <c r="B753" i="25"/>
  <c r="G724" i="25"/>
  <c r="C696" i="25"/>
  <c r="H667" i="25"/>
  <c r="D639" i="25"/>
  <c r="I610" i="25"/>
  <c r="G6" i="28"/>
  <c r="D28" i="26"/>
  <c r="E876" i="25"/>
  <c r="F819" i="25"/>
  <c r="G762" i="25"/>
  <c r="H705" i="25"/>
  <c r="I648" i="25"/>
  <c r="G595" i="25"/>
  <c r="D558" i="25"/>
  <c r="E533" i="25"/>
  <c r="B512" i="25"/>
  <c r="B493" i="25"/>
  <c r="C474" i="25"/>
  <c r="C455" i="25"/>
  <c r="C436" i="25"/>
  <c r="D417" i="25"/>
  <c r="D398" i="25"/>
  <c r="F379" i="25"/>
  <c r="D365" i="25"/>
  <c r="B351" i="25"/>
  <c r="I336" i="25"/>
  <c r="G322" i="25"/>
  <c r="E308" i="25"/>
  <c r="C294" i="25"/>
  <c r="A280" i="25"/>
  <c r="H265" i="25"/>
  <c r="F251" i="25"/>
  <c r="D237" i="25"/>
  <c r="B223" i="25"/>
  <c r="I208" i="25"/>
  <c r="G194" i="25"/>
  <c r="E180" i="25"/>
  <c r="C166" i="25"/>
  <c r="A152" i="25"/>
  <c r="H137" i="25"/>
  <c r="F123" i="25"/>
  <c r="D109" i="25"/>
  <c r="B95" i="25"/>
  <c r="I80" i="25"/>
  <c r="G66" i="25"/>
  <c r="E52" i="25"/>
  <c r="C38" i="25"/>
  <c r="A24" i="25"/>
  <c r="H9" i="25"/>
  <c r="G106" i="24"/>
  <c r="G90" i="24"/>
  <c r="G74" i="24"/>
  <c r="G58" i="24"/>
  <c r="G42" i="24"/>
  <c r="G26" i="24"/>
  <c r="G10" i="24"/>
  <c r="H219" i="23"/>
  <c r="H203" i="23"/>
  <c r="H187" i="23"/>
  <c r="H171" i="23"/>
  <c r="H155" i="23"/>
  <c r="H139" i="23"/>
  <c r="H123" i="23"/>
  <c r="H107" i="23"/>
  <c r="H91" i="23"/>
  <c r="H75" i="23"/>
  <c r="H59" i="23"/>
  <c r="H43" i="23"/>
  <c r="H27" i="23"/>
  <c r="H11" i="23"/>
  <c r="E232" i="22"/>
  <c r="E216" i="22"/>
  <c r="E200" i="22"/>
  <c r="E184" i="22"/>
  <c r="E168" i="22"/>
  <c r="E152" i="22"/>
  <c r="E136" i="22"/>
  <c r="E120" i="22"/>
  <c r="A105" i="22"/>
  <c r="A97" i="22"/>
  <c r="A89" i="22"/>
  <c r="A81" i="22"/>
  <c r="A73" i="22"/>
  <c r="A65" i="22"/>
  <c r="A57" i="22"/>
  <c r="A49" i="22"/>
  <c r="A41" i="22"/>
  <c r="A33" i="22"/>
  <c r="D2" i="34"/>
  <c r="F44" i="33"/>
  <c r="D7" i="32"/>
  <c r="H32" i="27"/>
  <c r="E1" i="27"/>
  <c r="C41" i="26"/>
  <c r="C33" i="26"/>
  <c r="C25" i="26"/>
  <c r="C17" i="26"/>
  <c r="C9" i="26"/>
  <c r="I884" i="25"/>
  <c r="G870" i="25"/>
  <c r="E856" i="25"/>
  <c r="C842" i="25"/>
  <c r="A828" i="25"/>
  <c r="H813" i="25"/>
  <c r="F799" i="25"/>
  <c r="D785" i="25"/>
  <c r="B771" i="25"/>
  <c r="I756" i="25"/>
  <c r="G742" i="25"/>
  <c r="E728" i="25"/>
  <c r="C714" i="25"/>
  <c r="A700" i="25"/>
  <c r="H685" i="25"/>
  <c r="F671" i="25"/>
  <c r="D657" i="25"/>
  <c r="B643" i="25"/>
  <c r="I628" i="25"/>
  <c r="G614" i="25"/>
  <c r="D601" i="25"/>
  <c r="H591" i="25"/>
  <c r="D582" i="25"/>
  <c r="I572" i="25"/>
  <c r="D563" i="25"/>
  <c r="I553" i="25"/>
  <c r="E544" i="25"/>
  <c r="I534" i="25"/>
  <c r="E525" i="25"/>
  <c r="A516" i="25"/>
  <c r="E506" i="25"/>
  <c r="A497" i="25"/>
  <c r="F487" i="25"/>
  <c r="A478" i="25"/>
  <c r="F468" i="25"/>
  <c r="B459" i="25"/>
  <c r="F449" i="25"/>
  <c r="B440" i="25"/>
  <c r="G430" i="25"/>
  <c r="B421" i="25"/>
  <c r="G411" i="25"/>
  <c r="C402" i="25"/>
  <c r="G392" i="25"/>
  <c r="C383" i="25"/>
  <c r="D375" i="25"/>
  <c r="C368" i="25"/>
  <c r="B361" i="25"/>
  <c r="A354" i="25"/>
  <c r="I346" i="25"/>
  <c r="H339" i="25"/>
  <c r="G332" i="25"/>
  <c r="F325" i="25"/>
  <c r="E318" i="25"/>
  <c r="D311" i="25"/>
  <c r="C304" i="25"/>
  <c r="B297" i="25"/>
  <c r="A290" i="25"/>
  <c r="I282" i="25"/>
  <c r="H275" i="25"/>
  <c r="G268" i="25"/>
  <c r="F261" i="25"/>
  <c r="E254" i="25"/>
  <c r="D247" i="25"/>
  <c r="C240" i="25"/>
  <c r="B233" i="25"/>
  <c r="A226" i="25"/>
  <c r="I218" i="25"/>
  <c r="H211" i="25"/>
  <c r="G204" i="25"/>
  <c r="F197" i="25"/>
  <c r="E190" i="25"/>
  <c r="D183" i="25"/>
  <c r="C176" i="25"/>
  <c r="B169" i="25"/>
  <c r="A162" i="25"/>
  <c r="I154" i="25"/>
  <c r="E391" i="25"/>
  <c r="H26" i="26"/>
  <c r="C816" i="25"/>
  <c r="E702" i="25"/>
  <c r="A24" i="32"/>
  <c r="B775" i="25"/>
  <c r="A566" i="25"/>
  <c r="H8" i="37"/>
  <c r="G4" i="36"/>
  <c r="G17" i="33"/>
  <c r="H8" i="34"/>
  <c r="B38" i="38"/>
  <c r="A105" i="33"/>
  <c r="B11" i="36"/>
  <c r="G25" i="27"/>
  <c r="E6" i="28"/>
  <c r="C28" i="26"/>
  <c r="D876" i="25"/>
  <c r="E819" i="25"/>
  <c r="F762" i="25"/>
  <c r="G705" i="25"/>
  <c r="H648" i="25"/>
  <c r="I591" i="25"/>
  <c r="A535" i="25"/>
  <c r="B478" i="25"/>
  <c r="C421" i="25"/>
  <c r="C56" i="33"/>
  <c r="C43" i="26"/>
  <c r="C11" i="26"/>
  <c r="A846" i="25"/>
  <c r="B789" i="25"/>
  <c r="C732" i="25"/>
  <c r="D675" i="25"/>
  <c r="E618" i="25"/>
  <c r="L36" i="26"/>
  <c r="G834" i="25"/>
  <c r="I720" i="25"/>
  <c r="B607" i="25"/>
  <c r="H21" i="38"/>
  <c r="I35" i="33"/>
  <c r="H14" i="35"/>
  <c r="A8" i="27"/>
  <c r="D1" i="30"/>
  <c r="C881" i="25"/>
  <c r="I795" i="25"/>
  <c r="A739" i="25"/>
  <c r="B682" i="25"/>
  <c r="C625" i="25"/>
  <c r="D568" i="25"/>
  <c r="E511" i="25"/>
  <c r="F454" i="25"/>
  <c r="G397" i="25"/>
  <c r="C13" i="28"/>
  <c r="M29" i="26"/>
  <c r="D879" i="25"/>
  <c r="E822" i="25"/>
  <c r="F765" i="25"/>
  <c r="G708" i="25"/>
  <c r="H651" i="25"/>
  <c r="I50" i="33"/>
  <c r="F10" i="26"/>
  <c r="F787" i="25"/>
  <c r="H673" i="25"/>
  <c r="D574" i="25"/>
  <c r="E520" i="25"/>
  <c r="E482" i="25"/>
  <c r="F444" i="25"/>
  <c r="G406" i="25"/>
  <c r="F371" i="25"/>
  <c r="B343" i="25"/>
  <c r="G314" i="25"/>
  <c r="C286" i="25"/>
  <c r="H257" i="25"/>
  <c r="D229" i="25"/>
  <c r="I200" i="25"/>
  <c r="E172" i="25"/>
  <c r="A144" i="25"/>
  <c r="F115" i="25"/>
  <c r="B87" i="25"/>
  <c r="G58" i="25"/>
  <c r="C30" i="25"/>
  <c r="G113" i="24"/>
  <c r="G81" i="24"/>
  <c r="G49" i="24"/>
  <c r="G17" i="24"/>
  <c r="H210" i="23"/>
  <c r="H178" i="23"/>
  <c r="H146" i="23"/>
  <c r="H114" i="23"/>
  <c r="H82" i="23"/>
  <c r="H50" i="23"/>
  <c r="H18" i="23"/>
  <c r="E223" i="22"/>
  <c r="E191" i="22"/>
  <c r="E159" i="22"/>
  <c r="E127" i="22"/>
  <c r="D141" i="45"/>
  <c r="F5" i="37"/>
  <c r="A18" i="36"/>
  <c r="E35" i="33"/>
  <c r="D14" i="36"/>
  <c r="A25" i="35"/>
  <c r="G28" i="33"/>
  <c r="D13" i="35"/>
  <c r="D54" i="33"/>
  <c r="H13" i="36"/>
  <c r="F21" i="32"/>
  <c r="E7" i="27"/>
  <c r="G10" i="33"/>
  <c r="C32" i="27"/>
  <c r="D86" i="33"/>
  <c r="E1" i="29"/>
  <c r="I46" i="26"/>
  <c r="I30" i="26"/>
  <c r="I14" i="26"/>
  <c r="H880" i="25"/>
  <c r="D852" i="25"/>
  <c r="I823" i="25"/>
  <c r="E795" i="25"/>
  <c r="A767" i="25"/>
  <c r="F738" i="25"/>
  <c r="B710" i="25"/>
  <c r="G681" i="25"/>
  <c r="C653" i="25"/>
  <c r="H624" i="25"/>
  <c r="D596" i="25"/>
  <c r="I567" i="25"/>
  <c r="E539" i="25"/>
  <c r="A511" i="25"/>
  <c r="F482" i="25"/>
  <c r="B454" i="25"/>
  <c r="G425" i="25"/>
  <c r="C397" i="25"/>
  <c r="E77" i="33"/>
  <c r="C12" i="28"/>
  <c r="I45" i="26"/>
  <c r="I29" i="26"/>
  <c r="I13" i="26"/>
  <c r="I878" i="25"/>
  <c r="E850" i="25"/>
  <c r="A822" i="25"/>
  <c r="F793" i="25"/>
  <c r="B765" i="25"/>
  <c r="G736" i="25"/>
  <c r="C708" i="25"/>
  <c r="H679" i="25"/>
  <c r="D651" i="25"/>
  <c r="I622" i="25"/>
  <c r="H46" i="33"/>
  <c r="O41" i="26"/>
  <c r="O9" i="26"/>
  <c r="F843" i="25"/>
  <c r="G786" i="25"/>
  <c r="H729" i="25"/>
  <c r="I672" i="25"/>
  <c r="A616" i="25"/>
  <c r="H573" i="25"/>
  <c r="A556" i="25"/>
  <c r="F543" i="25"/>
  <c r="B531" i="25"/>
  <c r="H519" i="25"/>
  <c r="D510" i="25"/>
  <c r="I500" i="25"/>
  <c r="D491" i="25"/>
  <c r="I481" i="25"/>
  <c r="E472" i="25"/>
  <c r="I462" i="25"/>
  <c r="E453" i="25"/>
  <c r="A444" i="25"/>
  <c r="E434" i="25"/>
  <c r="A425" i="25"/>
  <c r="F415" i="25"/>
  <c r="A406" i="25"/>
  <c r="F396" i="25"/>
  <c r="B387" i="25"/>
  <c r="C378" i="25"/>
  <c r="B371" i="25"/>
  <c r="A364" i="25"/>
  <c r="I356" i="25"/>
  <c r="H349" i="25"/>
  <c r="G342" i="25"/>
  <c r="F335" i="25"/>
  <c r="E328" i="25"/>
  <c r="D321" i="25"/>
  <c r="C314" i="25"/>
  <c r="B307" i="25"/>
  <c r="A300" i="25"/>
  <c r="I292" i="25"/>
  <c r="H285" i="25"/>
  <c r="G278" i="25"/>
  <c r="F271" i="25"/>
  <c r="E264" i="25"/>
  <c r="D257" i="25"/>
  <c r="C250" i="25"/>
  <c r="B243" i="25"/>
  <c r="A236" i="25"/>
  <c r="I228" i="25"/>
  <c r="H221" i="25"/>
  <c r="G214" i="25"/>
  <c r="F207" i="25"/>
  <c r="E200" i="25"/>
  <c r="D193" i="25"/>
  <c r="C186" i="25"/>
  <c r="B179" i="25"/>
  <c r="A172" i="25"/>
  <c r="I164" i="25"/>
  <c r="H157" i="25"/>
  <c r="G150" i="25"/>
  <c r="F143" i="25"/>
  <c r="E136" i="25"/>
  <c r="D129" i="25"/>
  <c r="C122" i="25"/>
  <c r="B115" i="25"/>
  <c r="A108" i="25"/>
  <c r="I100" i="25"/>
  <c r="H93" i="25"/>
  <c r="G86" i="25"/>
  <c r="F79" i="25"/>
  <c r="E72" i="25"/>
  <c r="D65" i="25"/>
  <c r="C58" i="25"/>
  <c r="B51" i="25"/>
  <c r="A44" i="25"/>
  <c r="I36" i="25"/>
  <c r="H29" i="25"/>
  <c r="G22" i="25"/>
  <c r="F15" i="25"/>
  <c r="E8" i="25"/>
  <c r="C113" i="24"/>
  <c r="C105" i="24"/>
  <c r="C97" i="24"/>
  <c r="C89" i="24"/>
  <c r="C81" i="24"/>
  <c r="C73" i="24"/>
  <c r="C65" i="24"/>
  <c r="C57" i="24"/>
  <c r="C49" i="24"/>
  <c r="C41" i="24"/>
  <c r="C33" i="24"/>
  <c r="C25" i="24"/>
  <c r="C17" i="24"/>
  <c r="C9" i="24"/>
  <c r="D1" i="24"/>
  <c r="D218" i="23"/>
  <c r="D210" i="23"/>
  <c r="D202" i="23"/>
  <c r="D194" i="23"/>
  <c r="D186" i="23"/>
  <c r="D178" i="23"/>
  <c r="D170" i="23"/>
  <c r="D162" i="23"/>
  <c r="D154" i="23"/>
  <c r="D146" i="23"/>
  <c r="D138" i="23"/>
  <c r="D130" i="23"/>
  <c r="D122" i="23"/>
  <c r="D114" i="23"/>
  <c r="D106" i="23"/>
  <c r="D98" i="23"/>
  <c r="D90" i="23"/>
  <c r="D82" i="23"/>
  <c r="D74" i="23"/>
  <c r="D66" i="23"/>
  <c r="D58" i="23"/>
  <c r="D50" i="23"/>
  <c r="D42" i="23"/>
  <c r="D34" i="23"/>
  <c r="D26" i="23"/>
  <c r="D18" i="23"/>
  <c r="D10" i="23"/>
  <c r="D2" i="23"/>
  <c r="A231" i="22"/>
  <c r="A223" i="22"/>
  <c r="A215" i="22"/>
  <c r="A207" i="22"/>
  <c r="A199" i="22"/>
  <c r="A191" i="22"/>
  <c r="A183" i="22"/>
  <c r="A175" i="22"/>
  <c r="A167" i="22"/>
  <c r="A159" i="22"/>
  <c r="A151" i="22"/>
  <c r="A143" i="22"/>
  <c r="A135" i="22"/>
  <c r="A127" i="22"/>
  <c r="A119" i="22"/>
  <c r="A111" i="22"/>
  <c r="I188" i="45"/>
  <c r="E40" i="45"/>
  <c r="D6" i="43"/>
  <c r="C56" i="38"/>
  <c r="A20" i="37"/>
  <c r="E71" i="33"/>
  <c r="F126" i="45"/>
  <c r="F103" i="45"/>
  <c r="D61" i="33"/>
  <c r="H3" i="32"/>
  <c r="G86" i="33"/>
  <c r="F15" i="32"/>
  <c r="D34" i="33"/>
  <c r="A28" i="27"/>
  <c r="I53" i="33"/>
  <c r="B8" i="28"/>
  <c r="G3" i="27"/>
  <c r="A28" i="32"/>
  <c r="F11" i="27"/>
  <c r="P35" i="26"/>
  <c r="P19" i="26"/>
  <c r="B890" i="25"/>
  <c r="G861" i="25"/>
  <c r="C833" i="25"/>
  <c r="H804" i="25"/>
  <c r="D776" i="25"/>
  <c r="I747" i="25"/>
  <c r="E719" i="25"/>
  <c r="A691" i="25"/>
  <c r="F662" i="25"/>
  <c r="B634" i="25"/>
  <c r="G605" i="25"/>
  <c r="C577" i="25"/>
  <c r="H548" i="25"/>
  <c r="D520" i="25"/>
  <c r="I491" i="25"/>
  <c r="E463" i="25"/>
  <c r="A435" i="25"/>
  <c r="F406" i="25"/>
  <c r="H9" i="36"/>
  <c r="A18" i="32"/>
  <c r="D7" i="27"/>
  <c r="P34" i="26"/>
  <c r="P18" i="26"/>
  <c r="C888" i="25"/>
  <c r="H859" i="25"/>
  <c r="D831" i="25"/>
  <c r="I802" i="25"/>
  <c r="E774" i="25"/>
  <c r="A746" i="25"/>
  <c r="F717" i="25"/>
  <c r="B689" i="25"/>
  <c r="G660" i="25"/>
  <c r="C632" i="25"/>
  <c r="H603" i="25"/>
  <c r="H13" i="27"/>
  <c r="D20" i="26"/>
  <c r="C862" i="25"/>
  <c r="D805" i="25"/>
  <c r="E748" i="25"/>
  <c r="F691" i="25"/>
  <c r="G634" i="25"/>
  <c r="C586" i="25"/>
  <c r="E552" i="25"/>
  <c r="I526" i="25"/>
  <c r="D507" i="25"/>
  <c r="E488" i="25"/>
  <c r="E469" i="25"/>
  <c r="E450" i="25"/>
  <c r="F431" i="25"/>
  <c r="F412" i="25"/>
  <c r="F393" i="25"/>
  <c r="A376" i="25"/>
  <c r="H361" i="25"/>
  <c r="F347" i="25"/>
  <c r="D333" i="25"/>
  <c r="B319" i="25"/>
  <c r="I304" i="25"/>
  <c r="G290" i="25"/>
  <c r="E276" i="25"/>
  <c r="C262" i="25"/>
  <c r="A248" i="25"/>
  <c r="H233" i="25"/>
  <c r="F219" i="25"/>
  <c r="D205" i="25"/>
  <c r="B191" i="25"/>
  <c r="I176" i="25"/>
  <c r="G162" i="25"/>
  <c r="E148" i="25"/>
  <c r="C134" i="25"/>
  <c r="A120" i="25"/>
  <c r="H105" i="25"/>
  <c r="F91" i="25"/>
  <c r="D77" i="25"/>
  <c r="B63" i="25"/>
  <c r="I48" i="25"/>
  <c r="G34" i="25"/>
  <c r="E20" i="25"/>
  <c r="C6" i="25"/>
  <c r="G102" i="24"/>
  <c r="G86" i="24"/>
  <c r="G70" i="24"/>
  <c r="G54" i="24"/>
  <c r="G38" i="24"/>
  <c r="G22" i="24"/>
  <c r="G6" i="24"/>
  <c r="H215" i="23"/>
  <c r="H199" i="23"/>
  <c r="H183" i="23"/>
  <c r="H167" i="23"/>
  <c r="H151" i="23"/>
  <c r="H135" i="23"/>
  <c r="H119" i="23"/>
  <c r="H103" i="23"/>
  <c r="H87" i="23"/>
  <c r="H71" i="23"/>
  <c r="H55" i="23"/>
  <c r="H39" i="23"/>
  <c r="H23" i="23"/>
  <c r="H7" i="23"/>
  <c r="E228" i="22"/>
  <c r="E212" i="22"/>
  <c r="E196" i="22"/>
  <c r="E180" i="22"/>
  <c r="E164" i="22"/>
  <c r="E148" i="22"/>
  <c r="E132" i="22"/>
  <c r="E116" i="22"/>
  <c r="A103" i="22"/>
  <c r="A95" i="22"/>
  <c r="A87" i="22"/>
  <c r="A79" i="22"/>
  <c r="A71" i="22"/>
  <c r="A63" i="22"/>
  <c r="A55" i="22"/>
  <c r="A47" i="22"/>
  <c r="I49" i="33"/>
  <c r="E35" i="26"/>
  <c r="I9" i="38"/>
  <c r="E37" i="33"/>
  <c r="C20" i="26"/>
  <c r="E691" i="25"/>
  <c r="I463" i="25"/>
  <c r="G888" i="25"/>
  <c r="B661" i="25"/>
  <c r="E692" i="25"/>
  <c r="B55" i="33"/>
  <c r="G781" i="25"/>
  <c r="B554" i="25"/>
  <c r="D19" i="27"/>
  <c r="D751" i="25"/>
  <c r="I872" i="25"/>
  <c r="I510" i="25"/>
  <c r="E364" i="25"/>
  <c r="G250" i="25"/>
  <c r="I136" i="25"/>
  <c r="B23" i="25"/>
  <c r="G9" i="24"/>
  <c r="H106" i="23"/>
  <c r="E215" i="22"/>
  <c r="G115" i="45"/>
  <c r="I172" i="45"/>
  <c r="F41" i="33"/>
  <c r="A26" i="32"/>
  <c r="K44" i="26"/>
  <c r="H848" i="25"/>
  <c r="A735" i="25"/>
  <c r="C621" i="25"/>
  <c r="E507" i="25"/>
  <c r="G393" i="25"/>
  <c r="K27" i="26"/>
  <c r="E818" i="25"/>
  <c r="G704" i="25"/>
  <c r="A13" i="33"/>
  <c r="F779" i="25"/>
  <c r="A569" i="25"/>
  <c r="E517" i="25"/>
  <c r="F479" i="25"/>
  <c r="F441" i="25"/>
  <c r="G403" i="25"/>
  <c r="D369" i="25"/>
  <c r="I340" i="25"/>
  <c r="E312" i="25"/>
  <c r="A284" i="25"/>
  <c r="F255" i="25"/>
  <c r="B227" i="25"/>
  <c r="G198" i="25"/>
  <c r="C170" i="25"/>
  <c r="H141" i="25"/>
  <c r="D113" i="25"/>
  <c r="I84" i="25"/>
  <c r="E56" i="25"/>
  <c r="A28" i="25"/>
  <c r="C111" i="24"/>
  <c r="C79" i="24"/>
  <c r="C47" i="24"/>
  <c r="C15" i="24"/>
  <c r="D208" i="23"/>
  <c r="D176" i="23"/>
  <c r="D144" i="23"/>
  <c r="D112" i="23"/>
  <c r="D80" i="23"/>
  <c r="D48" i="23"/>
  <c r="D16" i="23"/>
  <c r="A221" i="22"/>
  <c r="A189" i="22"/>
  <c r="A157" i="22"/>
  <c r="A125" i="22"/>
  <c r="C36" i="38"/>
  <c r="A43" i="33"/>
  <c r="B26" i="35"/>
  <c r="A12" i="27"/>
  <c r="G4" i="31"/>
  <c r="A883" i="25"/>
  <c r="C769" i="25"/>
  <c r="E655" i="25"/>
  <c r="G541" i="25"/>
  <c r="I427" i="25"/>
  <c r="P46" i="26"/>
  <c r="G852" i="25"/>
  <c r="I738" i="25"/>
  <c r="B625" i="25"/>
  <c r="A848" i="25"/>
  <c r="E620" i="25"/>
  <c r="G502" i="25"/>
  <c r="H426" i="25"/>
  <c r="C358" i="25"/>
  <c r="D301" i="25"/>
  <c r="E244" i="25"/>
  <c r="F187" i="25"/>
  <c r="G130" i="25"/>
  <c r="H73" i="25"/>
  <c r="I16" i="25"/>
  <c r="G66" i="24"/>
  <c r="G2" i="24"/>
  <c r="H163" i="23"/>
  <c r="H99" i="23"/>
  <c r="H35" i="23"/>
  <c r="E208" i="22"/>
  <c r="E144" i="22"/>
  <c r="A93" i="22"/>
  <c r="A61" i="22"/>
  <c r="A37" i="22"/>
  <c r="D78" i="33"/>
  <c r="G11" i="28"/>
  <c r="G45" i="26"/>
  <c r="G29" i="26"/>
  <c r="G13" i="26"/>
  <c r="H877" i="25"/>
  <c r="D849" i="25"/>
  <c r="I820" i="25"/>
  <c r="E792" i="25"/>
  <c r="A764" i="25"/>
  <c r="F735" i="25"/>
  <c r="B707" i="25"/>
  <c r="G678" i="25"/>
  <c r="C650" i="25"/>
  <c r="H621" i="25"/>
  <c r="F596" i="25"/>
  <c r="F577" i="25"/>
  <c r="G558" i="25"/>
  <c r="G539" i="25"/>
  <c r="G520" i="25"/>
  <c r="H501" i="25"/>
  <c r="H482" i="25"/>
  <c r="H463" i="25"/>
  <c r="I444" i="25"/>
  <c r="I425" i="25"/>
  <c r="I406" i="25"/>
  <c r="A388" i="25"/>
  <c r="H371" i="25"/>
  <c r="F357" i="25"/>
  <c r="D343" i="25"/>
  <c r="B329" i="25"/>
  <c r="I314" i="25"/>
  <c r="G300" i="25"/>
  <c r="E286" i="25"/>
  <c r="C272" i="25"/>
  <c r="A258" i="25"/>
  <c r="H243" i="25"/>
  <c r="F229" i="25"/>
  <c r="D215" i="25"/>
  <c r="B201" i="25"/>
  <c r="I186" i="25"/>
  <c r="G172" i="25"/>
  <c r="E158" i="25"/>
  <c r="H147" i="25"/>
  <c r="G140" i="25"/>
  <c r="F133" i="25"/>
  <c r="E126" i="25"/>
  <c r="D119" i="25"/>
  <c r="C112" i="25"/>
  <c r="B105" i="25"/>
  <c r="A98" i="25"/>
  <c r="I90" i="25"/>
  <c r="H83" i="25"/>
  <c r="G76" i="25"/>
  <c r="F69" i="25"/>
  <c r="E62" i="25"/>
  <c r="D55" i="25"/>
  <c r="C48" i="25"/>
  <c r="B41" i="25"/>
  <c r="A34" i="25"/>
  <c r="I26" i="25"/>
  <c r="H19" i="25"/>
  <c r="G12" i="25"/>
  <c r="F5" i="25"/>
  <c r="E109" i="24"/>
  <c r="E101" i="24"/>
  <c r="E93" i="24"/>
  <c r="E85" i="24"/>
  <c r="E77" i="24"/>
  <c r="E69" i="24"/>
  <c r="E61" i="24"/>
  <c r="E53" i="24"/>
  <c r="E45" i="24"/>
  <c r="E37" i="24"/>
  <c r="E29" i="24"/>
  <c r="E21" i="24"/>
  <c r="E13" i="24"/>
  <c r="E5" i="24"/>
  <c r="G55" i="33"/>
  <c r="A7" i="28"/>
  <c r="M44" i="26"/>
  <c r="M28" i="26"/>
  <c r="M12" i="26"/>
  <c r="E877" i="25"/>
  <c r="A849" i="25"/>
  <c r="F820" i="25"/>
  <c r="B792" i="25"/>
  <c r="G763" i="25"/>
  <c r="C735" i="25"/>
  <c r="H706" i="25"/>
  <c r="D678" i="25"/>
  <c r="I649" i="25"/>
  <c r="E621" i="25"/>
  <c r="E596" i="25"/>
  <c r="E577" i="25"/>
  <c r="E558" i="25"/>
  <c r="F539" i="25"/>
  <c r="F520" i="25"/>
  <c r="F501" i="25"/>
  <c r="G482" i="25"/>
  <c r="G463" i="25"/>
  <c r="G444" i="25"/>
  <c r="H425" i="25"/>
  <c r="H406" i="25"/>
  <c r="H387" i="25"/>
  <c r="G371" i="25"/>
  <c r="E357" i="25"/>
  <c r="C343" i="25"/>
  <c r="A329" i="25"/>
  <c r="H314" i="25"/>
  <c r="F300" i="25"/>
  <c r="D286" i="25"/>
  <c r="B272" i="25"/>
  <c r="I257" i="25"/>
  <c r="G243" i="25"/>
  <c r="E229" i="25"/>
  <c r="C215" i="25"/>
  <c r="A201" i="25"/>
  <c r="H186" i="25"/>
  <c r="F172" i="25"/>
  <c r="D158" i="25"/>
  <c r="B144" i="25"/>
  <c r="I129" i="25"/>
  <c r="G115" i="25"/>
  <c r="E101" i="25"/>
  <c r="C87" i="25"/>
  <c r="A73" i="25"/>
  <c r="H58" i="25"/>
  <c r="F44" i="25"/>
  <c r="D30" i="25"/>
  <c r="B16" i="25"/>
  <c r="H113" i="24"/>
  <c r="H97" i="24"/>
  <c r="H81" i="24"/>
  <c r="H65" i="24"/>
  <c r="H49" i="24"/>
  <c r="H33" i="24"/>
  <c r="H17" i="24"/>
  <c r="C1" i="24"/>
  <c r="F215" i="23"/>
  <c r="A205" i="23"/>
  <c r="C194" i="23"/>
  <c r="F183" i="23"/>
  <c r="A173" i="23"/>
  <c r="C162" i="23"/>
  <c r="F151" i="23"/>
  <c r="A141" i="23"/>
  <c r="C130" i="23"/>
  <c r="F119" i="23"/>
  <c r="A109" i="23"/>
  <c r="C98" i="23"/>
  <c r="F87" i="23"/>
  <c r="A77" i="23"/>
  <c r="C66" i="23"/>
  <c r="F55" i="23"/>
  <c r="A45" i="23"/>
  <c r="C34" i="23"/>
  <c r="F23" i="23"/>
  <c r="A13" i="23"/>
  <c r="C2" i="23"/>
  <c r="D228" i="22"/>
  <c r="G217" i="22"/>
  <c r="B207" i="22"/>
  <c r="D196" i="22"/>
  <c r="G185" i="22"/>
  <c r="B175" i="22"/>
  <c r="D164" i="22"/>
  <c r="G153" i="22"/>
  <c r="B143" i="22"/>
  <c r="D132" i="22"/>
  <c r="G121" i="22"/>
  <c r="B111" i="22"/>
  <c r="D100" i="22"/>
  <c r="G89" i="22"/>
  <c r="B79" i="22"/>
  <c r="D68" i="22"/>
  <c r="G57" i="22"/>
  <c r="B47" i="22"/>
  <c r="D36" i="22"/>
  <c r="F26" i="22"/>
  <c r="F18" i="22"/>
  <c r="F10" i="22"/>
  <c r="F2" i="22"/>
  <c r="G4" i="21"/>
  <c r="E1" i="20"/>
  <c r="E278" i="19"/>
  <c r="E270" i="19"/>
  <c r="E262" i="19"/>
  <c r="E254" i="19"/>
  <c r="E246" i="19"/>
  <c r="E238" i="19"/>
  <c r="E230" i="19"/>
  <c r="E222" i="19"/>
  <c r="E214" i="19"/>
  <c r="E206" i="19"/>
  <c r="E198" i="19"/>
  <c r="E190" i="19"/>
  <c r="E182" i="19"/>
  <c r="E174" i="19"/>
  <c r="E166" i="19"/>
  <c r="E158" i="19"/>
  <c r="E150" i="19"/>
  <c r="E142" i="19"/>
  <c r="E134" i="19"/>
  <c r="E126" i="19"/>
  <c r="E118" i="19"/>
  <c r="E110" i="19"/>
  <c r="E102" i="19"/>
  <c r="E94" i="19"/>
  <c r="E86" i="19"/>
  <c r="E78" i="19"/>
  <c r="E70" i="19"/>
  <c r="C87" i="33"/>
  <c r="A10" i="28"/>
  <c r="H45" i="26"/>
  <c r="H29" i="26"/>
  <c r="H13" i="26"/>
  <c r="H878" i="25"/>
  <c r="D850" i="25"/>
  <c r="I821" i="25"/>
  <c r="E793" i="25"/>
  <c r="A765" i="25"/>
  <c r="F736" i="25"/>
  <c r="B708" i="25"/>
  <c r="G679" i="25"/>
  <c r="C651" i="25"/>
  <c r="H622" i="25"/>
  <c r="D597" i="25"/>
  <c r="D578" i="25"/>
  <c r="D559" i="25"/>
  <c r="E540" i="25"/>
  <c r="E521" i="25"/>
  <c r="E502" i="25"/>
  <c r="F483" i="25"/>
  <c r="F464" i="25"/>
  <c r="F445" i="25"/>
  <c r="G426" i="25"/>
  <c r="G407" i="25"/>
  <c r="G388" i="25"/>
  <c r="D372" i="25"/>
  <c r="B358" i="25"/>
  <c r="I343" i="25"/>
  <c r="G329" i="25"/>
  <c r="E315" i="25"/>
  <c r="C301" i="25"/>
  <c r="A287" i="25"/>
  <c r="H272" i="25"/>
  <c r="F258" i="25"/>
  <c r="D244" i="25"/>
  <c r="B230" i="25"/>
  <c r="I215" i="25"/>
  <c r="G201" i="25"/>
  <c r="E187" i="25"/>
  <c r="C173" i="25"/>
  <c r="A159" i="25"/>
  <c r="H144" i="25"/>
  <c r="F130" i="25"/>
  <c r="D116" i="25"/>
  <c r="B102" i="25"/>
  <c r="I87" i="25"/>
  <c r="G73" i="25"/>
  <c r="E59" i="25"/>
  <c r="C45" i="25"/>
  <c r="A31" i="25"/>
  <c r="H16" i="25"/>
  <c r="F114" i="24"/>
  <c r="F98" i="24"/>
  <c r="F82" i="24"/>
  <c r="F66" i="24"/>
  <c r="F50" i="24"/>
  <c r="F34" i="24"/>
  <c r="F18" i="24"/>
  <c r="F2" i="24"/>
  <c r="G216" i="23"/>
  <c r="B206" i="23"/>
  <c r="E195" i="23"/>
  <c r="G184" i="23"/>
  <c r="B174" i="23"/>
  <c r="E163" i="23"/>
  <c r="G152" i="23"/>
  <c r="B142" i="23"/>
  <c r="E131" i="23"/>
  <c r="G120" i="23"/>
  <c r="B110" i="23"/>
  <c r="E99" i="23"/>
  <c r="G88" i="23"/>
  <c r="B78" i="23"/>
  <c r="E67" i="23"/>
  <c r="G56" i="23"/>
  <c r="B46" i="23"/>
  <c r="E35" i="23"/>
  <c r="G24" i="23"/>
  <c r="B14" i="23"/>
  <c r="E3" i="23"/>
  <c r="C230" i="22"/>
  <c r="F219" i="22"/>
  <c r="H208" i="22"/>
  <c r="C198" i="22"/>
  <c r="F187" i="22"/>
  <c r="H176" i="22"/>
  <c r="C166" i="22"/>
  <c r="F155" i="22"/>
  <c r="H144" i="22"/>
  <c r="C134" i="22"/>
  <c r="F123" i="22"/>
  <c r="H112" i="22"/>
  <c r="C102" i="22"/>
  <c r="F91" i="22"/>
  <c r="H80" i="22"/>
  <c r="C70" i="22"/>
  <c r="F59" i="22"/>
  <c r="H48" i="22"/>
  <c r="C38" i="22"/>
  <c r="A28" i="22"/>
  <c r="A20" i="22"/>
  <c r="A12" i="22"/>
  <c r="A4" i="22"/>
  <c r="B6" i="21"/>
  <c r="C3" i="20"/>
  <c r="D280" i="19"/>
  <c r="D272" i="19"/>
  <c r="D264" i="19"/>
  <c r="D256" i="19"/>
  <c r="D248" i="19"/>
  <c r="D240" i="19"/>
  <c r="D232" i="19"/>
  <c r="D224" i="19"/>
  <c r="D216" i="19"/>
  <c r="D208" i="19"/>
  <c r="D200" i="19"/>
  <c r="D192" i="19"/>
  <c r="E184" i="45"/>
  <c r="I39" i="45"/>
  <c r="E5" i="43"/>
  <c r="A55" i="38"/>
  <c r="A18" i="37"/>
  <c r="A71" i="33"/>
  <c r="G118" i="45"/>
  <c r="D89" i="45"/>
  <c r="B60" i="33"/>
  <c r="B3" i="32"/>
  <c r="I85" i="33"/>
  <c r="H14" i="32"/>
  <c r="D33" i="33"/>
  <c r="E27" i="27"/>
  <c r="I52" i="33"/>
  <c r="F7" i="28"/>
  <c r="G2" i="27"/>
  <c r="F25" i="32"/>
  <c r="F10" i="27"/>
  <c r="L35" i="26"/>
  <c r="L19" i="26"/>
  <c r="G889" i="25"/>
  <c r="C861" i="25"/>
  <c r="H832" i="25"/>
  <c r="D804" i="25"/>
  <c r="I775" i="25"/>
  <c r="E747" i="25"/>
  <c r="A719" i="25"/>
  <c r="F690" i="25"/>
  <c r="B662" i="25"/>
  <c r="G633" i="25"/>
  <c r="C605" i="25"/>
  <c r="H576" i="25"/>
  <c r="D548" i="25"/>
  <c r="I519" i="25"/>
  <c r="E491" i="25"/>
  <c r="A463" i="25"/>
  <c r="F434" i="25"/>
  <c r="B406" i="25"/>
  <c r="E33" i="35"/>
  <c r="E15" i="32"/>
  <c r="D6" i="27"/>
  <c r="L34" i="26"/>
  <c r="L18" i="26"/>
  <c r="H887" i="25"/>
  <c r="D859" i="25"/>
  <c r="I830" i="25"/>
  <c r="E802" i="25"/>
  <c r="A774" i="25"/>
  <c r="F745" i="25"/>
  <c r="B717" i="25"/>
  <c r="G688" i="25"/>
  <c r="C660" i="25"/>
  <c r="H631" i="25"/>
  <c r="D603" i="25"/>
  <c r="H11" i="27"/>
  <c r="M19" i="26"/>
  <c r="D861" i="25"/>
  <c r="E804" i="25"/>
  <c r="F747" i="25"/>
  <c r="G690" i="25"/>
  <c r="H633" i="25"/>
  <c r="F585" i="25"/>
  <c r="C551" i="25"/>
  <c r="D526" i="25"/>
  <c r="H506" i="25"/>
  <c r="H487" i="25"/>
  <c r="I468" i="25"/>
  <c r="I449" i="25"/>
  <c r="I430" i="25"/>
  <c r="A412" i="25"/>
  <c r="A393" i="25"/>
  <c r="F375" i="25"/>
  <c r="H10" i="26"/>
  <c r="C718" i="25"/>
  <c r="D286" i="45"/>
  <c r="A57" i="33"/>
  <c r="B862" i="25"/>
  <c r="F634" i="25"/>
  <c r="A407" i="25"/>
  <c r="H831" i="25"/>
  <c r="C604" i="25"/>
  <c r="H586" i="25"/>
  <c r="H11" i="33"/>
  <c r="H724" i="25"/>
  <c r="C497" i="25"/>
  <c r="M21" i="26"/>
  <c r="E694" i="25"/>
  <c r="B759" i="25"/>
  <c r="A473" i="25"/>
  <c r="A336" i="25"/>
  <c r="C222" i="25"/>
  <c r="E108" i="25"/>
  <c r="G105" i="24"/>
  <c r="H202" i="23"/>
  <c r="H74" i="23"/>
  <c r="E183" i="22"/>
  <c r="I112" i="45"/>
  <c r="F6" i="35"/>
  <c r="B1" i="34"/>
  <c r="G26" i="27"/>
  <c r="K28" i="26"/>
  <c r="D820" i="25"/>
  <c r="F706" i="25"/>
  <c r="H592" i="25"/>
  <c r="A479" i="25"/>
  <c r="E60" i="33"/>
  <c r="K11" i="26"/>
  <c r="A790" i="25"/>
  <c r="C676" i="25"/>
  <c r="K37" i="26"/>
  <c r="G722" i="25"/>
  <c r="A553" i="25"/>
  <c r="A508" i="25"/>
  <c r="A470" i="25"/>
  <c r="B432" i="25"/>
  <c r="C394" i="25"/>
  <c r="C362" i="25"/>
  <c r="H333" i="25"/>
  <c r="D305" i="25"/>
  <c r="I276" i="25"/>
  <c r="E248" i="25"/>
  <c r="A220" i="25"/>
  <c r="F191" i="25"/>
  <c r="B163" i="25"/>
  <c r="G134" i="25"/>
  <c r="C106" i="25"/>
  <c r="H77" i="25"/>
  <c r="D49" i="25"/>
  <c r="I20" i="25"/>
  <c r="C103" i="24"/>
  <c r="C71" i="24"/>
  <c r="C39" i="24"/>
  <c r="C7" i="24"/>
  <c r="D200" i="23"/>
  <c r="D168" i="23"/>
  <c r="D136" i="23"/>
  <c r="D104" i="23"/>
  <c r="D72" i="23"/>
  <c r="D40" i="23"/>
  <c r="D8" i="23"/>
  <c r="A213" i="22"/>
  <c r="A181" i="22"/>
  <c r="A149" i="22"/>
  <c r="A117" i="22"/>
  <c r="B22" i="37"/>
  <c r="D22" i="36"/>
  <c r="E61" i="33"/>
  <c r="B20" i="33"/>
  <c r="P47" i="26"/>
  <c r="F854" i="25"/>
  <c r="H740" i="25"/>
  <c r="A627" i="25"/>
  <c r="C513" i="25"/>
  <c r="E399" i="25"/>
  <c r="P30" i="26"/>
  <c r="C824" i="25"/>
  <c r="E710" i="25"/>
  <c r="A68" i="33"/>
  <c r="B791" i="25"/>
  <c r="G576" i="25"/>
  <c r="G483" i="25"/>
  <c r="H407" i="25"/>
  <c r="A344" i="25"/>
  <c r="B287" i="25"/>
  <c r="C230" i="25"/>
  <c r="D173" i="25"/>
  <c r="E116" i="25"/>
  <c r="F59" i="25"/>
  <c r="G114" i="24"/>
  <c r="G50" i="24"/>
  <c r="H211" i="23"/>
  <c r="H147" i="23"/>
  <c r="H83" i="23"/>
  <c r="H19" i="23"/>
  <c r="E192" i="22"/>
  <c r="E128" i="22"/>
  <c r="A85" i="22"/>
  <c r="A53" i="22"/>
  <c r="A31" i="22"/>
  <c r="H27" i="33"/>
  <c r="H24" i="27"/>
  <c r="E39" i="26"/>
  <c r="E23" i="26"/>
  <c r="E7" i="26"/>
  <c r="B867" i="25"/>
  <c r="G838" i="25"/>
  <c r="C810" i="25"/>
  <c r="H781" i="25"/>
  <c r="D753" i="25"/>
  <c r="I724" i="25"/>
  <c r="E696" i="25"/>
  <c r="A668" i="25"/>
  <c r="F639" i="25"/>
  <c r="B611" i="25"/>
  <c r="E589" i="25"/>
  <c r="E570" i="25"/>
  <c r="F551" i="25"/>
  <c r="F532" i="25"/>
  <c r="F513" i="25"/>
  <c r="G494" i="25"/>
  <c r="G475" i="25"/>
  <c r="G456" i="25"/>
  <c r="H437" i="25"/>
  <c r="H418" i="25"/>
  <c r="H399" i="25"/>
  <c r="I380" i="25"/>
  <c r="E366" i="25"/>
  <c r="C352" i="25"/>
  <c r="A338" i="25"/>
  <c r="H323" i="25"/>
  <c r="F309" i="25"/>
  <c r="D295" i="25"/>
  <c r="B281" i="25"/>
  <c r="I266" i="25"/>
  <c r="G252" i="25"/>
  <c r="E238" i="25"/>
  <c r="C224" i="25"/>
  <c r="A210" i="25"/>
  <c r="H195" i="25"/>
  <c r="F181" i="25"/>
  <c r="D167" i="25"/>
  <c r="B153" i="25"/>
  <c r="A146" i="25"/>
  <c r="I138" i="25"/>
  <c r="H131" i="25"/>
  <c r="G124" i="25"/>
  <c r="F117" i="25"/>
  <c r="E110" i="25"/>
  <c r="D103" i="25"/>
  <c r="C96" i="25"/>
  <c r="B89" i="25"/>
  <c r="A82" i="25"/>
  <c r="I74" i="25"/>
  <c r="H67" i="25"/>
  <c r="G60" i="25"/>
  <c r="F53" i="25"/>
  <c r="E46" i="25"/>
  <c r="D39" i="25"/>
  <c r="C32" i="25"/>
  <c r="B25" i="25"/>
  <c r="A18" i="25"/>
  <c r="I10" i="25"/>
  <c r="E115" i="24"/>
  <c r="E107" i="24"/>
  <c r="E99" i="24"/>
  <c r="E91" i="24"/>
  <c r="E83" i="24"/>
  <c r="E75" i="24"/>
  <c r="E67" i="24"/>
  <c r="E59" i="24"/>
  <c r="E51" i="24"/>
  <c r="E43" i="24"/>
  <c r="E35" i="24"/>
  <c r="E27" i="24"/>
  <c r="E19" i="24"/>
  <c r="E11" i="24"/>
  <c r="E3" i="24"/>
  <c r="A22" i="33"/>
  <c r="B30" i="27"/>
  <c r="A40" i="26"/>
  <c r="A24" i="26"/>
  <c r="A8" i="26"/>
  <c r="D870" i="25"/>
  <c r="I841" i="25"/>
  <c r="E813" i="25"/>
  <c r="A785" i="25"/>
  <c r="F756" i="25"/>
  <c r="B728" i="25"/>
  <c r="G699" i="25"/>
  <c r="C671" i="25"/>
  <c r="H642" i="25"/>
  <c r="D614" i="25"/>
  <c r="G591" i="25"/>
  <c r="G572" i="25"/>
  <c r="H553" i="25"/>
  <c r="H534" i="25"/>
  <c r="H515" i="25"/>
  <c r="I496" i="25"/>
  <c r="I477" i="25"/>
  <c r="I458" i="25"/>
  <c r="A440" i="25"/>
  <c r="A421" i="25"/>
  <c r="A402" i="25"/>
  <c r="B383" i="25"/>
  <c r="B368" i="25"/>
  <c r="I353" i="25"/>
  <c r="G339" i="25"/>
  <c r="E325" i="25"/>
  <c r="C311" i="25"/>
  <c r="A297" i="25"/>
  <c r="H282" i="25"/>
  <c r="F268" i="25"/>
  <c r="D254" i="25"/>
  <c r="B240" i="25"/>
  <c r="I225" i="25"/>
  <c r="G211" i="25"/>
  <c r="E197" i="25"/>
  <c r="C183" i="25"/>
  <c r="A169" i="25"/>
  <c r="H154" i="25"/>
  <c r="F140" i="25"/>
  <c r="D126" i="25"/>
  <c r="B112" i="25"/>
  <c r="I97" i="25"/>
  <c r="G83" i="25"/>
  <c r="E69" i="25"/>
  <c r="C55" i="25"/>
  <c r="A41" i="25"/>
  <c r="H26" i="25"/>
  <c r="F12" i="25"/>
  <c r="H109" i="24"/>
  <c r="H93" i="24"/>
  <c r="H77" i="24"/>
  <c r="H61" i="24"/>
  <c r="H45" i="24"/>
  <c r="H29" i="24"/>
  <c r="H13" i="24"/>
  <c r="F223" i="23"/>
  <c r="A213" i="23"/>
  <c r="C202" i="23"/>
  <c r="F191" i="23"/>
  <c r="A181" i="23"/>
  <c r="C170" i="23"/>
  <c r="F159" i="23"/>
  <c r="A149" i="23"/>
  <c r="C138" i="23"/>
  <c r="F127" i="23"/>
  <c r="A117" i="23"/>
  <c r="C106" i="23"/>
  <c r="F95" i="23"/>
  <c r="A85" i="23"/>
  <c r="C74" i="23"/>
  <c r="F63" i="23"/>
  <c r="A53" i="23"/>
  <c r="C42" i="23"/>
  <c r="F31" i="23"/>
  <c r="A21" i="23"/>
  <c r="C10" i="23"/>
  <c r="D236" i="22"/>
  <c r="G225" i="22"/>
  <c r="B215" i="22"/>
  <c r="D204" i="22"/>
  <c r="G193" i="22"/>
  <c r="B183" i="22"/>
  <c r="D172" i="22"/>
  <c r="G161" i="22"/>
  <c r="B151" i="22"/>
  <c r="D140" i="22"/>
  <c r="G129" i="22"/>
  <c r="B119" i="22"/>
  <c r="D108" i="22"/>
  <c r="G97" i="22"/>
  <c r="B87" i="22"/>
  <c r="D76" i="22"/>
  <c r="G65" i="22"/>
  <c r="B55" i="22"/>
  <c r="D44" i="22"/>
  <c r="G33" i="22"/>
  <c r="F24" i="22"/>
  <c r="F16" i="22"/>
  <c r="F8" i="22"/>
  <c r="G10" i="21"/>
  <c r="G2" i="21"/>
  <c r="E284" i="19"/>
  <c r="E276" i="19"/>
  <c r="E268" i="19"/>
  <c r="E260" i="19"/>
  <c r="E252" i="19"/>
  <c r="E244" i="19"/>
  <c r="E236" i="19"/>
  <c r="E228" i="19"/>
  <c r="E220" i="19"/>
  <c r="E212" i="19"/>
  <c r="E204" i="19"/>
  <c r="E196" i="19"/>
  <c r="E188" i="19"/>
  <c r="E180" i="19"/>
  <c r="E172" i="19"/>
  <c r="E164" i="19"/>
  <c r="E156" i="19"/>
  <c r="E148" i="19"/>
  <c r="E140" i="19"/>
  <c r="E132" i="19"/>
  <c r="E124" i="19"/>
  <c r="E116" i="19"/>
  <c r="E108" i="19"/>
  <c r="E100" i="19"/>
  <c r="E92" i="19"/>
  <c r="E84" i="19"/>
  <c r="E76" i="19"/>
  <c r="E68" i="19"/>
  <c r="H53" i="33"/>
  <c r="B33" i="27"/>
  <c r="L41" i="26"/>
  <c r="L25" i="26"/>
  <c r="L9" i="26"/>
  <c r="G871" i="25"/>
  <c r="C843" i="25"/>
  <c r="H814" i="25"/>
  <c r="D786" i="25"/>
  <c r="I757" i="25"/>
  <c r="E729" i="25"/>
  <c r="A701" i="25"/>
  <c r="F672" i="25"/>
  <c r="B644" i="25"/>
  <c r="G615" i="25"/>
  <c r="F592" i="25"/>
  <c r="F573" i="25"/>
  <c r="G554" i="25"/>
  <c r="G535" i="25"/>
  <c r="G516" i="25"/>
  <c r="H497" i="25"/>
  <c r="H478" i="25"/>
  <c r="H459" i="25"/>
  <c r="I440" i="25"/>
  <c r="I421" i="25"/>
  <c r="I402" i="25"/>
  <c r="A384" i="25"/>
  <c r="H368" i="25"/>
  <c r="F354" i="25"/>
  <c r="D340" i="25"/>
  <c r="B326" i="25"/>
  <c r="I311" i="25"/>
  <c r="G297" i="25"/>
  <c r="E283" i="25"/>
  <c r="C269" i="25"/>
  <c r="A255" i="25"/>
  <c r="H240" i="25"/>
  <c r="F226" i="25"/>
  <c r="D212" i="25"/>
  <c r="B198" i="25"/>
  <c r="I183" i="25"/>
  <c r="G169" i="25"/>
  <c r="E155" i="25"/>
  <c r="C141" i="25"/>
  <c r="A127" i="25"/>
  <c r="H112" i="25"/>
  <c r="F98" i="25"/>
  <c r="D84" i="25"/>
  <c r="B70" i="25"/>
  <c r="I55" i="25"/>
  <c r="G41" i="25"/>
  <c r="E27" i="25"/>
  <c r="C13" i="25"/>
  <c r="F110" i="24"/>
  <c r="F94" i="24"/>
  <c r="F78" i="24"/>
  <c r="F62" i="24"/>
  <c r="F46" i="24"/>
  <c r="F30" i="24"/>
  <c r="F14" i="24"/>
  <c r="G224" i="23"/>
  <c r="B214" i="23"/>
  <c r="E203" i="23"/>
  <c r="G192" i="23"/>
  <c r="B182" i="23"/>
  <c r="E171" i="23"/>
  <c r="G160" i="23"/>
  <c r="B150" i="23"/>
  <c r="E139" i="23"/>
  <c r="G128" i="23"/>
  <c r="B118" i="23"/>
  <c r="E107" i="23"/>
  <c r="G96" i="23"/>
  <c r="B86" i="23"/>
  <c r="E75" i="23"/>
  <c r="G64" i="23"/>
  <c r="B54" i="23"/>
  <c r="E43" i="23"/>
  <c r="G32" i="23"/>
  <c r="B22" i="23"/>
  <c r="E11" i="23"/>
  <c r="C1" i="23"/>
  <c r="F227" i="22"/>
  <c r="H216" i="22"/>
  <c r="C206" i="22"/>
  <c r="F195" i="22"/>
  <c r="H184" i="22"/>
  <c r="C174" i="22"/>
  <c r="F163" i="22"/>
  <c r="H152" i="22"/>
  <c r="C142" i="22"/>
  <c r="F131" i="22"/>
  <c r="H120" i="22"/>
  <c r="C110" i="22"/>
  <c r="F99" i="22"/>
  <c r="H88" i="22"/>
  <c r="C78" i="22"/>
  <c r="F67" i="22"/>
  <c r="H56" i="22"/>
  <c r="C46" i="22"/>
  <c r="F35" i="22"/>
  <c r="A26" i="22"/>
  <c r="A18" i="22"/>
  <c r="A10" i="22"/>
  <c r="A2" i="22"/>
  <c r="B4" i="21"/>
  <c r="D1" i="20"/>
  <c r="D278" i="19"/>
  <c r="D270" i="19"/>
  <c r="D262" i="19"/>
  <c r="D254" i="19"/>
  <c r="D246" i="19"/>
  <c r="D238" i="19"/>
  <c r="D230" i="19"/>
  <c r="D222" i="19"/>
  <c r="D214" i="19"/>
  <c r="D206" i="19"/>
  <c r="D198" i="19"/>
  <c r="D190" i="19"/>
  <c r="D216" i="45"/>
  <c r="F35" i="38"/>
  <c r="F21" i="37"/>
  <c r="D26" i="45"/>
  <c r="F28" i="36"/>
  <c r="F42" i="33"/>
  <c r="F21" i="36"/>
  <c r="F33" i="35"/>
  <c r="C35" i="33"/>
  <c r="G24" i="35"/>
  <c r="F60" i="33"/>
  <c r="E55" i="45"/>
  <c r="D31" i="32"/>
  <c r="E11" i="27"/>
  <c r="B19" i="33"/>
  <c r="G34" i="27"/>
  <c r="H94" i="33"/>
  <c r="A3" i="31"/>
  <c r="L47" i="26"/>
  <c r="L31" i="26"/>
  <c r="L15" i="26"/>
  <c r="F882" i="25"/>
  <c r="B854" i="25"/>
  <c r="G825" i="25"/>
  <c r="C797" i="25"/>
  <c r="H768" i="25"/>
  <c r="D740" i="25"/>
  <c r="I711" i="25"/>
  <c r="E683" i="25"/>
  <c r="A655" i="25"/>
  <c r="F626" i="25"/>
  <c r="B598" i="25"/>
  <c r="G569" i="25"/>
  <c r="C541" i="25"/>
  <c r="H512" i="25"/>
  <c r="D484" i="25"/>
  <c r="I455" i="25"/>
  <c r="E427" i="25"/>
  <c r="A399" i="25"/>
  <c r="H85" i="33"/>
  <c r="C1" i="29"/>
  <c r="L46" i="26"/>
  <c r="L30" i="26"/>
  <c r="L14" i="26"/>
  <c r="G880" i="25"/>
  <c r="C852" i="25"/>
  <c r="H823" i="25"/>
  <c r="D795" i="25"/>
  <c r="I766" i="25"/>
  <c r="E738" i="25"/>
  <c r="A710" i="25"/>
  <c r="F681" i="25"/>
  <c r="B653" i="25"/>
  <c r="G624" i="25"/>
  <c r="F63" i="33"/>
  <c r="M43" i="26"/>
  <c r="M11" i="26"/>
  <c r="B847" i="25"/>
  <c r="C790" i="25"/>
  <c r="D733" i="25"/>
  <c r="E676" i="25"/>
  <c r="F619" i="25"/>
  <c r="B576" i="25"/>
  <c r="D545" i="25"/>
  <c r="A521" i="25"/>
  <c r="A502" i="25"/>
  <c r="B483" i="25"/>
  <c r="B464" i="25"/>
  <c r="B445" i="25"/>
  <c r="C426" i="25"/>
  <c r="C407" i="25"/>
  <c r="C388" i="25"/>
  <c r="A372" i="25"/>
  <c r="H787" i="25"/>
  <c r="B528" i="25"/>
  <c r="G63" i="33"/>
  <c r="C4" i="27"/>
  <c r="C805" i="25"/>
  <c r="G577" i="25"/>
  <c r="D20" i="32"/>
  <c r="I774" i="25"/>
  <c r="L20" i="26"/>
  <c r="B6" i="37"/>
  <c r="M46" i="26"/>
  <c r="I667" i="25"/>
  <c r="D440" i="25"/>
  <c r="B865" i="25"/>
  <c r="F637" i="25"/>
  <c r="D645" i="25"/>
  <c r="B435" i="25"/>
  <c r="F307" i="25"/>
  <c r="H193" i="25"/>
  <c r="A80" i="25"/>
  <c r="G73" i="24"/>
  <c r="H170" i="23"/>
  <c r="H42" i="23"/>
  <c r="E151" i="22"/>
  <c r="B31" i="35"/>
  <c r="C16" i="33"/>
  <c r="H2" i="32"/>
  <c r="E69" i="33"/>
  <c r="K12" i="26"/>
  <c r="I791" i="25"/>
  <c r="B678" i="25"/>
  <c r="D564" i="25"/>
  <c r="F450" i="25"/>
  <c r="C4" i="28"/>
  <c r="D875" i="25"/>
  <c r="F761" i="25"/>
  <c r="H647" i="25"/>
  <c r="J5" i="26"/>
  <c r="H665" i="25"/>
  <c r="F540" i="25"/>
  <c r="E498" i="25"/>
  <c r="F460" i="25"/>
  <c r="G422" i="25"/>
  <c r="G384" i="25"/>
  <c r="B355" i="25"/>
  <c r="G326" i="25"/>
  <c r="C298" i="25"/>
  <c r="H269" i="25"/>
  <c r="D241" i="25"/>
  <c r="I212" i="25"/>
  <c r="E184" i="25"/>
  <c r="A156" i="25"/>
  <c r="F127" i="25"/>
  <c r="B99" i="25"/>
  <c r="G70" i="25"/>
  <c r="C42" i="25"/>
  <c r="H13" i="25"/>
  <c r="C95" i="24"/>
  <c r="C63" i="24"/>
  <c r="C31" i="24"/>
  <c r="D224" i="23"/>
  <c r="D192" i="23"/>
  <c r="D160" i="23"/>
  <c r="D128" i="23"/>
  <c r="D96" i="23"/>
  <c r="D64" i="23"/>
  <c r="D32" i="23"/>
  <c r="A237" i="22"/>
  <c r="A205" i="22"/>
  <c r="A173" i="22"/>
  <c r="A141" i="22"/>
  <c r="A109" i="22"/>
  <c r="H28" i="45"/>
  <c r="B2" i="36"/>
  <c r="G110" i="45"/>
  <c r="G35" i="27"/>
  <c r="P31" i="26"/>
  <c r="B826" i="25"/>
  <c r="D712" i="25"/>
  <c r="F598" i="25"/>
  <c r="H484" i="25"/>
  <c r="H87" i="33"/>
  <c r="P14" i="26"/>
  <c r="H795" i="25"/>
  <c r="A682" i="25"/>
  <c r="D44" i="26"/>
  <c r="C734" i="25"/>
  <c r="I545" i="25"/>
  <c r="G464" i="25"/>
  <c r="I388" i="25"/>
  <c r="H329" i="25"/>
  <c r="I272" i="25"/>
  <c r="A216" i="25"/>
  <c r="B159" i="25"/>
  <c r="C102" i="25"/>
  <c r="D45" i="25"/>
  <c r="G98" i="24"/>
  <c r="G34" i="24"/>
  <c r="H195" i="23"/>
  <c r="H131" i="23"/>
  <c r="H67" i="23"/>
  <c r="H3" i="23"/>
  <c r="E176" i="22"/>
  <c r="E112" i="22"/>
  <c r="A77" i="22"/>
  <c r="A45" i="22"/>
  <c r="A8" i="45"/>
  <c r="B11" i="33"/>
  <c r="H16" i="27"/>
  <c r="G37" i="26"/>
  <c r="G21" i="26"/>
  <c r="F5" i="26"/>
  <c r="F863" i="25"/>
  <c r="B835" i="25"/>
  <c r="G806" i="25"/>
  <c r="C778" i="25"/>
  <c r="H749" i="25"/>
  <c r="D721" i="25"/>
  <c r="I692" i="25"/>
  <c r="E664" i="25"/>
  <c r="A636" i="25"/>
  <c r="F607" i="25"/>
  <c r="B587" i="25"/>
  <c r="B568" i="25"/>
  <c r="B549" i="25"/>
  <c r="C530" i="25"/>
  <c r="C511" i="25"/>
  <c r="C492" i="25"/>
  <c r="D473" i="25"/>
  <c r="D454" i="25"/>
  <c r="D435" i="25"/>
  <c r="E416" i="25"/>
  <c r="E397" i="25"/>
  <c r="I378" i="25"/>
  <c r="G364" i="25"/>
  <c r="E350" i="25"/>
  <c r="C336" i="25"/>
  <c r="A322" i="25"/>
  <c r="H307" i="25"/>
  <c r="F293" i="25"/>
  <c r="D279" i="25"/>
  <c r="B265" i="25"/>
  <c r="I250" i="25"/>
  <c r="G236" i="25"/>
  <c r="E222" i="25"/>
  <c r="C208" i="25"/>
  <c r="A194" i="25"/>
  <c r="H179" i="25"/>
  <c r="F165" i="25"/>
  <c r="D151" i="25"/>
  <c r="C144" i="25"/>
  <c r="B137" i="25"/>
  <c r="A130" i="25"/>
  <c r="I122" i="25"/>
  <c r="H115" i="25"/>
  <c r="G108" i="25"/>
  <c r="F101" i="25"/>
  <c r="E94" i="25"/>
  <c r="D87" i="25"/>
  <c r="C80" i="25"/>
  <c r="B73" i="25"/>
  <c r="A66" i="25"/>
  <c r="I58" i="25"/>
  <c r="H51" i="25"/>
  <c r="G44" i="25"/>
  <c r="F37" i="25"/>
  <c r="E30" i="25"/>
  <c r="D23" i="25"/>
  <c r="C16" i="25"/>
  <c r="B9" i="25"/>
  <c r="E113" i="24"/>
  <c r="E105" i="24"/>
  <c r="E97" i="24"/>
  <c r="E89" i="24"/>
  <c r="E81" i="24"/>
  <c r="E73" i="24"/>
  <c r="E65" i="24"/>
  <c r="E57" i="24"/>
  <c r="E49" i="24"/>
  <c r="E41" i="24"/>
  <c r="E33" i="24"/>
  <c r="E25" i="24"/>
  <c r="E17" i="24"/>
  <c r="E9" i="24"/>
  <c r="A68" i="45"/>
  <c r="F19" i="32"/>
  <c r="B14" i="27"/>
  <c r="E36" i="26"/>
  <c r="E20" i="26"/>
  <c r="G891" i="25"/>
  <c r="C863" i="25"/>
  <c r="H834" i="25"/>
  <c r="D806" i="25"/>
  <c r="I777" i="25"/>
  <c r="E749" i="25"/>
  <c r="A721" i="25"/>
  <c r="F692" i="25"/>
  <c r="B664" i="25"/>
  <c r="G635" i="25"/>
  <c r="C607" i="25"/>
  <c r="I586" i="25"/>
  <c r="A568" i="25"/>
  <c r="A549" i="25"/>
  <c r="A530" i="25"/>
  <c r="B511" i="25"/>
  <c r="B492" i="25"/>
  <c r="B473" i="25"/>
  <c r="C454" i="25"/>
  <c r="C435" i="25"/>
  <c r="C416" i="25"/>
  <c r="D397" i="25"/>
  <c r="H378" i="25"/>
  <c r="F364" i="25"/>
  <c r="D350" i="25"/>
  <c r="B336" i="25"/>
  <c r="I321" i="25"/>
  <c r="G307" i="25"/>
  <c r="E293" i="25"/>
  <c r="C279" i="25"/>
  <c r="A265" i="25"/>
  <c r="H250" i="25"/>
  <c r="F236" i="25"/>
  <c r="D222" i="25"/>
  <c r="B208" i="25"/>
  <c r="I193" i="25"/>
  <c r="G179" i="25"/>
  <c r="E165" i="25"/>
  <c r="C151" i="25"/>
  <c r="A137" i="25"/>
  <c r="H122" i="25"/>
  <c r="F108" i="25"/>
  <c r="D94" i="25"/>
  <c r="B80" i="25"/>
  <c r="I65" i="25"/>
  <c r="G51" i="25"/>
  <c r="E37" i="25"/>
  <c r="C23" i="25"/>
  <c r="A9" i="25"/>
  <c r="H105" i="24"/>
  <c r="H89" i="24"/>
  <c r="H73" i="24"/>
  <c r="H57" i="24"/>
  <c r="H41" i="24"/>
  <c r="H25" i="24"/>
  <c r="H9" i="24"/>
  <c r="A221" i="23"/>
  <c r="C210" i="23"/>
  <c r="F199" i="23"/>
  <c r="A189" i="23"/>
  <c r="C178" i="23"/>
  <c r="F167" i="23"/>
  <c r="A157" i="23"/>
  <c r="C146" i="23"/>
  <c r="F135" i="23"/>
  <c r="A125" i="23"/>
  <c r="C114" i="23"/>
  <c r="F103" i="23"/>
  <c r="A93" i="23"/>
  <c r="C82" i="23"/>
  <c r="F71" i="23"/>
  <c r="A61" i="23"/>
  <c r="C50" i="23"/>
  <c r="F39" i="23"/>
  <c r="A29" i="23"/>
  <c r="C18" i="23"/>
  <c r="F7" i="23"/>
  <c r="G233" i="22"/>
  <c r="B223" i="22"/>
  <c r="D212" i="22"/>
  <c r="G201" i="22"/>
  <c r="B191" i="22"/>
  <c r="D180" i="22"/>
  <c r="G169" i="22"/>
  <c r="B159" i="22"/>
  <c r="D148" i="22"/>
  <c r="G137" i="22"/>
  <c r="B127" i="22"/>
  <c r="D116" i="22"/>
  <c r="G105" i="22"/>
  <c r="B95" i="22"/>
  <c r="D84" i="22"/>
  <c r="G73" i="22"/>
  <c r="B63" i="22"/>
  <c r="D52" i="22"/>
  <c r="G41" i="22"/>
  <c r="B31" i="22"/>
  <c r="F22" i="22"/>
  <c r="F14" i="22"/>
  <c r="F6" i="22"/>
  <c r="G8" i="21"/>
  <c r="H5" i="20"/>
  <c r="E282" i="19"/>
  <c r="E274" i="19"/>
  <c r="E266" i="19"/>
  <c r="E258" i="19"/>
  <c r="E250" i="19"/>
  <c r="E242" i="19"/>
  <c r="E234" i="19"/>
  <c r="E226" i="19"/>
  <c r="E218" i="19"/>
  <c r="E210" i="19"/>
  <c r="E202" i="19"/>
  <c r="E194" i="19"/>
  <c r="E186" i="19"/>
  <c r="E178" i="19"/>
  <c r="E170" i="19"/>
  <c r="E162" i="19"/>
  <c r="E154" i="19"/>
  <c r="E146" i="19"/>
  <c r="E138" i="19"/>
  <c r="E130" i="19"/>
  <c r="E122" i="19"/>
  <c r="E114" i="19"/>
  <c r="E106" i="19"/>
  <c r="E98" i="19"/>
  <c r="E90" i="19"/>
  <c r="E82" i="19"/>
  <c r="E74" i="19"/>
  <c r="E66" i="19"/>
  <c r="A20" i="33"/>
  <c r="B17" i="27"/>
  <c r="P37" i="26"/>
  <c r="P21" i="26"/>
  <c r="O5" i="26"/>
  <c r="F864" i="25"/>
  <c r="B836" i="25"/>
  <c r="G807" i="25"/>
  <c r="C779" i="25"/>
  <c r="H750" i="25"/>
  <c r="D722" i="25"/>
  <c r="I693" i="25"/>
  <c r="E665" i="25"/>
  <c r="A637" i="25"/>
  <c r="F608" i="25"/>
  <c r="H587" i="25"/>
  <c r="I568" i="25"/>
  <c r="I549" i="25"/>
  <c r="I530" i="25"/>
  <c r="A512" i="25"/>
  <c r="A493" i="25"/>
  <c r="A474" i="25"/>
  <c r="B455" i="25"/>
  <c r="B436" i="25"/>
  <c r="B417" i="25"/>
  <c r="C398" i="25"/>
  <c r="E379" i="25"/>
  <c r="C365" i="25"/>
  <c r="A351" i="25"/>
  <c r="H336" i="25"/>
  <c r="F322" i="25"/>
  <c r="D308" i="25"/>
  <c r="B294" i="25"/>
  <c r="I279" i="25"/>
  <c r="G265" i="25"/>
  <c r="E251" i="25"/>
  <c r="C237" i="25"/>
  <c r="A223" i="25"/>
  <c r="H208" i="25"/>
  <c r="F194" i="25"/>
  <c r="D180" i="25"/>
  <c r="B166" i="25"/>
  <c r="I151" i="25"/>
  <c r="G137" i="25"/>
  <c r="E123" i="25"/>
  <c r="C109" i="25"/>
  <c r="A95" i="25"/>
  <c r="H80" i="25"/>
  <c r="F66" i="25"/>
  <c r="D52" i="25"/>
  <c r="B38" i="25"/>
  <c r="I23" i="25"/>
  <c r="G9" i="25"/>
  <c r="F106" i="24"/>
  <c r="F90" i="24"/>
  <c r="F74" i="24"/>
  <c r="F58" i="24"/>
  <c r="F42" i="24"/>
  <c r="F26" i="24"/>
  <c r="F10" i="24"/>
  <c r="B222" i="23"/>
  <c r="E211" i="23"/>
  <c r="G200" i="23"/>
  <c r="B190" i="23"/>
  <c r="E179" i="23"/>
  <c r="G168" i="23"/>
  <c r="B158" i="23"/>
  <c r="E147" i="23"/>
  <c r="G136" i="23"/>
  <c r="B126" i="23"/>
  <c r="E115" i="23"/>
  <c r="G104" i="23"/>
  <c r="B94" i="23"/>
  <c r="E83" i="23"/>
  <c r="G72" i="23"/>
  <c r="B62" i="23"/>
  <c r="E51" i="23"/>
  <c r="G40" i="23"/>
  <c r="B30" i="23"/>
  <c r="E19" i="23"/>
  <c r="G8" i="23"/>
  <c r="F235" i="22"/>
  <c r="H224" i="22"/>
  <c r="C214" i="22"/>
  <c r="F203" i="22"/>
  <c r="H192" i="22"/>
  <c r="C182" i="22"/>
  <c r="F171" i="22"/>
  <c r="H160" i="22"/>
  <c r="C150" i="22"/>
  <c r="F139" i="22"/>
  <c r="H128" i="22"/>
  <c r="C118" i="22"/>
  <c r="F107" i="22"/>
  <c r="H96" i="22"/>
  <c r="C86" i="22"/>
  <c r="F75" i="22"/>
  <c r="H64" i="22"/>
  <c r="C54" i="22"/>
  <c r="F43" i="22"/>
  <c r="H32" i="22"/>
  <c r="A24" i="22"/>
  <c r="A16" i="22"/>
  <c r="A8" i="22"/>
  <c r="B10" i="21"/>
  <c r="B2" i="21"/>
  <c r="D284" i="19"/>
  <c r="D276" i="19"/>
  <c r="D268" i="19"/>
  <c r="D260" i="19"/>
  <c r="D252" i="19"/>
  <c r="D244" i="19"/>
  <c r="D236" i="19"/>
  <c r="D228" i="19"/>
  <c r="D220" i="19"/>
  <c r="D212" i="19"/>
  <c r="D204" i="19"/>
  <c r="D196" i="19"/>
  <c r="D188" i="19"/>
  <c r="G48" i="45"/>
  <c r="D326" i="45"/>
  <c r="B36" i="45"/>
  <c r="E30" i="35"/>
  <c r="F21" i="35"/>
  <c r="B14" i="33"/>
  <c r="B15" i="45"/>
  <c r="D4" i="34"/>
  <c r="F11" i="33"/>
  <c r="A3" i="37"/>
  <c r="D35" i="33"/>
  <c r="G100" i="33"/>
  <c r="E5" i="31"/>
  <c r="A27" i="35"/>
  <c r="D16" i="32"/>
  <c r="C24" i="27"/>
  <c r="A61" i="33"/>
  <c r="E4" i="28"/>
  <c r="L43" i="26"/>
  <c r="L27" i="26"/>
  <c r="L11" i="26"/>
  <c r="E875" i="25"/>
  <c r="A847" i="25"/>
  <c r="F818" i="25"/>
  <c r="B790" i="25"/>
  <c r="G761" i="25"/>
  <c r="C733" i="25"/>
  <c r="H704" i="25"/>
  <c r="D676" i="25"/>
  <c r="I647" i="25"/>
  <c r="E619" i="25"/>
  <c r="A591" i="25"/>
  <c r="F562" i="25"/>
  <c r="B534" i="25"/>
  <c r="G505" i="25"/>
  <c r="C477" i="25"/>
  <c r="H448" i="25"/>
  <c r="D420" i="25"/>
  <c r="I391" i="25"/>
  <c r="B52" i="33"/>
  <c r="D38" i="27"/>
  <c r="L42" i="26"/>
  <c r="L26" i="26"/>
  <c r="L10" i="26"/>
  <c r="F873" i="25"/>
  <c r="B845" i="25"/>
  <c r="G816" i="25"/>
  <c r="C788" i="25"/>
  <c r="H759" i="25"/>
  <c r="D731" i="25"/>
  <c r="I702" i="25"/>
  <c r="E674" i="25"/>
  <c r="A646" i="25"/>
  <c r="A674" i="25"/>
  <c r="D748" i="25"/>
  <c r="C806" i="25"/>
  <c r="E383" i="25"/>
  <c r="B397" i="25"/>
  <c r="G41" i="24"/>
  <c r="C21" i="33"/>
  <c r="C877" i="25"/>
  <c r="B422" i="25"/>
  <c r="D619" i="25"/>
  <c r="A489" i="25"/>
  <c r="A348" i="25"/>
  <c r="C234" i="25"/>
  <c r="E120" i="25"/>
  <c r="G6" i="25"/>
  <c r="D216" i="23"/>
  <c r="D88" i="23"/>
  <c r="A197" i="22"/>
  <c r="D29" i="36"/>
  <c r="P15" i="26"/>
  <c r="D456" i="25"/>
  <c r="F653" i="25"/>
  <c r="H445" i="25"/>
  <c r="H201" i="25"/>
  <c r="G82" i="24"/>
  <c r="H51" i="23"/>
  <c r="A69" i="22"/>
  <c r="E47" i="26"/>
  <c r="I852" i="25"/>
  <c r="B739" i="25"/>
  <c r="D625" i="25"/>
  <c r="A542" i="25"/>
  <c r="C466" i="25"/>
  <c r="D390" i="25"/>
  <c r="I330" i="25"/>
  <c r="A274" i="25"/>
  <c r="B217" i="25"/>
  <c r="C160" i="25"/>
  <c r="C128" i="25"/>
  <c r="H99" i="25"/>
  <c r="D71" i="25"/>
  <c r="I42" i="25"/>
  <c r="E14" i="25"/>
  <c r="E95" i="24"/>
  <c r="E63" i="24"/>
  <c r="E31" i="24"/>
  <c r="E89" i="33"/>
  <c r="I16" i="26"/>
  <c r="C799" i="25"/>
  <c r="E685" i="25"/>
  <c r="C582" i="25"/>
  <c r="D506" i="25"/>
  <c r="E430" i="25"/>
  <c r="A361" i="25"/>
  <c r="B304" i="25"/>
  <c r="C247" i="25"/>
  <c r="D190" i="25"/>
  <c r="E133" i="25"/>
  <c r="F76" i="25"/>
  <c r="G19" i="25"/>
  <c r="H69" i="24"/>
  <c r="H5" i="24"/>
  <c r="C186" i="23"/>
  <c r="F143" i="23"/>
  <c r="A101" i="23"/>
  <c r="C58" i="23"/>
  <c r="F15" i="23"/>
  <c r="G209" i="22"/>
  <c r="B167" i="22"/>
  <c r="D124" i="22"/>
  <c r="G81" i="22"/>
  <c r="B39" i="22"/>
  <c r="F4" i="22"/>
  <c r="E272" i="19"/>
  <c r="E240" i="19"/>
  <c r="E208" i="19"/>
  <c r="E176" i="19"/>
  <c r="E144" i="19"/>
  <c r="E112" i="19"/>
  <c r="E80" i="19"/>
  <c r="F1" i="27"/>
  <c r="E857" i="25"/>
  <c r="G743" i="25"/>
  <c r="I629" i="25"/>
  <c r="B545" i="25"/>
  <c r="D469" i="25"/>
  <c r="E393" i="25"/>
  <c r="C333" i="25"/>
  <c r="D276" i="25"/>
  <c r="E219" i="25"/>
  <c r="F162" i="25"/>
  <c r="G105" i="25"/>
  <c r="H48" i="25"/>
  <c r="F102" i="24"/>
  <c r="F38" i="24"/>
  <c r="G208" i="23"/>
  <c r="B166" i="23"/>
  <c r="E123" i="23"/>
  <c r="G80" i="23"/>
  <c r="B38" i="23"/>
  <c r="H232" i="22"/>
  <c r="C190" i="22"/>
  <c r="F147" i="22"/>
  <c r="H104" i="22"/>
  <c r="C62" i="22"/>
  <c r="A22" i="22"/>
  <c r="C5" i="20"/>
  <c r="D258" i="19"/>
  <c r="D226" i="19"/>
  <c r="D194" i="19"/>
  <c r="H247" i="45"/>
  <c r="E29" i="35"/>
  <c r="A10" i="33"/>
  <c r="B2" i="30"/>
  <c r="L39" i="26"/>
  <c r="I839" i="25"/>
  <c r="B726" i="25"/>
  <c r="D612" i="25"/>
  <c r="F498" i="25"/>
  <c r="H384" i="25"/>
  <c r="L22" i="26"/>
  <c r="F809" i="25"/>
  <c r="H695" i="25"/>
  <c r="E610" i="25"/>
  <c r="M27" i="26"/>
  <c r="G818" i="25"/>
  <c r="I704" i="25"/>
  <c r="B595" i="25"/>
  <c r="C532" i="25"/>
  <c r="F492" i="25"/>
  <c r="G454" i="25"/>
  <c r="G416" i="25"/>
  <c r="B379" i="25"/>
  <c r="H357" i="25"/>
  <c r="F343" i="25"/>
  <c r="D329" i="25"/>
  <c r="B315" i="25"/>
  <c r="I300" i="25"/>
  <c r="G286" i="25"/>
  <c r="E272" i="25"/>
  <c r="C258" i="25"/>
  <c r="A244" i="25"/>
  <c r="H229" i="25"/>
  <c r="F215" i="25"/>
  <c r="D201" i="25"/>
  <c r="B187" i="25"/>
  <c r="I172" i="25"/>
  <c r="G158" i="25"/>
  <c r="E144" i="25"/>
  <c r="C130" i="25"/>
  <c r="A116" i="25"/>
  <c r="H101" i="25"/>
  <c r="F87" i="25"/>
  <c r="D73" i="25"/>
  <c r="B59" i="25"/>
  <c r="I44" i="25"/>
  <c r="G30" i="25"/>
  <c r="E16" i="25"/>
  <c r="C114" i="24"/>
  <c r="C98" i="24"/>
  <c r="C82" i="24"/>
  <c r="C66" i="24"/>
  <c r="C50" i="24"/>
  <c r="C34" i="24"/>
  <c r="C18" i="24"/>
  <c r="C2" i="24"/>
  <c r="D211" i="23"/>
  <c r="D195" i="23"/>
  <c r="D179" i="23"/>
  <c r="D163" i="23"/>
  <c r="D147" i="23"/>
  <c r="D131" i="23"/>
  <c r="D115" i="23"/>
  <c r="D99" i="23"/>
  <c r="D83" i="23"/>
  <c r="D67" i="23"/>
  <c r="D51" i="23"/>
  <c r="D35" i="23"/>
  <c r="D19" i="23"/>
  <c r="D3" i="23"/>
  <c r="A224" i="22"/>
  <c r="A208" i="22"/>
  <c r="A192" i="22"/>
  <c r="A176" i="22"/>
  <c r="A160" i="22"/>
  <c r="A144" i="22"/>
  <c r="A128" i="22"/>
  <c r="A112" i="22"/>
  <c r="E100" i="22"/>
  <c r="E92" i="22"/>
  <c r="E84" i="22"/>
  <c r="E76" i="22"/>
  <c r="E68" i="22"/>
  <c r="E60" i="22"/>
  <c r="E52" i="22"/>
  <c r="E44" i="22"/>
  <c r="E36" i="22"/>
  <c r="E36" i="43"/>
  <c r="C74" i="33"/>
  <c r="G6" i="33"/>
  <c r="G9" i="28"/>
  <c r="H14" i="27"/>
  <c r="P44" i="26"/>
  <c r="P36" i="26"/>
  <c r="P28" i="26"/>
  <c r="P20" i="26"/>
  <c r="P12" i="26"/>
  <c r="B891" i="25"/>
  <c r="I876" i="25"/>
  <c r="G862" i="25"/>
  <c r="E848" i="25"/>
  <c r="C834" i="25"/>
  <c r="A820" i="25"/>
  <c r="H805" i="25"/>
  <c r="F791" i="25"/>
  <c r="D777" i="25"/>
  <c r="B763" i="25"/>
  <c r="I748" i="25"/>
  <c r="G734" i="25"/>
  <c r="E720" i="25"/>
  <c r="C706" i="25"/>
  <c r="A692" i="25"/>
  <c r="H677" i="25"/>
  <c r="F663" i="25"/>
  <c r="D649" i="25"/>
  <c r="B635" i="25"/>
  <c r="I620" i="25"/>
  <c r="G606" i="25"/>
  <c r="A596" i="25"/>
  <c r="E586" i="25"/>
  <c r="A577" i="25"/>
  <c r="F567" i="25"/>
  <c r="A558" i="25"/>
  <c r="F548" i="25"/>
  <c r="B539" i="25"/>
  <c r="F529" i="25"/>
  <c r="B520" i="25"/>
  <c r="G510" i="25"/>
  <c r="B501" i="25"/>
  <c r="G491" i="25"/>
  <c r="C482" i="25"/>
  <c r="G472" i="25"/>
  <c r="C463" i="25"/>
  <c r="H453" i="25"/>
  <c r="C444" i="25"/>
  <c r="H434" i="25"/>
  <c r="D425" i="25"/>
  <c r="H415" i="25"/>
  <c r="D406" i="25"/>
  <c r="I396" i="25"/>
  <c r="D387" i="25"/>
  <c r="E378" i="25"/>
  <c r="D371" i="25"/>
  <c r="C364" i="25"/>
  <c r="B357" i="25"/>
  <c r="A350" i="25"/>
  <c r="I342" i="25"/>
  <c r="H335" i="25"/>
  <c r="G328" i="25"/>
  <c r="F321" i="25"/>
  <c r="E314" i="25"/>
  <c r="D307" i="25"/>
  <c r="C300" i="25"/>
  <c r="B293" i="25"/>
  <c r="A286" i="25"/>
  <c r="I278" i="25"/>
  <c r="H271" i="25"/>
  <c r="G264" i="25"/>
  <c r="F257" i="25"/>
  <c r="E250" i="25"/>
  <c r="D243" i="25"/>
  <c r="C236" i="25"/>
  <c r="B229" i="25"/>
  <c r="A222" i="25"/>
  <c r="I214" i="25"/>
  <c r="H207" i="25"/>
  <c r="G200" i="25"/>
  <c r="F193" i="25"/>
  <c r="E186" i="25"/>
  <c r="D179" i="25"/>
  <c r="C172" i="25"/>
  <c r="B165" i="25"/>
  <c r="A158" i="25"/>
  <c r="I150" i="25"/>
  <c r="H143" i="25"/>
  <c r="G136" i="25"/>
  <c r="F129" i="25"/>
  <c r="E122" i="25"/>
  <c r="D115" i="25"/>
  <c r="C108" i="25"/>
  <c r="B101" i="25"/>
  <c r="A94" i="25"/>
  <c r="I86" i="25"/>
  <c r="H79" i="25"/>
  <c r="G72" i="25"/>
  <c r="F65" i="25"/>
  <c r="E58" i="25"/>
  <c r="D51" i="25"/>
  <c r="C44" i="25"/>
  <c r="B37" i="25"/>
  <c r="A30" i="25"/>
  <c r="I22" i="25"/>
  <c r="H15" i="25"/>
  <c r="G8" i="25"/>
  <c r="A113" i="24"/>
  <c r="A105" i="24"/>
  <c r="A97" i="24"/>
  <c r="A89" i="24"/>
  <c r="A81" i="24"/>
  <c r="A73" i="24"/>
  <c r="A65" i="24"/>
  <c r="A57" i="24"/>
  <c r="A49" i="24"/>
  <c r="A41" i="24"/>
  <c r="A33" i="24"/>
  <c r="A25" i="24"/>
  <c r="A17" i="24"/>
  <c r="A9" i="24"/>
  <c r="A13" i="37"/>
  <c r="B10" i="32"/>
  <c r="B10" i="27"/>
  <c r="F35" i="26"/>
  <c r="F19" i="26"/>
  <c r="I889" i="25"/>
  <c r="E861" i="25"/>
  <c r="A833" i="25"/>
  <c r="F804" i="25"/>
  <c r="B776" i="25"/>
  <c r="G747" i="25"/>
  <c r="C719" i="25"/>
  <c r="H690" i="25"/>
  <c r="D662" i="25"/>
  <c r="I633" i="25"/>
  <c r="E605" i="25"/>
  <c r="H585" i="25"/>
  <c r="H566" i="25"/>
  <c r="H547" i="25"/>
  <c r="I528" i="25"/>
  <c r="I509" i="25"/>
  <c r="I490" i="25"/>
  <c r="A472" i="25"/>
  <c r="A453" i="25"/>
  <c r="A434" i="25"/>
  <c r="B415" i="25"/>
  <c r="B396" i="25"/>
  <c r="I377" i="25"/>
  <c r="G363" i="25"/>
  <c r="E349" i="25"/>
  <c r="C335" i="25"/>
  <c r="A321" i="25"/>
  <c r="H306" i="25"/>
  <c r="F292" i="25"/>
  <c r="D278" i="25"/>
  <c r="B264" i="25"/>
  <c r="I249" i="25"/>
  <c r="G235" i="25"/>
  <c r="E221" i="25"/>
  <c r="C207" i="25"/>
  <c r="A193" i="25"/>
  <c r="H178" i="25"/>
  <c r="F164" i="25"/>
  <c r="D150" i="25"/>
  <c r="B136" i="25"/>
  <c r="I121" i="25"/>
  <c r="G107" i="25"/>
  <c r="E93" i="25"/>
  <c r="C79" i="25"/>
  <c r="A65" i="25"/>
  <c r="H50" i="25"/>
  <c r="F36" i="25"/>
  <c r="D22" i="25"/>
  <c r="B8" i="25"/>
  <c r="H104" i="24"/>
  <c r="H88" i="24"/>
  <c r="H72" i="24"/>
  <c r="H56" i="24"/>
  <c r="H40" i="24"/>
  <c r="H24" i="24"/>
  <c r="H8" i="24"/>
  <c r="C220" i="23"/>
  <c r="F209" i="23"/>
  <c r="A199" i="23"/>
  <c r="C188" i="23"/>
  <c r="F177" i="23"/>
  <c r="A167" i="23"/>
  <c r="C156" i="23"/>
  <c r="F145" i="23"/>
  <c r="A135" i="23"/>
  <c r="C124" i="23"/>
  <c r="F113" i="23"/>
  <c r="A103" i="23"/>
  <c r="C92" i="23"/>
  <c r="F81" i="23"/>
  <c r="A71" i="23"/>
  <c r="C60" i="23"/>
  <c r="F49" i="23"/>
  <c r="A39" i="23"/>
  <c r="C28" i="23"/>
  <c r="F17" i="23"/>
  <c r="A7" i="23"/>
  <c r="B233" i="22"/>
  <c r="D222" i="22"/>
  <c r="G211" i="22"/>
  <c r="B201" i="22"/>
  <c r="D190" i="22"/>
  <c r="G179" i="22"/>
  <c r="B169" i="22"/>
  <c r="D158" i="22"/>
  <c r="G147" i="22"/>
  <c r="B137" i="22"/>
  <c r="D126" i="22"/>
  <c r="G115" i="22"/>
  <c r="B105" i="22"/>
  <c r="D94" i="22"/>
  <c r="G83" i="22"/>
  <c r="B73" i="22"/>
  <c r="D62" i="22"/>
  <c r="G51" i="22"/>
  <c r="B41" i="22"/>
  <c r="D30" i="22"/>
  <c r="B22" i="22"/>
  <c r="B14" i="22"/>
  <c r="B6" i="22"/>
  <c r="C8" i="21"/>
  <c r="D5" i="20"/>
  <c r="A282" i="19"/>
  <c r="A274" i="19"/>
  <c r="A266" i="19"/>
  <c r="A258" i="19"/>
  <c r="A250" i="19"/>
  <c r="A242" i="19"/>
  <c r="A234" i="19"/>
  <c r="A226" i="19"/>
  <c r="A218" i="19"/>
  <c r="A210" i="19"/>
  <c r="A202" i="19"/>
  <c r="A194" i="19"/>
  <c r="A186" i="19"/>
  <c r="A178" i="19"/>
  <c r="A170" i="19"/>
  <c r="A162" i="19"/>
  <c r="A154" i="19"/>
  <c r="A146" i="19"/>
  <c r="A138" i="19"/>
  <c r="A130" i="19"/>
  <c r="A122" i="19"/>
  <c r="A114" i="19"/>
  <c r="A106" i="19"/>
  <c r="A98" i="19"/>
  <c r="A90" i="19"/>
  <c r="A82" i="19"/>
  <c r="A74" i="19"/>
  <c r="A66" i="19"/>
  <c r="D11" i="33"/>
  <c r="B13" i="27"/>
  <c r="A36" i="26"/>
  <c r="A20" i="26"/>
  <c r="C891" i="25"/>
  <c r="H862" i="25"/>
  <c r="D834" i="25"/>
  <c r="I805" i="25"/>
  <c r="E777" i="25"/>
  <c r="A749" i="25"/>
  <c r="F720" i="25"/>
  <c r="B692" i="25"/>
  <c r="G663" i="25"/>
  <c r="C635" i="25"/>
  <c r="H606" i="25"/>
  <c r="G586" i="25"/>
  <c r="G567" i="25"/>
  <c r="G548" i="25"/>
  <c r="H529" i="25"/>
  <c r="H510" i="25"/>
  <c r="H491" i="25"/>
  <c r="I472" i="25"/>
  <c r="I453" i="25"/>
  <c r="I434" i="25"/>
  <c r="A416" i="25"/>
  <c r="A397" i="25"/>
  <c r="F378" i="25"/>
  <c r="D364" i="25"/>
  <c r="B350" i="25"/>
  <c r="I335" i="25"/>
  <c r="G321" i="25"/>
  <c r="E307" i="25"/>
  <c r="C293" i="25"/>
  <c r="A279" i="25"/>
  <c r="H264" i="25"/>
  <c r="F250" i="25"/>
  <c r="D236" i="25"/>
  <c r="B222" i="25"/>
  <c r="I207" i="25"/>
  <c r="G193" i="25"/>
  <c r="E179" i="25"/>
  <c r="C165" i="25"/>
  <c r="A151" i="25"/>
  <c r="H136" i="25"/>
  <c r="F122" i="25"/>
  <c r="D108" i="25"/>
  <c r="B94" i="25"/>
  <c r="I79" i="25"/>
  <c r="G65" i="25"/>
  <c r="E51" i="25"/>
  <c r="C37" i="25"/>
  <c r="A23" i="25"/>
  <c r="H8" i="25"/>
  <c r="F105" i="24"/>
  <c r="F89" i="24"/>
  <c r="F73" i="24"/>
  <c r="F57" i="24"/>
  <c r="F41" i="24"/>
  <c r="F25" i="24"/>
  <c r="F9" i="24"/>
  <c r="E221" i="23"/>
  <c r="G210" i="23"/>
  <c r="B200" i="23"/>
  <c r="E189" i="23"/>
  <c r="G178" i="23"/>
  <c r="B168" i="23"/>
  <c r="E157" i="23"/>
  <c r="G146" i="23"/>
  <c r="B136" i="23"/>
  <c r="E125" i="23"/>
  <c r="G114" i="23"/>
  <c r="B104" i="23"/>
  <c r="E93" i="23"/>
  <c r="G82" i="23"/>
  <c r="B72" i="23"/>
  <c r="E61" i="23"/>
  <c r="G50" i="23"/>
  <c r="B40" i="23"/>
  <c r="E29" i="23"/>
  <c r="G18" i="23"/>
  <c r="B8" i="23"/>
  <c r="H234" i="22"/>
  <c r="C224" i="22"/>
  <c r="F213" i="22"/>
  <c r="H202" i="22"/>
  <c r="C192" i="22"/>
  <c r="F181" i="22"/>
  <c r="H170" i="22"/>
  <c r="C160" i="22"/>
  <c r="F149" i="22"/>
  <c r="H138" i="22"/>
  <c r="C128" i="22"/>
  <c r="F117" i="22"/>
  <c r="H106" i="22"/>
  <c r="C96" i="22"/>
  <c r="F85" i="22"/>
  <c r="H74" i="22"/>
  <c r="C64" i="22"/>
  <c r="F53" i="22"/>
  <c r="H42" i="22"/>
  <c r="C32" i="22"/>
  <c r="E23" i="22"/>
  <c r="E15" i="22"/>
  <c r="E7" i="22"/>
  <c r="F9" i="21"/>
  <c r="G1" i="21"/>
  <c r="H283" i="19"/>
  <c r="H275" i="19"/>
  <c r="H267" i="19"/>
  <c r="H259" i="19"/>
  <c r="H251" i="19"/>
  <c r="H243" i="19"/>
  <c r="H235" i="19"/>
  <c r="F2" i="45"/>
  <c r="C35" i="43"/>
  <c r="H520" i="25"/>
  <c r="F15" i="36"/>
  <c r="C808" i="25"/>
  <c r="B279" i="25"/>
  <c r="H138" i="23"/>
  <c r="D48" i="45"/>
  <c r="E763" i="25"/>
  <c r="K43" i="26"/>
  <c r="E836" i="25"/>
  <c r="B451" i="25"/>
  <c r="F319" i="25"/>
  <c r="H205" i="25"/>
  <c r="A92" i="25"/>
  <c r="C87" i="24"/>
  <c r="D184" i="23"/>
  <c r="D56" i="23"/>
  <c r="A165" i="22"/>
  <c r="H35" i="33"/>
  <c r="G797" i="25"/>
  <c r="B1" i="30"/>
  <c r="D12" i="26"/>
  <c r="E372" i="25"/>
  <c r="I144" i="25"/>
  <c r="G18" i="24"/>
  <c r="E224" i="22"/>
  <c r="A39" i="22"/>
  <c r="E31" i="26"/>
  <c r="E824" i="25"/>
  <c r="G710" i="25"/>
  <c r="I598" i="25"/>
  <c r="B523" i="25"/>
  <c r="C447" i="25"/>
  <c r="F373" i="25"/>
  <c r="G316" i="25"/>
  <c r="H259" i="25"/>
  <c r="I202" i="25"/>
  <c r="F149" i="25"/>
  <c r="B121" i="25"/>
  <c r="G92" i="25"/>
  <c r="C64" i="25"/>
  <c r="H35" i="25"/>
  <c r="D7" i="25"/>
  <c r="E87" i="24"/>
  <c r="E55" i="24"/>
  <c r="E23" i="24"/>
  <c r="C3" i="30"/>
  <c r="F884" i="25"/>
  <c r="H770" i="25"/>
  <c r="A657" i="25"/>
  <c r="C563" i="25"/>
  <c r="D487" i="25"/>
  <c r="F411" i="25"/>
  <c r="H346" i="25"/>
  <c r="I289" i="25"/>
  <c r="A233" i="25"/>
  <c r="B176" i="25"/>
  <c r="C119" i="25"/>
  <c r="D62" i="25"/>
  <c r="E5" i="25"/>
  <c r="H53" i="24"/>
  <c r="C218" i="23"/>
  <c r="F175" i="23"/>
  <c r="A133" i="23"/>
  <c r="C90" i="23"/>
  <c r="F47" i="23"/>
  <c r="A5" i="23"/>
  <c r="B199" i="22"/>
  <c r="D156" i="22"/>
  <c r="G113" i="22"/>
  <c r="B71" i="22"/>
  <c r="F28" i="22"/>
  <c r="G6" i="21"/>
  <c r="E264" i="19"/>
  <c r="E232" i="19"/>
  <c r="E200" i="19"/>
  <c r="E168" i="19"/>
  <c r="E136" i="19"/>
  <c r="E104" i="19"/>
  <c r="E72" i="19"/>
  <c r="D33" i="26"/>
  <c r="A829" i="25"/>
  <c r="C715" i="25"/>
  <c r="A602" i="25"/>
  <c r="C526" i="25"/>
  <c r="D450" i="25"/>
  <c r="I375" i="25"/>
  <c r="A319" i="25"/>
  <c r="B262" i="25"/>
  <c r="C205" i="25"/>
  <c r="D148" i="25"/>
  <c r="E91" i="25"/>
  <c r="F34" i="25"/>
  <c r="F86" i="24"/>
  <c r="F22" i="24"/>
  <c r="B198" i="23"/>
  <c r="E155" i="23"/>
  <c r="G112" i="23"/>
  <c r="B70" i="23"/>
  <c r="E27" i="23"/>
  <c r="C222" i="22"/>
  <c r="F179" i="22"/>
  <c r="H136" i="22"/>
  <c r="C94" i="22"/>
  <c r="F51" i="22"/>
  <c r="A14" i="22"/>
  <c r="D282" i="19"/>
  <c r="D250" i="19"/>
  <c r="D218" i="19"/>
  <c r="C293" i="45"/>
  <c r="C66" i="45"/>
  <c r="F85" i="33"/>
  <c r="B67" i="33"/>
  <c r="G13" i="27"/>
  <c r="L23" i="26"/>
  <c r="E811" i="25"/>
  <c r="G697" i="25"/>
  <c r="I583" i="25"/>
  <c r="B470" i="25"/>
  <c r="D18" i="33"/>
  <c r="L6" i="26"/>
  <c r="B781" i="25"/>
  <c r="D667" i="25"/>
  <c r="F28" i="32"/>
  <c r="H889" i="25"/>
  <c r="A776" i="25"/>
  <c r="C662" i="25"/>
  <c r="G566" i="25"/>
  <c r="C516" i="25"/>
  <c r="D478" i="25"/>
  <c r="E440" i="25"/>
  <c r="E402" i="25"/>
  <c r="E368" i="25"/>
  <c r="C354" i="25"/>
  <c r="A340" i="25"/>
  <c r="H325" i="25"/>
  <c r="F311" i="25"/>
  <c r="D297" i="25"/>
  <c r="B283" i="25"/>
  <c r="I268" i="25"/>
  <c r="G254" i="25"/>
  <c r="E240" i="25"/>
  <c r="C226" i="25"/>
  <c r="A212" i="25"/>
  <c r="H197" i="25"/>
  <c r="F183" i="25"/>
  <c r="D169" i="25"/>
  <c r="B155" i="25"/>
  <c r="I140" i="25"/>
  <c r="G126" i="25"/>
  <c r="E112" i="25"/>
  <c r="C98" i="25"/>
  <c r="A84" i="25"/>
  <c r="H69" i="25"/>
  <c r="F55" i="25"/>
  <c r="D41" i="25"/>
  <c r="B27" i="25"/>
  <c r="I12" i="25"/>
  <c r="C110" i="24"/>
  <c r="C94" i="24"/>
  <c r="C78" i="24"/>
  <c r="C62" i="24"/>
  <c r="C46" i="24"/>
  <c r="C30" i="24"/>
  <c r="C14" i="24"/>
  <c r="D223" i="23"/>
  <c r="D207" i="23"/>
  <c r="D191" i="23"/>
  <c r="D175" i="23"/>
  <c r="D159" i="23"/>
  <c r="D143" i="23"/>
  <c r="D127" i="23"/>
  <c r="D111" i="23"/>
  <c r="D95" i="23"/>
  <c r="D79" i="23"/>
  <c r="D63" i="23"/>
  <c r="D47" i="23"/>
  <c r="D31" i="23"/>
  <c r="D15" i="23"/>
  <c r="A236" i="22"/>
  <c r="A220" i="22"/>
  <c r="A204" i="22"/>
  <c r="A188" i="22"/>
  <c r="A172" i="22"/>
  <c r="A156" i="22"/>
  <c r="A140" i="22"/>
  <c r="A124" i="22"/>
  <c r="A108" i="22"/>
  <c r="E98" i="22"/>
  <c r="E90" i="22"/>
  <c r="E82" i="22"/>
  <c r="E74" i="22"/>
  <c r="E66" i="22"/>
  <c r="E58" i="22"/>
  <c r="E50" i="22"/>
  <c r="E42" i="22"/>
  <c r="E34" i="22"/>
  <c r="F30" i="35"/>
  <c r="D57" i="33"/>
  <c r="E21" i="32"/>
  <c r="H38" i="27"/>
  <c r="H6" i="27"/>
  <c r="J42" i="26"/>
  <c r="J34" i="26"/>
  <c r="J26" i="26"/>
  <c r="J18" i="26"/>
  <c r="J10" i="26"/>
  <c r="F887" i="25"/>
  <c r="D873" i="25"/>
  <c r="B859" i="25"/>
  <c r="I844" i="25"/>
  <c r="G830" i="25"/>
  <c r="E816" i="25"/>
  <c r="C802" i="25"/>
  <c r="A788" i="25"/>
  <c r="H773" i="25"/>
  <c r="F759" i="25"/>
  <c r="D745" i="25"/>
  <c r="B731" i="25"/>
  <c r="I716" i="25"/>
  <c r="G702" i="25"/>
  <c r="E688" i="25"/>
  <c r="C674" i="25"/>
  <c r="A660" i="25"/>
  <c r="H645" i="25"/>
  <c r="F631" i="25"/>
  <c r="D617" i="25"/>
  <c r="B603" i="25"/>
  <c r="F593" i="25"/>
  <c r="B584" i="25"/>
  <c r="G574" i="25"/>
  <c r="B565" i="25"/>
  <c r="G555" i="25"/>
  <c r="C546" i="25"/>
  <c r="G536" i="25"/>
  <c r="C527" i="25"/>
  <c r="H517" i="25"/>
  <c r="C508" i="25"/>
  <c r="H498" i="25"/>
  <c r="D489" i="25"/>
  <c r="H479" i="25"/>
  <c r="D470" i="25"/>
  <c r="I460" i="25"/>
  <c r="D451" i="25"/>
  <c r="I441" i="25"/>
  <c r="E432" i="25"/>
  <c r="I422" i="25"/>
  <c r="E413" i="25"/>
  <c r="A404" i="25"/>
  <c r="E394" i="25"/>
  <c r="A385" i="25"/>
  <c r="G376" i="25"/>
  <c r="F369" i="25"/>
  <c r="E362" i="25"/>
  <c r="D355" i="25"/>
  <c r="C348" i="25"/>
  <c r="B341" i="25"/>
  <c r="A334" i="25"/>
  <c r="I326" i="25"/>
  <c r="H319" i="25"/>
  <c r="G312" i="25"/>
  <c r="F305" i="25"/>
  <c r="E298" i="25"/>
  <c r="D291" i="25"/>
  <c r="C284" i="25"/>
  <c r="B277" i="25"/>
  <c r="A270" i="25"/>
  <c r="I262" i="25"/>
  <c r="H255" i="25"/>
  <c r="G248" i="25"/>
  <c r="F241" i="25"/>
  <c r="E234" i="25"/>
  <c r="D227" i="25"/>
  <c r="C220" i="25"/>
  <c r="B213" i="25"/>
  <c r="A206" i="25"/>
  <c r="I198" i="25"/>
  <c r="H191" i="25"/>
  <c r="G184" i="25"/>
  <c r="F177" i="25"/>
  <c r="E170" i="25"/>
  <c r="D163" i="25"/>
  <c r="C156" i="25"/>
  <c r="B149" i="25"/>
  <c r="A142" i="25"/>
  <c r="I134" i="25"/>
  <c r="H127" i="25"/>
  <c r="G120" i="25"/>
  <c r="F113" i="25"/>
  <c r="E106" i="25"/>
  <c r="D99" i="25"/>
  <c r="C92" i="25"/>
  <c r="B85" i="25"/>
  <c r="A78" i="25"/>
  <c r="I70" i="25"/>
  <c r="H63" i="25"/>
  <c r="G56" i="25"/>
  <c r="F49" i="25"/>
  <c r="E42" i="25"/>
  <c r="D35" i="25"/>
  <c r="C28" i="25"/>
  <c r="B21" i="25"/>
  <c r="A14" i="25"/>
  <c r="I6" i="25"/>
  <c r="A111" i="24"/>
  <c r="A103" i="24"/>
  <c r="A95" i="24"/>
  <c r="A87" i="24"/>
  <c r="A79" i="24"/>
  <c r="A71" i="24"/>
  <c r="A63" i="24"/>
  <c r="A55" i="24"/>
  <c r="A47" i="24"/>
  <c r="A39" i="24"/>
  <c r="A31" i="24"/>
  <c r="A23" i="24"/>
  <c r="A15" i="24"/>
  <c r="A7" i="24"/>
  <c r="A81" i="33"/>
  <c r="H1" i="30"/>
  <c r="J47" i="26"/>
  <c r="J31" i="26"/>
  <c r="J15" i="26"/>
  <c r="H882" i="25"/>
  <c r="D854" i="25"/>
  <c r="I825" i="25"/>
  <c r="E797" i="25"/>
  <c r="A769" i="25"/>
  <c r="F740" i="25"/>
  <c r="B712" i="25"/>
  <c r="G683" i="25"/>
  <c r="C655" i="25"/>
  <c r="H626" i="25"/>
  <c r="A600" i="25"/>
  <c r="A581" i="25"/>
  <c r="A562" i="25"/>
  <c r="B543" i="25"/>
  <c r="B524" i="25"/>
  <c r="B505" i="25"/>
  <c r="C486" i="25"/>
  <c r="C467" i="25"/>
  <c r="C448" i="25"/>
  <c r="D429" i="25"/>
  <c r="D410" i="25"/>
  <c r="D391" i="25"/>
  <c r="D374" i="25"/>
  <c r="B360" i="25"/>
  <c r="I345" i="25"/>
  <c r="G331" i="25"/>
  <c r="E317" i="25"/>
  <c r="C303" i="25"/>
  <c r="A289" i="25"/>
  <c r="H274" i="25"/>
  <c r="F260" i="25"/>
  <c r="D246" i="25"/>
  <c r="B232" i="25"/>
  <c r="I217" i="25"/>
  <c r="G203" i="25"/>
  <c r="E189" i="25"/>
  <c r="C175" i="25"/>
  <c r="A161" i="25"/>
  <c r="H146" i="25"/>
  <c r="F132" i="25"/>
  <c r="D118" i="25"/>
  <c r="B104" i="25"/>
  <c r="I89" i="25"/>
  <c r="G75" i="25"/>
  <c r="E61" i="25"/>
  <c r="C47" i="25"/>
  <c r="A33" i="25"/>
  <c r="H18" i="25"/>
  <c r="F4" i="25"/>
  <c r="H100" i="24"/>
  <c r="H84" i="24"/>
  <c r="H68" i="24"/>
  <c r="H52" i="24"/>
  <c r="H36" i="24"/>
  <c r="H20" i="24"/>
  <c r="H4" i="24"/>
  <c r="F217" i="23"/>
  <c r="A207" i="23"/>
  <c r="C196" i="23"/>
  <c r="F185" i="23"/>
  <c r="A175" i="23"/>
  <c r="C164" i="23"/>
  <c r="F153" i="23"/>
  <c r="A143" i="23"/>
  <c r="C132" i="23"/>
  <c r="F121" i="23"/>
  <c r="A111" i="23"/>
  <c r="C100" i="23"/>
  <c r="F89" i="23"/>
  <c r="A79" i="23"/>
  <c r="C68" i="23"/>
  <c r="F57" i="23"/>
  <c r="A47" i="23"/>
  <c r="C36" i="23"/>
  <c r="F25" i="23"/>
  <c r="A15" i="23"/>
  <c r="C4" i="23"/>
  <c r="D230" i="22"/>
  <c r="G219" i="22"/>
  <c r="B209" i="22"/>
  <c r="D198" i="22"/>
  <c r="G187" i="22"/>
  <c r="B177" i="22"/>
  <c r="D166" i="22"/>
  <c r="G155" i="22"/>
  <c r="B145" i="22"/>
  <c r="D134" i="22"/>
  <c r="G123" i="22"/>
  <c r="B113" i="22"/>
  <c r="D102" i="22"/>
  <c r="G91" i="22"/>
  <c r="B81" i="22"/>
  <c r="D70" i="22"/>
  <c r="G59" i="22"/>
  <c r="B49" i="22"/>
  <c r="D38" i="22"/>
  <c r="B28" i="22"/>
  <c r="B20" i="22"/>
  <c r="B12" i="22"/>
  <c r="B4" i="22"/>
  <c r="C6" i="21"/>
  <c r="D3" i="20"/>
  <c r="A280" i="19"/>
  <c r="A272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152" i="19"/>
  <c r="A144" i="19"/>
  <c r="A136" i="19"/>
  <c r="A128" i="19"/>
  <c r="A120" i="19"/>
  <c r="A112" i="19"/>
  <c r="A104" i="19"/>
  <c r="A96" i="19"/>
  <c r="A88" i="19"/>
  <c r="A80" i="19"/>
  <c r="A72" i="19"/>
  <c r="B9" i="35"/>
  <c r="A8" i="32"/>
  <c r="F48" i="26"/>
  <c r="E32" i="26"/>
  <c r="E16" i="26"/>
  <c r="B884" i="25"/>
  <c r="G855" i="25"/>
  <c r="C827" i="25"/>
  <c r="H798" i="25"/>
  <c r="D770" i="25"/>
  <c r="I741" i="25"/>
  <c r="E713" i="25"/>
  <c r="A685" i="25"/>
  <c r="F656" i="25"/>
  <c r="B628" i="25"/>
  <c r="I600" i="25"/>
  <c r="I581" i="25"/>
  <c r="I562" i="25"/>
  <c r="A544" i="25"/>
  <c r="A525" i="25"/>
  <c r="A506" i="25"/>
  <c r="B487" i="25"/>
  <c r="B468" i="25"/>
  <c r="B449" i="25"/>
  <c r="C430" i="25"/>
  <c r="C411" i="25"/>
  <c r="C392" i="25"/>
  <c r="A375" i="25"/>
  <c r="H360" i="25"/>
  <c r="F346" i="25"/>
  <c r="D332" i="25"/>
  <c r="B318" i="25"/>
  <c r="I303" i="25"/>
  <c r="G289" i="25"/>
  <c r="E275" i="25"/>
  <c r="C261" i="25"/>
  <c r="A247" i="25"/>
  <c r="H232" i="25"/>
  <c r="F218" i="25"/>
  <c r="D204" i="25"/>
  <c r="B190" i="25"/>
  <c r="I175" i="25"/>
  <c r="G161" i="25"/>
  <c r="E147" i="25"/>
  <c r="C133" i="25"/>
  <c r="A119" i="25"/>
  <c r="H104" i="25"/>
  <c r="F90" i="25"/>
  <c r="D76" i="25"/>
  <c r="B62" i="25"/>
  <c r="I47" i="25"/>
  <c r="G33" i="25"/>
  <c r="E19" i="25"/>
  <c r="C5" i="25"/>
  <c r="F101" i="24"/>
  <c r="F85" i="24"/>
  <c r="F69" i="24"/>
  <c r="F53" i="24"/>
  <c r="F37" i="24"/>
  <c r="F21" i="24"/>
  <c r="F5" i="24"/>
  <c r="G218" i="23"/>
  <c r="B208" i="23"/>
  <c r="E197" i="23"/>
  <c r="G186" i="23"/>
  <c r="B176" i="23"/>
  <c r="E165" i="23"/>
  <c r="G154" i="23"/>
  <c r="B144" i="23"/>
  <c r="E133" i="23"/>
  <c r="G122" i="23"/>
  <c r="B112" i="23"/>
  <c r="E101" i="23"/>
  <c r="G90" i="23"/>
  <c r="B80" i="23"/>
  <c r="E69" i="23"/>
  <c r="G58" i="23"/>
  <c r="B48" i="23"/>
  <c r="E37" i="23"/>
  <c r="G26" i="23"/>
  <c r="B16" i="23"/>
  <c r="E5" i="23"/>
  <c r="C232" i="22"/>
  <c r="F221" i="22"/>
  <c r="H210" i="22"/>
  <c r="C200" i="22"/>
  <c r="F189" i="22"/>
  <c r="H178" i="22"/>
  <c r="C168" i="22"/>
  <c r="F157" i="22"/>
  <c r="H146" i="22"/>
  <c r="C136" i="22"/>
  <c r="F125" i="22"/>
  <c r="H114" i="22"/>
  <c r="C104" i="22"/>
  <c r="F93" i="22"/>
  <c r="H82" i="22"/>
  <c r="C72" i="22"/>
  <c r="F61" i="22"/>
  <c r="H50" i="22"/>
  <c r="C40" i="22"/>
  <c r="F29" i="22"/>
  <c r="E21" i="22"/>
  <c r="E13" i="22"/>
  <c r="E5" i="22"/>
  <c r="F7" i="21"/>
  <c r="G4" i="20"/>
  <c r="H281" i="19"/>
  <c r="H273" i="19"/>
  <c r="H265" i="19"/>
  <c r="H257" i="19"/>
  <c r="H249" i="19"/>
  <c r="H241" i="19"/>
  <c r="H233" i="19"/>
  <c r="C123" i="45"/>
  <c r="B5" i="35"/>
  <c r="C33" i="32"/>
  <c r="C99" i="33"/>
  <c r="C28" i="35"/>
  <c r="I84" i="33"/>
  <c r="E104" i="33"/>
  <c r="G19" i="27"/>
  <c r="F35" i="27"/>
  <c r="N25" i="26"/>
  <c r="D872" i="25"/>
  <c r="E815" i="25"/>
  <c r="F758" i="25"/>
  <c r="G701" i="25"/>
  <c r="H644" i="25"/>
  <c r="I587" i="25"/>
  <c r="A531" i="25"/>
  <c r="B474" i="25"/>
  <c r="C417" i="25"/>
  <c r="D37" i="33"/>
  <c r="N40" i="26"/>
  <c r="N8" i="26"/>
  <c r="A842" i="25"/>
  <c r="B785" i="25"/>
  <c r="C728" i="25"/>
  <c r="D671" i="25"/>
  <c r="E614" i="25"/>
  <c r="H32" i="26"/>
  <c r="G826" i="25"/>
  <c r="I712" i="25"/>
  <c r="E600" i="25"/>
  <c r="E536" i="25"/>
  <c r="F495" i="25"/>
  <c r="F457" i="25"/>
  <c r="G419" i="25"/>
  <c r="H381" i="25"/>
  <c r="I352" i="25"/>
  <c r="E324" i="25"/>
  <c r="A296" i="25"/>
  <c r="F267" i="25"/>
  <c r="B239" i="25"/>
  <c r="G210" i="25"/>
  <c r="C182" i="25"/>
  <c r="H153" i="25"/>
  <c r="D125" i="25"/>
  <c r="I96" i="25"/>
  <c r="E68" i="25"/>
  <c r="A40" i="25"/>
  <c r="F11" i="25"/>
  <c r="G92" i="24"/>
  <c r="G60" i="24"/>
  <c r="G28" i="24"/>
  <c r="H221" i="23"/>
  <c r="H189" i="23"/>
  <c r="H157" i="23"/>
  <c r="H125" i="23"/>
  <c r="H93" i="23"/>
  <c r="H61" i="23"/>
  <c r="H29" i="23"/>
  <c r="E234" i="22"/>
  <c r="E202" i="22"/>
  <c r="E170" i="22"/>
  <c r="E138" i="22"/>
  <c r="E106" i="22"/>
  <c r="A90" i="22"/>
  <c r="A74" i="22"/>
  <c r="A58" i="22"/>
  <c r="A42" i="22"/>
  <c r="B19" i="35"/>
  <c r="H16" i="32"/>
  <c r="H4" i="27"/>
  <c r="B34" i="26"/>
  <c r="B18" i="26"/>
  <c r="G886" i="25"/>
  <c r="C858" i="25"/>
  <c r="H829" i="25"/>
  <c r="D801" i="25"/>
  <c r="I772" i="25"/>
  <c r="E744" i="25"/>
  <c r="A716" i="25"/>
  <c r="F687" i="25"/>
  <c r="B659" i="25"/>
  <c r="G630" i="25"/>
  <c r="E602" i="25"/>
  <c r="F583" i="25"/>
  <c r="F564" i="25"/>
  <c r="F545" i="25"/>
  <c r="G526" i="25"/>
  <c r="G507" i="25"/>
  <c r="G488" i="25"/>
  <c r="H469" i="25"/>
  <c r="H450" i="25"/>
  <c r="H431" i="25"/>
  <c r="I412" i="25"/>
  <c r="I393" i="25"/>
  <c r="C376" i="25"/>
  <c r="A362" i="25"/>
  <c r="H347" i="25"/>
  <c r="F333" i="25"/>
  <c r="D319" i="25"/>
  <c r="B305" i="25"/>
  <c r="I290" i="25"/>
  <c r="G276" i="25"/>
  <c r="E262" i="25"/>
  <c r="C248" i="25"/>
  <c r="A234" i="25"/>
  <c r="H219" i="25"/>
  <c r="F205" i="25"/>
  <c r="D191" i="25"/>
  <c r="B177" i="25"/>
  <c r="I162" i="25"/>
  <c r="G148" i="25"/>
  <c r="E134" i="25"/>
  <c r="C120" i="25"/>
  <c r="A106" i="25"/>
  <c r="H91" i="25"/>
  <c r="F77" i="25"/>
  <c r="D63" i="25"/>
  <c r="B49" i="25"/>
  <c r="I34" i="25"/>
  <c r="G20" i="25"/>
  <c r="E6" i="25"/>
  <c r="E102" i="24"/>
  <c r="E86" i="24"/>
  <c r="E70" i="24"/>
  <c r="E54" i="24"/>
  <c r="E38" i="24"/>
  <c r="E22" i="24"/>
  <c r="E6" i="24"/>
  <c r="A15" i="28"/>
  <c r="K30" i="26"/>
  <c r="A881" i="25"/>
  <c r="B824" i="25"/>
  <c r="C767" i="25"/>
  <c r="D710" i="25"/>
  <c r="E653" i="25"/>
  <c r="H598" i="25"/>
  <c r="I560" i="25"/>
  <c r="I522" i="25"/>
  <c r="A485" i="25"/>
  <c r="B447" i="25"/>
  <c r="B409" i="25"/>
  <c r="E373" i="25"/>
  <c r="A345" i="25"/>
  <c r="F316" i="25"/>
  <c r="B288" i="25"/>
  <c r="G259" i="25"/>
  <c r="C231" i="25"/>
  <c r="H202" i="25"/>
  <c r="D174" i="25"/>
  <c r="I145" i="25"/>
  <c r="E117" i="25"/>
  <c r="A89" i="25"/>
  <c r="F60" i="25"/>
  <c r="B32" i="25"/>
  <c r="H115" i="24"/>
  <c r="H83" i="24"/>
  <c r="H51" i="24"/>
  <c r="H19" i="24"/>
  <c r="A217" i="23"/>
  <c r="F195" i="23"/>
  <c r="C174" i="23"/>
  <c r="A153" i="23"/>
  <c r="F131" i="23"/>
  <c r="C110" i="23"/>
  <c r="A89" i="23"/>
  <c r="F67" i="23"/>
  <c r="C46" i="23"/>
  <c r="A25" i="23"/>
  <c r="F3" i="23"/>
  <c r="B219" i="22"/>
  <c r="G197" i="22"/>
  <c r="D176" i="22"/>
  <c r="B155" i="22"/>
  <c r="G133" i="22"/>
  <c r="D112" i="22"/>
  <c r="B91" i="22"/>
  <c r="G69" i="22"/>
  <c r="D48" i="22"/>
  <c r="F27" i="22"/>
  <c r="F11" i="22"/>
  <c r="G5" i="21"/>
  <c r="E279" i="19"/>
  <c r="E263" i="19"/>
  <c r="E247" i="19"/>
  <c r="E231" i="19"/>
  <c r="E215" i="19"/>
  <c r="E199" i="19"/>
  <c r="E183" i="19"/>
  <c r="E167" i="19"/>
  <c r="E151" i="19"/>
  <c r="E135" i="19"/>
  <c r="E119" i="19"/>
  <c r="E103" i="19"/>
  <c r="E87" i="19"/>
  <c r="E71" i="19"/>
  <c r="E7" i="31"/>
  <c r="F31" i="26"/>
  <c r="D882" i="25"/>
  <c r="E825" i="25"/>
  <c r="F768" i="25"/>
  <c r="G711" i="25"/>
  <c r="H654" i="25"/>
  <c r="G599" i="25"/>
  <c r="H561" i="25"/>
  <c r="H523" i="25"/>
  <c r="I485" i="25"/>
  <c r="A448" i="25"/>
  <c r="A410" i="25"/>
  <c r="B374" i="25"/>
  <c r="G345" i="25"/>
  <c r="C317" i="25"/>
  <c r="H288" i="25"/>
  <c r="D260" i="25"/>
  <c r="I231" i="25"/>
  <c r="E203" i="25"/>
  <c r="A175" i="25"/>
  <c r="F146" i="25"/>
  <c r="B118" i="25"/>
  <c r="G89" i="25"/>
  <c r="C61" i="25"/>
  <c r="H32" i="25"/>
  <c r="D4" i="25"/>
  <c r="F84" i="24"/>
  <c r="F52" i="24"/>
  <c r="F20" i="24"/>
  <c r="B218" i="23"/>
  <c r="G196" i="23"/>
  <c r="E175" i="23"/>
  <c r="B154" i="23"/>
  <c r="G132" i="23"/>
  <c r="E111" i="23"/>
  <c r="B90" i="23"/>
  <c r="G68" i="23"/>
  <c r="E47" i="23"/>
  <c r="B26" i="23"/>
  <c r="G4" i="23"/>
  <c r="H220" i="22"/>
  <c r="F199" i="22"/>
  <c r="C178" i="22"/>
  <c r="H156" i="22"/>
  <c r="F135" i="22"/>
  <c r="C114" i="22"/>
  <c r="H92" i="22"/>
  <c r="F71" i="22"/>
  <c r="C50" i="22"/>
  <c r="A29" i="22"/>
  <c r="A13" i="22"/>
  <c r="B7" i="21"/>
  <c r="D281" i="19"/>
  <c r="D265" i="19"/>
  <c r="D249" i="19"/>
  <c r="D233" i="19"/>
  <c r="H222" i="19"/>
  <c r="H211" i="19"/>
  <c r="D201" i="19"/>
  <c r="H190" i="19"/>
  <c r="H181" i="19"/>
  <c r="H173" i="19"/>
  <c r="H165" i="19"/>
  <c r="H157" i="19"/>
  <c r="H149" i="19"/>
  <c r="H141" i="19"/>
  <c r="H133" i="19"/>
  <c r="H125" i="19"/>
  <c r="H117" i="19"/>
  <c r="H109" i="19"/>
  <c r="H101" i="19"/>
  <c r="H93" i="19"/>
  <c r="H85" i="19"/>
  <c r="H77" i="19"/>
  <c r="H69" i="19"/>
  <c r="H61" i="19"/>
  <c r="H53" i="19"/>
  <c r="H45" i="19"/>
  <c r="H37" i="19"/>
  <c r="H29" i="19"/>
  <c r="A60" i="33"/>
  <c r="I40" i="26"/>
  <c r="E205" i="45"/>
  <c r="D25" i="45"/>
  <c r="F4" i="43"/>
  <c r="H10" i="31"/>
  <c r="B73" i="33"/>
  <c r="E98" i="33"/>
  <c r="C50" i="33"/>
  <c r="H69" i="33"/>
  <c r="C8" i="27"/>
  <c r="F18" i="27"/>
  <c r="J21" i="26"/>
  <c r="H864" i="25"/>
  <c r="I807" i="25"/>
  <c r="A751" i="25"/>
  <c r="B694" i="25"/>
  <c r="C637" i="25"/>
  <c r="D580" i="25"/>
  <c r="E523" i="25"/>
  <c r="F466" i="25"/>
  <c r="G409" i="25"/>
  <c r="F34" i="32"/>
  <c r="J36" i="26"/>
  <c r="D891" i="25"/>
  <c r="E834" i="25"/>
  <c r="F777" i="25"/>
  <c r="G720" i="25"/>
  <c r="H663" i="25"/>
  <c r="I606" i="25"/>
  <c r="I23" i="26"/>
  <c r="F811" i="25"/>
  <c r="H697" i="25"/>
  <c r="D590" i="25"/>
  <c r="D529" i="25"/>
  <c r="C490" i="25"/>
  <c r="C452" i="25"/>
  <c r="D414" i="25"/>
  <c r="D377" i="25"/>
  <c r="I348" i="25"/>
  <c r="E320" i="25"/>
  <c r="A292" i="25"/>
  <c r="F263" i="25"/>
  <c r="B235" i="25"/>
  <c r="G206" i="25"/>
  <c r="C178" i="25"/>
  <c r="H149" i="25"/>
  <c r="D121" i="25"/>
  <c r="I92" i="25"/>
  <c r="E64" i="25"/>
  <c r="A36" i="25"/>
  <c r="F7" i="25"/>
  <c r="C88" i="24"/>
  <c r="C56" i="24"/>
  <c r="C24" i="24"/>
  <c r="D217" i="23"/>
  <c r="D185" i="23"/>
  <c r="D153" i="23"/>
  <c r="D121" i="23"/>
  <c r="D89" i="23"/>
  <c r="D57" i="23"/>
  <c r="D25" i="23"/>
  <c r="A230" i="22"/>
  <c r="A198" i="22"/>
  <c r="A166" i="22"/>
  <c r="A134" i="22"/>
  <c r="E103" i="22"/>
  <c r="E87" i="22"/>
  <c r="E71" i="22"/>
  <c r="E55" i="22"/>
  <c r="E39" i="22"/>
  <c r="F99" i="33"/>
  <c r="A7" i="31"/>
  <c r="M47" i="26"/>
  <c r="M31" i="26"/>
  <c r="M15" i="26"/>
  <c r="C882" i="25"/>
  <c r="H853" i="25"/>
  <c r="D825" i="25"/>
  <c r="I796" i="25"/>
  <c r="E768" i="25"/>
  <c r="A740" i="25"/>
  <c r="F711" i="25"/>
  <c r="B683" i="25"/>
  <c r="G654" i="25"/>
  <c r="C626" i="25"/>
  <c r="F599" i="25"/>
  <c r="F580" i="25"/>
  <c r="F561" i="25"/>
  <c r="G542" i="25"/>
  <c r="G523" i="25"/>
  <c r="G504" i="25"/>
  <c r="H485" i="25"/>
  <c r="H466" i="25"/>
  <c r="H447" i="25"/>
  <c r="I428" i="25"/>
  <c r="I409" i="25"/>
  <c r="I390" i="25"/>
  <c r="A374" i="25"/>
  <c r="H359" i="25"/>
  <c r="F345" i="25"/>
  <c r="D331" i="25"/>
  <c r="B317" i="25"/>
  <c r="I302" i="25"/>
  <c r="G288" i="25"/>
  <c r="E274" i="25"/>
  <c r="C260" i="25"/>
  <c r="A246" i="25"/>
  <c r="H231" i="25"/>
  <c r="F217" i="25"/>
  <c r="D203" i="25"/>
  <c r="B189" i="25"/>
  <c r="I174" i="25"/>
  <c r="G160" i="25"/>
  <c r="E146" i="25"/>
  <c r="C132" i="25"/>
  <c r="A118" i="25"/>
  <c r="H103" i="25"/>
  <c r="F89" i="25"/>
  <c r="D75" i="25"/>
  <c r="B61" i="25"/>
  <c r="I46" i="25"/>
  <c r="G32" i="25"/>
  <c r="E18" i="25"/>
  <c r="C4" i="25"/>
  <c r="A100" i="24"/>
  <c r="A84" i="24"/>
  <c r="A68" i="24"/>
  <c r="A52" i="24"/>
  <c r="A36" i="24"/>
  <c r="A20" i="24"/>
  <c r="A4" i="24"/>
  <c r="B34" i="27"/>
  <c r="P25" i="26"/>
  <c r="B872" i="25"/>
  <c r="C815" i="25"/>
  <c r="D758" i="25"/>
  <c r="E701" i="25"/>
  <c r="F644" i="25"/>
  <c r="I592" i="25"/>
  <c r="I554" i="25"/>
  <c r="A517" i="25"/>
  <c r="B479" i="25"/>
  <c r="B441" i="25"/>
  <c r="C403" i="25"/>
  <c r="A369" i="25"/>
  <c r="F340" i="25"/>
  <c r="B312" i="25"/>
  <c r="G283" i="25"/>
  <c r="C255" i="25"/>
  <c r="H226" i="25"/>
  <c r="D198" i="25"/>
  <c r="I169" i="25"/>
  <c r="E141" i="25"/>
  <c r="A113" i="25"/>
  <c r="F84" i="25"/>
  <c r="B56" i="25"/>
  <c r="G27" i="25"/>
  <c r="H110" i="24"/>
  <c r="H78" i="24"/>
  <c r="H46" i="24"/>
  <c r="H14" i="24"/>
  <c r="F213" i="23"/>
  <c r="C192" i="23"/>
  <c r="A171" i="23"/>
  <c r="F149" i="23"/>
  <c r="C128" i="23"/>
  <c r="A107" i="23"/>
  <c r="F85" i="23"/>
  <c r="C64" i="23"/>
  <c r="A43" i="23"/>
  <c r="F21" i="23"/>
  <c r="B237" i="22"/>
  <c r="G215" i="22"/>
  <c r="D194" i="22"/>
  <c r="B173" i="22"/>
  <c r="G151" i="22"/>
  <c r="D130" i="22"/>
  <c r="B109" i="22"/>
  <c r="G87" i="22"/>
  <c r="A89" i="33"/>
  <c r="C35" i="26"/>
  <c r="H852" i="25"/>
  <c r="H37" i="27"/>
  <c r="D165" i="25"/>
  <c r="H10" i="23"/>
  <c r="A21" i="37"/>
  <c r="G649" i="25"/>
  <c r="I846" i="25"/>
  <c r="I608" i="25"/>
  <c r="B413" i="25"/>
  <c r="B291" i="25"/>
  <c r="D177" i="25"/>
  <c r="F63" i="25"/>
  <c r="C55" i="24"/>
  <c r="D152" i="23"/>
  <c r="D24" i="23"/>
  <c r="A133" i="22"/>
  <c r="D32" i="32"/>
  <c r="I683" i="25"/>
  <c r="B881" i="25"/>
  <c r="D677" i="25"/>
  <c r="F315" i="25"/>
  <c r="A88" i="25"/>
  <c r="H179" i="23"/>
  <c r="E160" i="22"/>
  <c r="C95" i="33"/>
  <c r="E15" i="26"/>
  <c r="A796" i="25"/>
  <c r="C682" i="25"/>
  <c r="A580" i="25"/>
  <c r="B504" i="25"/>
  <c r="C428" i="25"/>
  <c r="D359" i="25"/>
  <c r="E302" i="25"/>
  <c r="F245" i="25"/>
  <c r="G188" i="25"/>
  <c r="E142" i="25"/>
  <c r="A114" i="25"/>
  <c r="F85" i="25"/>
  <c r="B57" i="25"/>
  <c r="G28" i="25"/>
  <c r="E111" i="24"/>
  <c r="E79" i="24"/>
  <c r="E47" i="24"/>
  <c r="E15" i="24"/>
  <c r="J48" i="26"/>
  <c r="B856" i="25"/>
  <c r="D742" i="25"/>
  <c r="F628" i="25"/>
  <c r="C544" i="25"/>
  <c r="E468" i="25"/>
  <c r="F392" i="25"/>
  <c r="F332" i="25"/>
  <c r="G275" i="25"/>
  <c r="H218" i="25"/>
  <c r="I161" i="25"/>
  <c r="A105" i="25"/>
  <c r="B48" i="25"/>
  <c r="H101" i="24"/>
  <c r="H37" i="24"/>
  <c r="F207" i="23"/>
  <c r="A165" i="23"/>
  <c r="C122" i="23"/>
  <c r="F79" i="23"/>
  <c r="A37" i="23"/>
  <c r="B231" i="22"/>
  <c r="D188" i="22"/>
  <c r="G145" i="22"/>
  <c r="B103" i="22"/>
  <c r="D60" i="22"/>
  <c r="F20" i="22"/>
  <c r="H3" i="20"/>
  <c r="E256" i="19"/>
  <c r="E224" i="19"/>
  <c r="E192" i="19"/>
  <c r="E160" i="19"/>
  <c r="E128" i="19"/>
  <c r="E96" i="19"/>
  <c r="H25" i="36"/>
  <c r="D17" i="26"/>
  <c r="F800" i="25"/>
  <c r="H686" i="25"/>
  <c r="B583" i="25"/>
  <c r="C507" i="25"/>
  <c r="D431" i="25"/>
  <c r="G361" i="25"/>
  <c r="H304" i="25"/>
  <c r="I247" i="25"/>
  <c r="A191" i="25"/>
  <c r="B134" i="25"/>
  <c r="C77" i="25"/>
  <c r="D20" i="25"/>
  <c r="F70" i="24"/>
  <c r="F6" i="24"/>
  <c r="E187" i="23"/>
  <c r="G144" i="23"/>
  <c r="B102" i="23"/>
  <c r="E59" i="23"/>
  <c r="G16" i="23"/>
  <c r="F211" i="22"/>
  <c r="H168" i="22"/>
  <c r="C126" i="22"/>
  <c r="F83" i="22"/>
  <c r="H40" i="22"/>
  <c r="A6" i="22"/>
  <c r="D274" i="19"/>
  <c r="D242" i="19"/>
  <c r="D210" i="19"/>
  <c r="F161" i="45"/>
  <c r="E99" i="33"/>
  <c r="E24" i="32"/>
  <c r="H5" i="28"/>
  <c r="C27" i="33"/>
  <c r="L7" i="26"/>
  <c r="A783" i="25"/>
  <c r="C669" i="25"/>
  <c r="E555" i="25"/>
  <c r="G441" i="25"/>
  <c r="D22" i="27"/>
  <c r="E866" i="25"/>
  <c r="G752" i="25"/>
  <c r="I638" i="25"/>
  <c r="G4" i="28"/>
  <c r="F875" i="25"/>
  <c r="H761" i="25"/>
  <c r="A648" i="25"/>
  <c r="H557" i="25"/>
  <c r="F511" i="25"/>
  <c r="F473" i="25"/>
  <c r="G435" i="25"/>
  <c r="H397" i="25"/>
  <c r="I364" i="25"/>
  <c r="G350" i="25"/>
  <c r="E336" i="25"/>
  <c r="C322" i="25"/>
  <c r="A308" i="25"/>
  <c r="H293" i="25"/>
  <c r="F279" i="25"/>
  <c r="D265" i="25"/>
  <c r="B251" i="25"/>
  <c r="I236" i="25"/>
  <c r="G222" i="25"/>
  <c r="E208" i="25"/>
  <c r="C194" i="25"/>
  <c r="A180" i="25"/>
  <c r="H165" i="25"/>
  <c r="F151" i="25"/>
  <c r="D137" i="25"/>
  <c r="B123" i="25"/>
  <c r="I108" i="25"/>
  <c r="G94" i="25"/>
  <c r="E80" i="25"/>
  <c r="C66" i="25"/>
  <c r="A52" i="25"/>
  <c r="H37" i="25"/>
  <c r="F23" i="25"/>
  <c r="D9" i="25"/>
  <c r="C106" i="24"/>
  <c r="C90" i="24"/>
  <c r="C74" i="24"/>
  <c r="C58" i="24"/>
  <c r="C42" i="24"/>
  <c r="C26" i="24"/>
  <c r="C10" i="24"/>
  <c r="D219" i="23"/>
  <c r="D203" i="23"/>
  <c r="D187" i="23"/>
  <c r="D171" i="23"/>
  <c r="D155" i="23"/>
  <c r="D139" i="23"/>
  <c r="D123" i="23"/>
  <c r="D107" i="23"/>
  <c r="D91" i="23"/>
  <c r="D75" i="23"/>
  <c r="D59" i="23"/>
  <c r="D43" i="23"/>
  <c r="D27" i="23"/>
  <c r="D11" i="23"/>
  <c r="A232" i="22"/>
  <c r="A216" i="22"/>
  <c r="A200" i="22"/>
  <c r="A184" i="22"/>
  <c r="A168" i="22"/>
  <c r="A152" i="22"/>
  <c r="A136" i="22"/>
  <c r="A120" i="22"/>
  <c r="E104" i="22"/>
  <c r="E96" i="22"/>
  <c r="E88" i="22"/>
  <c r="E80" i="22"/>
  <c r="E72" i="22"/>
  <c r="E64" i="22"/>
  <c r="E56" i="22"/>
  <c r="E48" i="22"/>
  <c r="E40" i="22"/>
  <c r="E32" i="22"/>
  <c r="H107" i="33"/>
  <c r="E40" i="33"/>
  <c r="F2" i="32"/>
  <c r="H30" i="27"/>
  <c r="M48" i="26"/>
  <c r="L40" i="26"/>
  <c r="L32" i="26"/>
  <c r="L24" i="26"/>
  <c r="L16" i="26"/>
  <c r="L8" i="26"/>
  <c r="A884" i="25"/>
  <c r="H869" i="25"/>
  <c r="F855" i="25"/>
  <c r="D841" i="25"/>
  <c r="B827" i="25"/>
  <c r="I812" i="25"/>
  <c r="G798" i="25"/>
  <c r="E784" i="25"/>
  <c r="C770" i="25"/>
  <c r="A756" i="25"/>
  <c r="H741" i="25"/>
  <c r="F727" i="25"/>
  <c r="D713" i="25"/>
  <c r="B699" i="25"/>
  <c r="I684" i="25"/>
  <c r="G670" i="25"/>
  <c r="E656" i="25"/>
  <c r="C642" i="25"/>
  <c r="A628" i="25"/>
  <c r="H613" i="25"/>
  <c r="G600" i="25"/>
  <c r="C591" i="25"/>
  <c r="H581" i="25"/>
  <c r="C572" i="25"/>
  <c r="H562" i="25"/>
  <c r="D553" i="25"/>
  <c r="H543" i="25"/>
  <c r="D534" i="25"/>
  <c r="I524" i="25"/>
  <c r="D515" i="25"/>
  <c r="I505" i="25"/>
  <c r="E496" i="25"/>
  <c r="I486" i="25"/>
  <c r="E477" i="25"/>
  <c r="A468" i="25"/>
  <c r="E458" i="25"/>
  <c r="A449" i="25"/>
  <c r="F439" i="25"/>
  <c r="A430" i="25"/>
  <c r="F420" i="25"/>
  <c r="B411" i="25"/>
  <c r="F401" i="25"/>
  <c r="B392" i="25"/>
  <c r="G382" i="25"/>
  <c r="I374" i="25"/>
  <c r="H367" i="25"/>
  <c r="G360" i="25"/>
  <c r="F353" i="25"/>
  <c r="E346" i="25"/>
  <c r="D339" i="25"/>
  <c r="C332" i="25"/>
  <c r="B325" i="25"/>
  <c r="A318" i="25"/>
  <c r="I310" i="25"/>
  <c r="H303" i="25"/>
  <c r="G296" i="25"/>
  <c r="F289" i="25"/>
  <c r="E282" i="25"/>
  <c r="D275" i="25"/>
  <c r="C268" i="25"/>
  <c r="B261" i="25"/>
  <c r="A254" i="25"/>
  <c r="I246" i="25"/>
  <c r="H239" i="25"/>
  <c r="G232" i="25"/>
  <c r="F225" i="25"/>
  <c r="E218" i="25"/>
  <c r="D211" i="25"/>
  <c r="C204" i="25"/>
  <c r="B197" i="25"/>
  <c r="A190" i="25"/>
  <c r="I182" i="25"/>
  <c r="H175" i="25"/>
  <c r="G168" i="25"/>
  <c r="F161" i="25"/>
  <c r="E154" i="25"/>
  <c r="D147" i="25"/>
  <c r="C140" i="25"/>
  <c r="B133" i="25"/>
  <c r="A126" i="25"/>
  <c r="I118" i="25"/>
  <c r="H111" i="25"/>
  <c r="G104" i="25"/>
  <c r="F97" i="25"/>
  <c r="E90" i="25"/>
  <c r="D83" i="25"/>
  <c r="C76" i="25"/>
  <c r="B69" i="25"/>
  <c r="A62" i="25"/>
  <c r="I54" i="25"/>
  <c r="H47" i="25"/>
  <c r="G40" i="25"/>
  <c r="F33" i="25"/>
  <c r="E26" i="25"/>
  <c r="D19" i="25"/>
  <c r="C12" i="25"/>
  <c r="B5" i="25"/>
  <c r="A109" i="24"/>
  <c r="A101" i="24"/>
  <c r="A93" i="24"/>
  <c r="A85" i="24"/>
  <c r="A77" i="24"/>
  <c r="A69" i="24"/>
  <c r="A61" i="24"/>
  <c r="A53" i="24"/>
  <c r="A45" i="24"/>
  <c r="A37" i="24"/>
  <c r="A29" i="24"/>
  <c r="A21" i="24"/>
  <c r="A13" i="24"/>
  <c r="A5" i="24"/>
  <c r="D47" i="33"/>
  <c r="A3" i="28"/>
  <c r="N43" i="26"/>
  <c r="N27" i="26"/>
  <c r="N11" i="26"/>
  <c r="G875" i="25"/>
  <c r="C847" i="25"/>
  <c r="H818" i="25"/>
  <c r="D790" i="25"/>
  <c r="I761" i="25"/>
  <c r="E733" i="25"/>
  <c r="A705" i="25"/>
  <c r="F676" i="25"/>
  <c r="B648" i="25"/>
  <c r="G619" i="25"/>
  <c r="C595" i="25"/>
  <c r="C576" i="25"/>
  <c r="D557" i="25"/>
  <c r="D538" i="25"/>
  <c r="D519" i="25"/>
  <c r="E500" i="25"/>
  <c r="E481" i="25"/>
  <c r="E462" i="25"/>
  <c r="F443" i="25"/>
  <c r="F424" i="25"/>
  <c r="F405" i="25"/>
  <c r="G386" i="25"/>
  <c r="H370" i="25"/>
  <c r="F356" i="25"/>
  <c r="D342" i="25"/>
  <c r="B328" i="25"/>
  <c r="I313" i="25"/>
  <c r="G299" i="25"/>
  <c r="E285" i="25"/>
  <c r="C271" i="25"/>
  <c r="A257" i="25"/>
  <c r="H242" i="25"/>
  <c r="F228" i="25"/>
  <c r="D214" i="25"/>
  <c r="B200" i="25"/>
  <c r="I185" i="25"/>
  <c r="G171" i="25"/>
  <c r="E157" i="25"/>
  <c r="C143" i="25"/>
  <c r="A129" i="25"/>
  <c r="H114" i="25"/>
  <c r="F100" i="25"/>
  <c r="D86" i="25"/>
  <c r="B72" i="25"/>
  <c r="I57" i="25"/>
  <c r="G43" i="25"/>
  <c r="E29" i="25"/>
  <c r="C15" i="25"/>
  <c r="H112" i="24"/>
  <c r="H96" i="24"/>
  <c r="H80" i="24"/>
  <c r="H64" i="24"/>
  <c r="H48" i="24"/>
  <c r="H32" i="24"/>
  <c r="H16" i="24"/>
  <c r="F225" i="23"/>
  <c r="A215" i="23"/>
  <c r="C204" i="23"/>
  <c r="F193" i="23"/>
  <c r="A183" i="23"/>
  <c r="C172" i="23"/>
  <c r="F161" i="23"/>
  <c r="A151" i="23"/>
  <c r="C140" i="23"/>
  <c r="F129" i="23"/>
  <c r="A119" i="23"/>
  <c r="C108" i="23"/>
  <c r="F97" i="23"/>
  <c r="A87" i="23"/>
  <c r="C76" i="23"/>
  <c r="F65" i="23"/>
  <c r="A55" i="23"/>
  <c r="C44" i="23"/>
  <c r="F33" i="23"/>
  <c r="A23" i="23"/>
  <c r="C12" i="23"/>
  <c r="D1" i="23"/>
  <c r="G227" i="22"/>
  <c r="B217" i="22"/>
  <c r="D206" i="22"/>
  <c r="G195" i="22"/>
  <c r="B185" i="22"/>
  <c r="D174" i="22"/>
  <c r="G163" i="22"/>
  <c r="B153" i="22"/>
  <c r="D142" i="22"/>
  <c r="G131" i="22"/>
  <c r="B121" i="22"/>
  <c r="D110" i="22"/>
  <c r="G99" i="22"/>
  <c r="B89" i="22"/>
  <c r="D78" i="22"/>
  <c r="G67" i="22"/>
  <c r="B57" i="22"/>
  <c r="D46" i="22"/>
  <c r="G35" i="22"/>
  <c r="B26" i="22"/>
  <c r="B18" i="22"/>
  <c r="B10" i="22"/>
  <c r="B2" i="22"/>
  <c r="C4" i="21"/>
  <c r="A1" i="20"/>
  <c r="A278" i="19"/>
  <c r="A270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150" i="19"/>
  <c r="A142" i="19"/>
  <c r="A134" i="19"/>
  <c r="A126" i="19"/>
  <c r="A118" i="19"/>
  <c r="A110" i="19"/>
  <c r="A102" i="19"/>
  <c r="A94" i="19"/>
  <c r="A86" i="19"/>
  <c r="A78" i="19"/>
  <c r="A70" i="19"/>
  <c r="I78" i="33"/>
  <c r="A6" i="28"/>
  <c r="I44" i="26"/>
  <c r="I28" i="26"/>
  <c r="I12" i="26"/>
  <c r="A877" i="25"/>
  <c r="F848" i="25"/>
  <c r="B820" i="25"/>
  <c r="G791" i="25"/>
  <c r="C763" i="25"/>
  <c r="H734" i="25"/>
  <c r="D706" i="25"/>
  <c r="I677" i="25"/>
  <c r="E649" i="25"/>
  <c r="A621" i="25"/>
  <c r="B596" i="25"/>
  <c r="B577" i="25"/>
  <c r="C558" i="25"/>
  <c r="C539" i="25"/>
  <c r="C520" i="25"/>
  <c r="D501" i="25"/>
  <c r="D482" i="25"/>
  <c r="D463" i="25"/>
  <c r="E444" i="25"/>
  <c r="E425" i="25"/>
  <c r="E406" i="25"/>
  <c r="F387" i="25"/>
  <c r="E371" i="25"/>
  <c r="C357" i="25"/>
  <c r="A343" i="25"/>
  <c r="H328" i="25"/>
  <c r="F314" i="25"/>
  <c r="D300" i="25"/>
  <c r="B286" i="25"/>
  <c r="I271" i="25"/>
  <c r="G257" i="25"/>
  <c r="E243" i="25"/>
  <c r="C229" i="25"/>
  <c r="A215" i="25"/>
  <c r="H200" i="25"/>
  <c r="F186" i="25"/>
  <c r="D172" i="25"/>
  <c r="B158" i="25"/>
  <c r="I143" i="25"/>
  <c r="G129" i="25"/>
  <c r="E115" i="25"/>
  <c r="C101" i="25"/>
  <c r="A87" i="25"/>
  <c r="H72" i="25"/>
  <c r="F58" i="25"/>
  <c r="D44" i="25"/>
  <c r="B30" i="25"/>
  <c r="I15" i="25"/>
  <c r="F113" i="24"/>
  <c r="F97" i="24"/>
  <c r="F81" i="24"/>
  <c r="F65" i="24"/>
  <c r="F49" i="24"/>
  <c r="F33" i="24"/>
  <c r="F17" i="24"/>
  <c r="G1" i="24"/>
  <c r="B216" i="23"/>
  <c r="E205" i="23"/>
  <c r="G194" i="23"/>
  <c r="B184" i="23"/>
  <c r="E173" i="23"/>
  <c r="G162" i="23"/>
  <c r="B152" i="23"/>
  <c r="E141" i="23"/>
  <c r="G130" i="23"/>
  <c r="B120" i="23"/>
  <c r="E109" i="23"/>
  <c r="G98" i="23"/>
  <c r="B88" i="23"/>
  <c r="E77" i="23"/>
  <c r="G66" i="23"/>
  <c r="B56" i="23"/>
  <c r="E45" i="23"/>
  <c r="G34" i="23"/>
  <c r="B24" i="23"/>
  <c r="E13" i="23"/>
  <c r="G2" i="23"/>
  <c r="F229" i="22"/>
  <c r="H218" i="22"/>
  <c r="C208" i="22"/>
  <c r="F197" i="22"/>
  <c r="H186" i="22"/>
  <c r="C176" i="22"/>
  <c r="F165" i="22"/>
  <c r="H154" i="22"/>
  <c r="C144" i="22"/>
  <c r="F133" i="22"/>
  <c r="H122" i="22"/>
  <c r="C112" i="22"/>
  <c r="F101" i="22"/>
  <c r="H90" i="22"/>
  <c r="C80" i="22"/>
  <c r="F69" i="22"/>
  <c r="H58" i="22"/>
  <c r="C48" i="22"/>
  <c r="F37" i="22"/>
  <c r="E27" i="22"/>
  <c r="E19" i="22"/>
  <c r="E11" i="22"/>
  <c r="E3" i="22"/>
  <c r="F5" i="21"/>
  <c r="G2" i="20"/>
  <c r="H279" i="19"/>
  <c r="H271" i="19"/>
  <c r="H263" i="19"/>
  <c r="H255" i="19"/>
  <c r="H247" i="19"/>
  <c r="H239" i="19"/>
  <c r="H131" i="45"/>
  <c r="E26" i="38"/>
  <c r="G34" i="45"/>
  <c r="D34" i="38"/>
  <c r="C48" i="33"/>
  <c r="A74" i="33"/>
  <c r="F17" i="33"/>
  <c r="B37" i="33"/>
  <c r="H17" i="35"/>
  <c r="F3" i="27"/>
  <c r="N17" i="26"/>
  <c r="B858" i="25"/>
  <c r="C801" i="25"/>
  <c r="D744" i="25"/>
  <c r="E687" i="25"/>
  <c r="F630" i="25"/>
  <c r="G573" i="25"/>
  <c r="H516" i="25"/>
  <c r="I459" i="25"/>
  <c r="A403" i="25"/>
  <c r="F9" i="31"/>
  <c r="N32" i="26"/>
  <c r="G884" i="25"/>
  <c r="H827" i="25"/>
  <c r="I770" i="25"/>
  <c r="A714" i="25"/>
  <c r="B657" i="25"/>
  <c r="E101" i="33"/>
  <c r="H16" i="26"/>
  <c r="C798" i="25"/>
  <c r="E684" i="25"/>
  <c r="E581" i="25"/>
  <c r="A524" i="25"/>
  <c r="A486" i="25"/>
  <c r="B448" i="25"/>
  <c r="C410" i="25"/>
  <c r="C374" i="25"/>
  <c r="H345" i="25"/>
  <c r="D317" i="25"/>
  <c r="I288" i="25"/>
  <c r="E260" i="25"/>
  <c r="A232" i="25"/>
  <c r="F203" i="25"/>
  <c r="B175" i="25"/>
  <c r="G146" i="25"/>
  <c r="C118" i="25"/>
  <c r="H89" i="25"/>
  <c r="D61" i="25"/>
  <c r="I32" i="25"/>
  <c r="E4" i="25"/>
  <c r="G84" i="24"/>
  <c r="G52" i="24"/>
  <c r="G20" i="24"/>
  <c r="H213" i="23"/>
  <c r="H181" i="23"/>
  <c r="H149" i="23"/>
  <c r="H117" i="23"/>
  <c r="H85" i="23"/>
  <c r="H53" i="23"/>
  <c r="H21" i="23"/>
  <c r="E226" i="22"/>
  <c r="E194" i="22"/>
  <c r="E162" i="22"/>
  <c r="E130" i="22"/>
  <c r="A102" i="22"/>
  <c r="A86" i="22"/>
  <c r="A70" i="22"/>
  <c r="A54" i="22"/>
  <c r="A38" i="22"/>
  <c r="I86" i="33"/>
  <c r="G15" i="28"/>
  <c r="F46" i="26"/>
  <c r="F30" i="26"/>
  <c r="F14" i="26"/>
  <c r="F879" i="25"/>
  <c r="B851" i="25"/>
  <c r="G822" i="25"/>
  <c r="C794" i="25"/>
  <c r="H765" i="25"/>
  <c r="D737" i="25"/>
  <c r="I708" i="25"/>
  <c r="E680" i="25"/>
  <c r="A652" i="25"/>
  <c r="F623" i="25"/>
  <c r="H597" i="25"/>
  <c r="H578" i="25"/>
  <c r="H559" i="25"/>
  <c r="I540" i="25"/>
  <c r="I521" i="25"/>
  <c r="I502" i="25"/>
  <c r="A484" i="25"/>
  <c r="A465" i="25"/>
  <c r="A446" i="25"/>
  <c r="B427" i="25"/>
  <c r="B408" i="25"/>
  <c r="B389" i="25"/>
  <c r="G372" i="25"/>
  <c r="E358" i="25"/>
  <c r="C344" i="25"/>
  <c r="A330" i="25"/>
  <c r="H315" i="25"/>
  <c r="F301" i="25"/>
  <c r="D287" i="25"/>
  <c r="B273" i="25"/>
  <c r="I258" i="25"/>
  <c r="G244" i="25"/>
  <c r="E230" i="25"/>
  <c r="C216" i="25"/>
  <c r="A202" i="25"/>
  <c r="H187" i="25"/>
  <c r="F173" i="25"/>
  <c r="D159" i="25"/>
  <c r="B145" i="25"/>
  <c r="I130" i="25"/>
  <c r="G116" i="25"/>
  <c r="E102" i="25"/>
  <c r="C88" i="25"/>
  <c r="A74" i="25"/>
  <c r="H59" i="25"/>
  <c r="F45" i="25"/>
  <c r="D31" i="25"/>
  <c r="B17" i="25"/>
  <c r="E114" i="24"/>
  <c r="E98" i="24"/>
  <c r="E82" i="24"/>
  <c r="E66" i="24"/>
  <c r="E50" i="24"/>
  <c r="E34" i="24"/>
  <c r="E18" i="24"/>
  <c r="E2" i="24"/>
  <c r="B22" i="27"/>
  <c r="C22" i="26"/>
  <c r="H866" i="25"/>
  <c r="I809" i="25"/>
  <c r="A753" i="25"/>
  <c r="B696" i="25"/>
  <c r="C639" i="25"/>
  <c r="D589" i="25"/>
  <c r="D551" i="25"/>
  <c r="E513" i="25"/>
  <c r="F475" i="25"/>
  <c r="F437" i="25"/>
  <c r="G399" i="25"/>
  <c r="D366" i="25"/>
  <c r="I337" i="25"/>
  <c r="E309" i="25"/>
  <c r="A281" i="25"/>
  <c r="F252" i="25"/>
  <c r="B224" i="25"/>
  <c r="G195" i="25"/>
  <c r="C167" i="25"/>
  <c r="H138" i="25"/>
  <c r="D110" i="25"/>
  <c r="I81" i="25"/>
  <c r="E53" i="25"/>
  <c r="A25" i="25"/>
  <c r="H107" i="24"/>
  <c r="H75" i="24"/>
  <c r="H43" i="24"/>
  <c r="H11" i="24"/>
  <c r="F211" i="23"/>
  <c r="C190" i="23"/>
  <c r="A169" i="23"/>
  <c r="F147" i="23"/>
  <c r="C126" i="23"/>
  <c r="A105" i="23"/>
  <c r="F83" i="23"/>
  <c r="C62" i="23"/>
  <c r="A41" i="23"/>
  <c r="F19" i="23"/>
  <c r="B235" i="22"/>
  <c r="G213" i="22"/>
  <c r="D192" i="22"/>
  <c r="B171" i="22"/>
  <c r="G149" i="22"/>
  <c r="D128" i="22"/>
  <c r="B107" i="22"/>
  <c r="G85" i="22"/>
  <c r="D64" i="22"/>
  <c r="B43" i="22"/>
  <c r="F23" i="22"/>
  <c r="F7" i="22"/>
  <c r="H1" i="21"/>
  <c r="E275" i="19"/>
  <c r="E259" i="19"/>
  <c r="E243" i="19"/>
  <c r="E227" i="19"/>
  <c r="E211" i="19"/>
  <c r="E195" i="19"/>
  <c r="E179" i="19"/>
  <c r="E163" i="19"/>
  <c r="E147" i="19"/>
  <c r="E131" i="19"/>
  <c r="E115" i="19"/>
  <c r="E99" i="19"/>
  <c r="E83" i="19"/>
  <c r="E67" i="19"/>
  <c r="B25" i="27"/>
  <c r="N23" i="26"/>
  <c r="B868" i="25"/>
  <c r="C811" i="25"/>
  <c r="D754" i="25"/>
  <c r="E697" i="25"/>
  <c r="F640" i="25"/>
  <c r="C590" i="25"/>
  <c r="C552" i="25"/>
  <c r="D514" i="25"/>
  <c r="E476" i="25"/>
  <c r="E438" i="25"/>
  <c r="F400" i="25"/>
  <c r="A367" i="25"/>
  <c r="F338" i="25"/>
  <c r="B310" i="25"/>
  <c r="G281" i="25"/>
  <c r="C253" i="25"/>
  <c r="H224" i="25"/>
  <c r="D196" i="25"/>
  <c r="I167" i="25"/>
  <c r="E139" i="25"/>
  <c r="A111" i="25"/>
  <c r="F82" i="25"/>
  <c r="B54" i="25"/>
  <c r="G25" i="25"/>
  <c r="F108" i="24"/>
  <c r="F76" i="24"/>
  <c r="F44" i="24"/>
  <c r="F12" i="24"/>
  <c r="G212" i="23"/>
  <c r="E191" i="23"/>
  <c r="B170" i="23"/>
  <c r="G148" i="23"/>
  <c r="E127" i="23"/>
  <c r="B106" i="23"/>
  <c r="G84" i="23"/>
  <c r="E63" i="23"/>
  <c r="B42" i="23"/>
  <c r="G20" i="23"/>
  <c r="H236" i="22"/>
  <c r="F215" i="22"/>
  <c r="C194" i="22"/>
  <c r="H172" i="22"/>
  <c r="F151" i="22"/>
  <c r="C130" i="22"/>
  <c r="H108" i="22"/>
  <c r="F87" i="22"/>
  <c r="C66" i="22"/>
  <c r="H44" i="22"/>
  <c r="A25" i="22"/>
  <c r="A9" i="22"/>
  <c r="B3" i="21"/>
  <c r="D277" i="19"/>
  <c r="D261" i="19"/>
  <c r="D245" i="19"/>
  <c r="H230" i="19"/>
  <c r="H219" i="19"/>
  <c r="D209" i="19"/>
  <c r="H198" i="19"/>
  <c r="H187" i="19"/>
  <c r="H179" i="19"/>
  <c r="H171" i="19"/>
  <c r="H163" i="19"/>
  <c r="H155" i="19"/>
  <c r="H147" i="19"/>
  <c r="H139" i="19"/>
  <c r="H131" i="19"/>
  <c r="H123" i="19"/>
  <c r="H115" i="19"/>
  <c r="H107" i="19"/>
  <c r="H99" i="19"/>
  <c r="H91" i="19"/>
  <c r="H83" i="19"/>
  <c r="H75" i="19"/>
  <c r="H67" i="19"/>
  <c r="H59" i="19"/>
  <c r="H51" i="19"/>
  <c r="H43" i="19"/>
  <c r="H35" i="19"/>
  <c r="H27" i="19"/>
  <c r="D24" i="32"/>
  <c r="B31" i="26"/>
  <c r="F105" i="45"/>
  <c r="G150" i="45"/>
  <c r="D7" i="36"/>
  <c r="F7" i="36"/>
  <c r="C22" i="33"/>
  <c r="A48" i="33"/>
  <c r="D12" i="32"/>
  <c r="E35" i="32"/>
  <c r="H77" i="33"/>
  <c r="J45" i="26"/>
  <c r="J13" i="26"/>
  <c r="F850" i="25"/>
  <c r="G793" i="25"/>
  <c r="H736" i="25"/>
  <c r="I679" i="25"/>
  <c r="A623" i="25"/>
  <c r="B566" i="25"/>
  <c r="C509" i="25"/>
  <c r="D452" i="25"/>
  <c r="E395" i="25"/>
  <c r="C8" i="28"/>
  <c r="J28" i="26"/>
  <c r="B877" i="25"/>
  <c r="C820" i="25"/>
  <c r="D763" i="25"/>
  <c r="E706" i="25"/>
  <c r="F649" i="25"/>
  <c r="A30" i="33"/>
  <c r="I7" i="26"/>
  <c r="B783" i="25"/>
  <c r="D669" i="25"/>
  <c r="D571" i="25"/>
  <c r="G518" i="25"/>
  <c r="G480" i="25"/>
  <c r="H442" i="25"/>
  <c r="I404" i="25"/>
  <c r="C370" i="25"/>
  <c r="H341" i="25"/>
  <c r="D313" i="25"/>
  <c r="I284" i="25"/>
  <c r="E256" i="25"/>
  <c r="A228" i="25"/>
  <c r="F199" i="25"/>
  <c r="B171" i="25"/>
  <c r="G142" i="25"/>
  <c r="C114" i="25"/>
  <c r="H85" i="25"/>
  <c r="D57" i="25"/>
  <c r="I28" i="25"/>
  <c r="C112" i="24"/>
  <c r="C80" i="24"/>
  <c r="C48" i="24"/>
  <c r="C16" i="24"/>
  <c r="D209" i="23"/>
  <c r="D177" i="23"/>
  <c r="D145" i="23"/>
  <c r="D113" i="23"/>
  <c r="D81" i="23"/>
  <c r="D49" i="23"/>
  <c r="D17" i="23"/>
  <c r="A222" i="22"/>
  <c r="A190" i="22"/>
  <c r="A158" i="22"/>
  <c r="A126" i="22"/>
  <c r="E99" i="22"/>
  <c r="E83" i="22"/>
  <c r="E67" i="22"/>
  <c r="E51" i="22"/>
  <c r="E35" i="22"/>
  <c r="H65" i="33"/>
  <c r="G5" i="28"/>
  <c r="I43" i="26"/>
  <c r="I27" i="26"/>
  <c r="I11" i="26"/>
  <c r="B875" i="25"/>
  <c r="G846" i="25"/>
  <c r="C818" i="25"/>
  <c r="H789" i="25"/>
  <c r="D761" i="25"/>
  <c r="I732" i="25"/>
  <c r="E704" i="25"/>
  <c r="A676" i="25"/>
  <c r="F647" i="25"/>
  <c r="B619" i="25"/>
  <c r="H594" i="25"/>
  <c r="H575" i="25"/>
  <c r="I556" i="25"/>
  <c r="I537" i="25"/>
  <c r="I518" i="25"/>
  <c r="A500" i="25"/>
  <c r="A481" i="25"/>
  <c r="A462" i="25"/>
  <c r="B443" i="25"/>
  <c r="B424" i="25"/>
  <c r="B405" i="25"/>
  <c r="C386" i="25"/>
  <c r="E370" i="25"/>
  <c r="C356" i="25"/>
  <c r="A342" i="25"/>
  <c r="H327" i="25"/>
  <c r="F313" i="25"/>
  <c r="D299" i="25"/>
  <c r="B285" i="25"/>
  <c r="I270" i="25"/>
  <c r="G256" i="25"/>
  <c r="E242" i="25"/>
  <c r="C228" i="25"/>
  <c r="A214" i="25"/>
  <c r="H199" i="25"/>
  <c r="F185" i="25"/>
  <c r="D171" i="25"/>
  <c r="B157" i="25"/>
  <c r="I142" i="25"/>
  <c r="G128" i="25"/>
  <c r="E114" i="25"/>
  <c r="C100" i="25"/>
  <c r="A86" i="25"/>
  <c r="H71" i="25"/>
  <c r="F57" i="25"/>
  <c r="D43" i="25"/>
  <c r="B29" i="25"/>
  <c r="I14" i="25"/>
  <c r="A112" i="24"/>
  <c r="A96" i="24"/>
  <c r="A80" i="24"/>
  <c r="A64" i="24"/>
  <c r="A48" i="24"/>
  <c r="A32" i="24"/>
  <c r="A16" i="24"/>
  <c r="I97" i="33"/>
  <c r="B2" i="27"/>
  <c r="H17" i="26"/>
  <c r="I857" i="25"/>
  <c r="A801" i="25"/>
  <c r="B744" i="25"/>
  <c r="C687" i="25"/>
  <c r="D630" i="25"/>
  <c r="D583" i="25"/>
  <c r="E545" i="25"/>
  <c r="F507" i="25"/>
  <c r="F469" i="25"/>
  <c r="G431" i="25"/>
  <c r="H393" i="25"/>
  <c r="I361" i="25"/>
  <c r="E333" i="25"/>
  <c r="A305" i="25"/>
  <c r="F276" i="25"/>
  <c r="B248" i="25"/>
  <c r="G219" i="25"/>
  <c r="C191" i="25"/>
  <c r="H162" i="25"/>
  <c r="D134" i="25"/>
  <c r="I105" i="25"/>
  <c r="E77" i="25"/>
  <c r="A49" i="25"/>
  <c r="F20" i="25"/>
  <c r="H102" i="24"/>
  <c r="H70" i="24"/>
  <c r="H38" i="24"/>
  <c r="H6" i="24"/>
  <c r="C208" i="23"/>
  <c r="A187" i="23"/>
  <c r="F165" i="23"/>
  <c r="C144" i="23"/>
  <c r="A123" i="23"/>
  <c r="F101" i="23"/>
  <c r="C80" i="23"/>
  <c r="A59" i="23"/>
  <c r="F37" i="23"/>
  <c r="C16" i="23"/>
  <c r="G231" i="22"/>
  <c r="F12" i="27"/>
  <c r="F51" i="25"/>
  <c r="B733" i="25"/>
  <c r="I148" i="25"/>
  <c r="A229" i="22"/>
  <c r="D767" i="25"/>
  <c r="H115" i="23"/>
  <c r="F767" i="25"/>
  <c r="D409" i="25"/>
  <c r="E174" i="25"/>
  <c r="A50" i="25"/>
  <c r="E39" i="24"/>
  <c r="I713" i="25"/>
  <c r="C375" i="25"/>
  <c r="G147" i="25"/>
  <c r="H21" i="24"/>
  <c r="A69" i="23"/>
  <c r="B135" i="22"/>
  <c r="E280" i="19"/>
  <c r="E152" i="19"/>
  <c r="I885" i="25"/>
  <c r="C488" i="25"/>
  <c r="G233" i="25"/>
  <c r="B6" i="25"/>
  <c r="B134" i="23"/>
  <c r="H200" i="22"/>
  <c r="C30" i="22"/>
  <c r="D202" i="19"/>
  <c r="E86" i="33"/>
  <c r="H640" i="25"/>
  <c r="A838" i="25"/>
  <c r="I832" i="25"/>
  <c r="D497" i="25"/>
  <c r="D361" i="25"/>
  <c r="E304" i="25"/>
  <c r="F247" i="25"/>
  <c r="G190" i="25"/>
  <c r="H133" i="25"/>
  <c r="I76" i="25"/>
  <c r="A20" i="25"/>
  <c r="C70" i="24"/>
  <c r="C6" i="24"/>
  <c r="D167" i="23"/>
  <c r="D103" i="23"/>
  <c r="D39" i="23"/>
  <c r="A212" i="22"/>
  <c r="A148" i="22"/>
  <c r="E94" i="22"/>
  <c r="E62" i="22"/>
  <c r="E30" i="22"/>
  <c r="H22" i="27"/>
  <c r="N22" i="26"/>
  <c r="C866" i="25"/>
  <c r="D809" i="25"/>
  <c r="E752" i="25"/>
  <c r="F695" i="25"/>
  <c r="G638" i="25"/>
  <c r="I588" i="25"/>
  <c r="I550" i="25"/>
  <c r="A513" i="25"/>
  <c r="B475" i="25"/>
  <c r="B437" i="25"/>
  <c r="C399" i="25"/>
  <c r="A366" i="25"/>
  <c r="F337" i="25"/>
  <c r="B309" i="25"/>
  <c r="G280" i="25"/>
  <c r="C252" i="25"/>
  <c r="H223" i="25"/>
  <c r="D195" i="25"/>
  <c r="I166" i="25"/>
  <c r="E138" i="25"/>
  <c r="A110" i="25"/>
  <c r="F81" i="25"/>
  <c r="B53" i="25"/>
  <c r="G24" i="25"/>
  <c r="A107" i="24"/>
  <c r="A75" i="24"/>
  <c r="A43" i="24"/>
  <c r="A11" i="24"/>
  <c r="B39" i="26"/>
  <c r="B840" i="25"/>
  <c r="D726" i="25"/>
  <c r="F612" i="25"/>
  <c r="F533" i="25"/>
  <c r="H457" i="25"/>
  <c r="I381" i="25"/>
  <c r="F324" i="25"/>
  <c r="G267" i="25"/>
  <c r="H210" i="25"/>
  <c r="I153" i="25"/>
  <c r="A97" i="25"/>
  <c r="B40" i="25"/>
  <c r="H92" i="24"/>
  <c r="H28" i="24"/>
  <c r="F201" i="23"/>
  <c r="A159" i="23"/>
  <c r="C116" i="23"/>
  <c r="F73" i="23"/>
  <c r="A31" i="23"/>
  <c r="B225" i="22"/>
  <c r="D182" i="22"/>
  <c r="G139" i="22"/>
  <c r="B97" i="22"/>
  <c r="D54" i="22"/>
  <c r="B16" i="22"/>
  <c r="A284" i="19"/>
  <c r="A252" i="19"/>
  <c r="A220" i="19"/>
  <c r="A188" i="19"/>
  <c r="A156" i="19"/>
  <c r="A124" i="19"/>
  <c r="A92" i="19"/>
  <c r="B45" i="33"/>
  <c r="M8" i="26"/>
  <c r="F784" i="25"/>
  <c r="H670" i="25"/>
  <c r="E572" i="25"/>
  <c r="F496" i="25"/>
  <c r="G420" i="25"/>
  <c r="G353" i="25"/>
  <c r="H296" i="25"/>
  <c r="I239" i="25"/>
  <c r="A183" i="25"/>
  <c r="B126" i="25"/>
  <c r="C69" i="25"/>
  <c r="D12" i="25"/>
  <c r="F61" i="24"/>
  <c r="B224" i="23"/>
  <c r="E181" i="23"/>
  <c r="G138" i="23"/>
  <c r="B96" i="23"/>
  <c r="E53" i="23"/>
  <c r="G10" i="23"/>
  <c r="F205" i="22"/>
  <c r="H162" i="22"/>
  <c r="C120" i="22"/>
  <c r="F77" i="22"/>
  <c r="H34" i="22"/>
  <c r="F1" i="22"/>
  <c r="H269" i="19"/>
  <c r="H237" i="19"/>
  <c r="A8" i="34"/>
  <c r="H35" i="32"/>
  <c r="D14" i="28"/>
  <c r="C46" i="33"/>
  <c r="N9" i="26"/>
  <c r="A787" i="25"/>
  <c r="C673" i="25"/>
  <c r="E559" i="25"/>
  <c r="G445" i="25"/>
  <c r="D31" i="27"/>
  <c r="E870" i="25"/>
  <c r="G756" i="25"/>
  <c r="I642" i="25"/>
  <c r="F883" i="25"/>
  <c r="A656" i="25"/>
  <c r="E514" i="25"/>
  <c r="G438" i="25"/>
  <c r="B367" i="25"/>
  <c r="C310" i="25"/>
  <c r="D253" i="25"/>
  <c r="E196" i="25"/>
  <c r="F139" i="25"/>
  <c r="G82" i="25"/>
  <c r="H25" i="25"/>
  <c r="G76" i="24"/>
  <c r="G12" i="24"/>
  <c r="H173" i="23"/>
  <c r="H109" i="23"/>
  <c r="H45" i="23"/>
  <c r="E218" i="22"/>
  <c r="E154" i="22"/>
  <c r="A98" i="22"/>
  <c r="A66" i="22"/>
  <c r="A34" i="22"/>
  <c r="H36" i="27"/>
  <c r="B26" i="26"/>
  <c r="E872" i="25"/>
  <c r="F815" i="25"/>
  <c r="G758" i="25"/>
  <c r="H701" i="25"/>
  <c r="I644" i="25"/>
  <c r="A593" i="25"/>
  <c r="B555" i="25"/>
  <c r="B517" i="25"/>
  <c r="C479" i="25"/>
  <c r="D441" i="25"/>
  <c r="D403" i="25"/>
  <c r="B369" i="25"/>
  <c r="G340" i="25"/>
  <c r="C312" i="25"/>
  <c r="H283" i="25"/>
  <c r="D255" i="25"/>
  <c r="I226" i="25"/>
  <c r="E198" i="25"/>
  <c r="A170" i="25"/>
  <c r="F141" i="25"/>
  <c r="B113" i="25"/>
  <c r="G84" i="25"/>
  <c r="C56" i="25"/>
  <c r="H27" i="25"/>
  <c r="E110" i="24"/>
  <c r="E78" i="24"/>
  <c r="E46" i="24"/>
  <c r="E14" i="24"/>
  <c r="K46" i="26"/>
  <c r="F852" i="25"/>
  <c r="H738" i="25"/>
  <c r="A625" i="25"/>
  <c r="I541" i="25"/>
  <c r="A466" i="25"/>
  <c r="C390" i="25"/>
  <c r="H330" i="25"/>
  <c r="I273" i="25"/>
  <c r="A217" i="25"/>
  <c r="B160" i="25"/>
  <c r="C103" i="25"/>
  <c r="D46" i="25"/>
  <c r="H99" i="24"/>
  <c r="H35" i="24"/>
  <c r="C206" i="23"/>
  <c r="F163" i="23"/>
  <c r="A121" i="23"/>
  <c r="C78" i="23"/>
  <c r="F35" i="23"/>
  <c r="G229" i="22"/>
  <c r="B187" i="22"/>
  <c r="D144" i="22"/>
  <c r="G101" i="22"/>
  <c r="B59" i="22"/>
  <c r="F19" i="22"/>
  <c r="A718" i="25"/>
  <c r="E119" i="22"/>
  <c r="F527" i="25"/>
  <c r="B35" i="25"/>
  <c r="G221" i="45"/>
  <c r="F521" i="25"/>
  <c r="A101" i="22"/>
  <c r="H653" i="25"/>
  <c r="B345" i="25"/>
  <c r="D135" i="25"/>
  <c r="F21" i="25"/>
  <c r="E7" i="24"/>
  <c r="B601" i="25"/>
  <c r="D318" i="25"/>
  <c r="H90" i="25"/>
  <c r="A197" i="23"/>
  <c r="C26" i="23"/>
  <c r="D92" i="22"/>
  <c r="E248" i="19"/>
  <c r="E120" i="19"/>
  <c r="B772" i="25"/>
  <c r="E412" i="25"/>
  <c r="H176" i="25"/>
  <c r="F54" i="24"/>
  <c r="E91" i="23"/>
  <c r="C158" i="22"/>
  <c r="B8" i="21"/>
  <c r="E65" i="45"/>
  <c r="F26" i="27"/>
  <c r="A527" i="25"/>
  <c r="C724" i="25"/>
  <c r="B719" i="25"/>
  <c r="D459" i="25"/>
  <c r="B347" i="25"/>
  <c r="C290" i="25"/>
  <c r="D233" i="25"/>
  <c r="E176" i="25"/>
  <c r="F119" i="25"/>
  <c r="G62" i="25"/>
  <c r="H5" i="25"/>
  <c r="C54" i="24"/>
  <c r="D215" i="23"/>
  <c r="D151" i="23"/>
  <c r="D87" i="23"/>
  <c r="D23" i="23"/>
  <c r="A196" i="22"/>
  <c r="A132" i="22"/>
  <c r="E86" i="22"/>
  <c r="E54" i="22"/>
  <c r="B91" i="33"/>
  <c r="N46" i="26"/>
  <c r="N14" i="26"/>
  <c r="A852" i="25"/>
  <c r="B795" i="25"/>
  <c r="C738" i="25"/>
  <c r="D681" i="25"/>
  <c r="E624" i="25"/>
  <c r="D579" i="25"/>
  <c r="E541" i="25"/>
  <c r="F503" i="25"/>
  <c r="F465" i="25"/>
  <c r="G427" i="25"/>
  <c r="H389" i="25"/>
  <c r="I358" i="25"/>
  <c r="E330" i="25"/>
  <c r="A302" i="25"/>
  <c r="F273" i="25"/>
  <c r="B245" i="25"/>
  <c r="G216" i="25"/>
  <c r="C188" i="25"/>
  <c r="H159" i="25"/>
  <c r="D131" i="25"/>
  <c r="I102" i="25"/>
  <c r="E74" i="25"/>
  <c r="A46" i="25"/>
  <c r="F17" i="25"/>
  <c r="A99" i="24"/>
  <c r="A67" i="24"/>
  <c r="A35" i="24"/>
  <c r="A3" i="24"/>
  <c r="B23" i="26"/>
  <c r="G811" i="25"/>
  <c r="I697" i="25"/>
  <c r="E590" i="25"/>
  <c r="G514" i="25"/>
  <c r="H438" i="25"/>
  <c r="C367" i="25"/>
  <c r="D310" i="25"/>
  <c r="E253" i="25"/>
  <c r="F196" i="25"/>
  <c r="G139" i="25"/>
  <c r="H82" i="25"/>
  <c r="I25" i="25"/>
  <c r="H76" i="24"/>
  <c r="H12" i="24"/>
  <c r="A191" i="23"/>
  <c r="C148" i="23"/>
  <c r="F105" i="23"/>
  <c r="A63" i="23"/>
  <c r="C20" i="23"/>
  <c r="D214" i="22"/>
  <c r="G171" i="22"/>
  <c r="B129" i="22"/>
  <c r="D86" i="22"/>
  <c r="G43" i="22"/>
  <c r="B8" i="22"/>
  <c r="A276" i="19"/>
  <c r="A244" i="19"/>
  <c r="A212" i="19"/>
  <c r="A180" i="19"/>
  <c r="A148" i="19"/>
  <c r="A116" i="19"/>
  <c r="A84" i="19"/>
  <c r="B29" i="27"/>
  <c r="I869" i="25"/>
  <c r="B756" i="25"/>
  <c r="D642" i="25"/>
  <c r="E553" i="25"/>
  <c r="F477" i="25"/>
  <c r="H401" i="25"/>
  <c r="E339" i="25"/>
  <c r="F282" i="25"/>
  <c r="G225" i="25"/>
  <c r="H168" i="25"/>
  <c r="I111" i="25"/>
  <c r="A55" i="25"/>
  <c r="F109" i="24"/>
  <c r="F45" i="24"/>
  <c r="E213" i="23"/>
  <c r="G170" i="23"/>
  <c r="B128" i="23"/>
  <c r="E85" i="23"/>
  <c r="G42" i="23"/>
  <c r="F237" i="22"/>
  <c r="H194" i="22"/>
  <c r="C152" i="22"/>
  <c r="F109" i="22"/>
  <c r="H66" i="22"/>
  <c r="E25" i="22"/>
  <c r="F3" i="21"/>
  <c r="H261" i="19"/>
  <c r="E12" i="43"/>
  <c r="C57" i="33"/>
  <c r="H1" i="37"/>
  <c r="A20" i="27"/>
  <c r="A9" i="32"/>
  <c r="F886" i="25"/>
  <c r="H772" i="25"/>
  <c r="A659" i="25"/>
  <c r="C545" i="25"/>
  <c r="E431" i="25"/>
  <c r="O48" i="26"/>
  <c r="C856" i="25"/>
  <c r="E742" i="25"/>
  <c r="G628" i="25"/>
  <c r="B855" i="25"/>
  <c r="F627" i="25"/>
  <c r="A505" i="25"/>
  <c r="B429" i="25"/>
  <c r="A360" i="25"/>
  <c r="B303" i="25"/>
  <c r="C246" i="25"/>
  <c r="D189" i="25"/>
  <c r="E132" i="25"/>
  <c r="F75" i="25"/>
  <c r="G18" i="25"/>
  <c r="G68" i="24"/>
  <c r="G4" i="24"/>
  <c r="H165" i="23"/>
  <c r="H101" i="23"/>
  <c r="H37" i="23"/>
  <c r="E210" i="22"/>
  <c r="E146" i="22"/>
  <c r="A94" i="22"/>
  <c r="A62" i="22"/>
  <c r="A30" i="22"/>
  <c r="H20" i="27"/>
  <c r="F22" i="26"/>
  <c r="D865" i="25"/>
  <c r="E808" i="25"/>
  <c r="F751" i="25"/>
  <c r="G694" i="25"/>
  <c r="H637" i="25"/>
  <c r="C588" i="25"/>
  <c r="D550" i="25"/>
  <c r="E512" i="25"/>
  <c r="E474" i="25"/>
  <c r="F436" i="25"/>
  <c r="G398" i="25"/>
  <c r="F365" i="25"/>
  <c r="B337" i="25"/>
  <c r="G308" i="25"/>
  <c r="C280" i="25"/>
  <c r="H251" i="25"/>
  <c r="D223" i="25"/>
  <c r="I194" i="25"/>
  <c r="E166" i="25"/>
  <c r="A138" i="25"/>
  <c r="F109" i="25"/>
  <c r="B81" i="25"/>
  <c r="G52" i="25"/>
  <c r="C24" i="25"/>
  <c r="E106" i="24"/>
  <c r="E74" i="24"/>
  <c r="E42" i="24"/>
  <c r="E10" i="24"/>
  <c r="C38" i="26"/>
  <c r="D838" i="25"/>
  <c r="F724" i="25"/>
  <c r="H610" i="25"/>
  <c r="E532" i="25"/>
  <c r="F456" i="25"/>
  <c r="G380" i="25"/>
  <c r="G323" i="25"/>
  <c r="H266" i="25"/>
  <c r="I209" i="25"/>
  <c r="A153" i="25"/>
  <c r="B96" i="25"/>
  <c r="C39" i="25"/>
  <c r="H91" i="24"/>
  <c r="H27" i="24"/>
  <c r="A201" i="23"/>
  <c r="C158" i="23"/>
  <c r="F115" i="23"/>
  <c r="A73" i="23"/>
  <c r="C30" i="23"/>
  <c r="D224" i="22"/>
  <c r="G181" i="22"/>
  <c r="B139" i="22"/>
  <c r="D96" i="22"/>
  <c r="G53" i="22"/>
  <c r="F15" i="22"/>
  <c r="E283" i="19"/>
  <c r="E251" i="19"/>
  <c r="E219" i="19"/>
  <c r="E187" i="19"/>
  <c r="E155" i="19"/>
  <c r="E123" i="19"/>
  <c r="E91" i="19"/>
  <c r="G36" i="33"/>
  <c r="N7" i="26"/>
  <c r="H782" i="25"/>
  <c r="A669" i="25"/>
  <c r="C571" i="25"/>
  <c r="D495" i="25"/>
  <c r="F419" i="25"/>
  <c r="H352" i="25"/>
  <c r="I295" i="25"/>
  <c r="A239" i="25"/>
  <c r="B182" i="25"/>
  <c r="C125" i="25"/>
  <c r="D68" i="25"/>
  <c r="E11" i="25"/>
  <c r="F60" i="24"/>
  <c r="E223" i="23"/>
  <c r="G180" i="23"/>
  <c r="B138" i="23"/>
  <c r="E95" i="23"/>
  <c r="G52" i="23"/>
  <c r="B10" i="23"/>
  <c r="H204" i="22"/>
  <c r="C162" i="22"/>
  <c r="F119" i="22"/>
  <c r="H76" i="22"/>
  <c r="C34" i="22"/>
  <c r="B1" i="22"/>
  <c r="D269" i="19"/>
  <c r="D237" i="19"/>
  <c r="H214" i="19"/>
  <c r="D193" i="19"/>
  <c r="H175" i="19"/>
  <c r="H159" i="19"/>
  <c r="H143" i="19"/>
  <c r="H127" i="19"/>
  <c r="H111" i="19"/>
  <c r="H95" i="19"/>
  <c r="H79" i="19"/>
  <c r="H63" i="19"/>
  <c r="H47" i="19"/>
  <c r="H31" i="19"/>
  <c r="B48" i="26"/>
  <c r="B7" i="38"/>
  <c r="D28" i="33"/>
  <c r="G5" i="34"/>
  <c r="E3" i="27"/>
  <c r="E12" i="28"/>
  <c r="A879" i="25"/>
  <c r="C765" i="25"/>
  <c r="E651" i="25"/>
  <c r="G537" i="25"/>
  <c r="I423" i="25"/>
  <c r="J44" i="26"/>
  <c r="G848" i="25"/>
  <c r="I734" i="25"/>
  <c r="B621" i="25"/>
  <c r="A840" i="25"/>
  <c r="E612" i="25"/>
  <c r="G499" i="25"/>
  <c r="H423" i="25"/>
  <c r="A356" i="25"/>
  <c r="B299" i="25"/>
  <c r="C242" i="25"/>
  <c r="D185" i="25"/>
  <c r="E128" i="25"/>
  <c r="F71" i="25"/>
  <c r="G14" i="25"/>
  <c r="C64" i="24"/>
  <c r="D225" i="23"/>
  <c r="D161" i="23"/>
  <c r="D97" i="23"/>
  <c r="D33" i="23"/>
  <c r="A206" i="22"/>
  <c r="A142" i="22"/>
  <c r="E91" i="22"/>
  <c r="E59" i="22"/>
  <c r="E28" i="36"/>
  <c r="H10" i="27"/>
  <c r="I19" i="26"/>
  <c r="I860" i="25"/>
  <c r="A804" i="25"/>
  <c r="B747" i="25"/>
  <c r="C690" i="25"/>
  <c r="D633" i="25"/>
  <c r="D585" i="25"/>
  <c r="D547" i="25"/>
  <c r="E509" i="25"/>
  <c r="F471" i="25"/>
  <c r="F433" i="25"/>
  <c r="G395" i="25"/>
  <c r="D363" i="25"/>
  <c r="I334" i="25"/>
  <c r="E306" i="25"/>
  <c r="A278" i="25"/>
  <c r="F249" i="25"/>
  <c r="B221" i="25"/>
  <c r="G192" i="25"/>
  <c r="C164" i="25"/>
  <c r="H135" i="25"/>
  <c r="D107" i="25"/>
  <c r="I78" i="25"/>
  <c r="E50" i="25"/>
  <c r="A22" i="25"/>
  <c r="A104" i="24"/>
  <c r="A72" i="24"/>
  <c r="A40" i="24"/>
  <c r="A8" i="24"/>
  <c r="H33" i="26"/>
  <c r="E829" i="25"/>
  <c r="G715" i="25"/>
  <c r="D602" i="25"/>
  <c r="E526" i="25"/>
  <c r="G450" i="25"/>
  <c r="B376" i="25"/>
  <c r="C319" i="25"/>
  <c r="D262" i="25"/>
  <c r="E205" i="25"/>
  <c r="F148" i="25"/>
  <c r="G91" i="25"/>
  <c r="H34" i="25"/>
  <c r="H86" i="24"/>
  <c r="H22" i="24"/>
  <c r="F197" i="23"/>
  <c r="A155" i="23"/>
  <c r="C112" i="23"/>
  <c r="F69" i="23"/>
  <c r="A27" i="23"/>
  <c r="B221" i="22"/>
  <c r="B189" i="22"/>
  <c r="D162" i="22"/>
  <c r="G135" i="22"/>
  <c r="G103" i="22"/>
  <c r="B77" i="22"/>
  <c r="G55" i="22"/>
  <c r="D34" i="22"/>
  <c r="B17" i="22"/>
  <c r="C1" i="22"/>
  <c r="A285" i="19"/>
  <c r="A269" i="19"/>
  <c r="A253" i="19"/>
  <c r="A237" i="19"/>
  <c r="A221" i="19"/>
  <c r="A205" i="19"/>
  <c r="A189" i="19"/>
  <c r="A173" i="19"/>
  <c r="A157" i="19"/>
  <c r="A141" i="19"/>
  <c r="A125" i="19"/>
  <c r="A109" i="19"/>
  <c r="A93" i="19"/>
  <c r="A77" i="19"/>
  <c r="A62" i="33"/>
  <c r="K42" i="26"/>
  <c r="K10" i="26"/>
  <c r="A845" i="25"/>
  <c r="B788" i="25"/>
  <c r="C731" i="25"/>
  <c r="D674" i="25"/>
  <c r="E617" i="25"/>
  <c r="H574" i="25"/>
  <c r="I536" i="25"/>
  <c r="I498" i="25"/>
  <c r="A461" i="25"/>
  <c r="B423" i="25"/>
  <c r="B385" i="25"/>
  <c r="E355" i="25"/>
  <c r="A327" i="25"/>
  <c r="F298" i="25"/>
  <c r="B270" i="25"/>
  <c r="G241" i="25"/>
  <c r="C213" i="25"/>
  <c r="H184" i="25"/>
  <c r="D156" i="25"/>
  <c r="I127" i="25"/>
  <c r="E99" i="25"/>
  <c r="A71" i="25"/>
  <c r="F42" i="25"/>
  <c r="B14" i="25"/>
  <c r="F95" i="24"/>
  <c r="F63" i="24"/>
  <c r="F31" i="24"/>
  <c r="E225" i="23"/>
  <c r="B204" i="23"/>
  <c r="G182" i="23"/>
  <c r="E161" i="23"/>
  <c r="B140" i="23"/>
  <c r="G118" i="23"/>
  <c r="E97" i="23"/>
  <c r="B76" i="23"/>
  <c r="G54" i="23"/>
  <c r="E33" i="23"/>
  <c r="B12" i="23"/>
  <c r="C228" i="22"/>
  <c r="H206" i="22"/>
  <c r="F185" i="22"/>
  <c r="C164" i="22"/>
  <c r="H142" i="22"/>
  <c r="F121" i="22"/>
  <c r="C100" i="22"/>
  <c r="H78" i="22"/>
  <c r="F57" i="22"/>
  <c r="C36" i="22"/>
  <c r="E18" i="22"/>
  <c r="E2" i="22"/>
  <c r="H1" i="20"/>
  <c r="H270" i="19"/>
  <c r="H254" i="19"/>
  <c r="H238" i="19"/>
  <c r="H225" i="19"/>
  <c r="D215" i="19"/>
  <c r="H204" i="19"/>
  <c r="F10" i="34"/>
  <c r="A98" i="33"/>
  <c r="A84" i="33"/>
  <c r="G18" i="27"/>
  <c r="J25" i="26"/>
  <c r="A815" i="25"/>
  <c r="C701" i="25"/>
  <c r="E587" i="25"/>
  <c r="G473" i="25"/>
  <c r="B35" i="33"/>
  <c r="J8" i="26"/>
  <c r="G784" i="25"/>
  <c r="I670" i="25"/>
  <c r="I31" i="26"/>
  <c r="A712" i="25"/>
  <c r="H535" i="25"/>
  <c r="A457" i="25"/>
  <c r="B381" i="25"/>
  <c r="A324" i="25"/>
  <c r="B267" i="25"/>
  <c r="C210" i="25"/>
  <c r="D153" i="25"/>
  <c r="E96" i="25"/>
  <c r="F39" i="25"/>
  <c r="C92" i="24"/>
  <c r="C28" i="24"/>
  <c r="D189" i="23"/>
  <c r="D125" i="23"/>
  <c r="D61" i="23"/>
  <c r="A234" i="22"/>
  <c r="A170" i="22"/>
  <c r="A106" i="22"/>
  <c r="E73" i="22"/>
  <c r="E41" i="22"/>
  <c r="A12" i="32"/>
  <c r="K33" i="26"/>
  <c r="H885" i="25"/>
  <c r="I828" i="25"/>
  <c r="A772" i="25"/>
  <c r="B715" i="25"/>
  <c r="C658" i="25"/>
  <c r="I601" i="25"/>
  <c r="A564" i="25"/>
  <c r="A526" i="25"/>
  <c r="B488" i="25"/>
  <c r="C450" i="25"/>
  <c r="C412" i="25"/>
  <c r="H375" i="25"/>
  <c r="D347" i="25"/>
  <c r="I318" i="25"/>
  <c r="E290" i="25"/>
  <c r="A262" i="25"/>
  <c r="F233" i="25"/>
  <c r="B205" i="25"/>
  <c r="G176" i="25"/>
  <c r="C148" i="25"/>
  <c r="H119" i="25"/>
  <c r="D91" i="25"/>
  <c r="I62" i="25"/>
  <c r="E34" i="25"/>
  <c r="A6" i="25"/>
  <c r="A86" i="24"/>
  <c r="A54" i="24"/>
  <c r="A22" i="24"/>
  <c r="A11" i="28"/>
  <c r="C879" i="25"/>
  <c r="E765" i="25"/>
  <c r="G651" i="25"/>
  <c r="G559" i="25"/>
  <c r="H483" i="25"/>
  <c r="A408" i="25"/>
  <c r="B344" i="25"/>
  <c r="C287" i="25"/>
  <c r="D230" i="25"/>
  <c r="E173" i="25"/>
  <c r="F116" i="25"/>
  <c r="G59" i="25"/>
  <c r="H114" i="24"/>
  <c r="H50" i="24"/>
  <c r="C216" i="23"/>
  <c r="F173" i="23"/>
  <c r="A131" i="23"/>
  <c r="C88" i="23"/>
  <c r="F45" i="23"/>
  <c r="A3" i="23"/>
  <c r="B197" i="22"/>
  <c r="D154" i="22"/>
  <c r="G111" i="22"/>
  <c r="B69" i="22"/>
  <c r="B27" i="22"/>
  <c r="C5" i="21"/>
  <c r="A263" i="19"/>
  <c r="A231" i="19"/>
  <c r="A199" i="19"/>
  <c r="A167" i="19"/>
  <c r="A135" i="19"/>
  <c r="A103" i="19"/>
  <c r="A71" i="19"/>
  <c r="G30" i="26"/>
  <c r="G823" i="25"/>
  <c r="I709" i="25"/>
  <c r="E598" i="25"/>
  <c r="G522" i="25"/>
  <c r="H446" i="25"/>
  <c r="C373" i="25"/>
  <c r="D316" i="25"/>
  <c r="E259" i="25"/>
  <c r="F202" i="25"/>
  <c r="G145" i="25"/>
  <c r="H88" i="25"/>
  <c r="I31" i="25"/>
  <c r="F83" i="24"/>
  <c r="F19" i="24"/>
  <c r="B196" i="23"/>
  <c r="E153" i="23"/>
  <c r="G110" i="23"/>
  <c r="B68" i="23"/>
  <c r="E25" i="23"/>
  <c r="C220" i="22"/>
  <c r="F177" i="22"/>
  <c r="H134" i="22"/>
  <c r="C92" i="22"/>
  <c r="F49" i="22"/>
  <c r="E12" i="22"/>
  <c r="H280" i="19"/>
  <c r="H248" i="19"/>
  <c r="H221" i="19"/>
  <c r="H201" i="19"/>
  <c r="D187" i="19"/>
  <c r="H176" i="19"/>
  <c r="D166" i="19"/>
  <c r="D155" i="19"/>
  <c r="H144" i="19"/>
  <c r="D134" i="19"/>
  <c r="D123" i="19"/>
  <c r="H112" i="19"/>
  <c r="D102" i="19"/>
  <c r="D91" i="19"/>
  <c r="H80" i="19"/>
  <c r="D70" i="19"/>
  <c r="D59" i="19"/>
  <c r="H48" i="19"/>
  <c r="D38" i="19"/>
  <c r="D27" i="19"/>
  <c r="B16" i="27"/>
  <c r="G10" i="26"/>
  <c r="H842" i="25"/>
  <c r="I785" i="25"/>
  <c r="A729" i="25"/>
  <c r="B672" i="25"/>
  <c r="C615" i="25"/>
  <c r="D573" i="25"/>
  <c r="D535" i="25"/>
  <c r="E497" i="25"/>
  <c r="F459" i="25"/>
  <c r="F421" i="25"/>
  <c r="G383" i="25"/>
  <c r="D354" i="25"/>
  <c r="I325" i="25"/>
  <c r="E297" i="25"/>
  <c r="A269" i="25"/>
  <c r="F240" i="25"/>
  <c r="B212" i="25"/>
  <c r="G183" i="25"/>
  <c r="C155" i="25"/>
  <c r="H126" i="25"/>
  <c r="D98" i="25"/>
  <c r="I69" i="25"/>
  <c r="E41" i="25"/>
  <c r="A13" i="25"/>
  <c r="D94" i="24"/>
  <c r="D62" i="24"/>
  <c r="D30" i="24"/>
  <c r="C225" i="23"/>
  <c r="A204" i="23"/>
  <c r="F182" i="23"/>
  <c r="C161" i="23"/>
  <c r="A140" i="23"/>
  <c r="F118" i="23"/>
  <c r="C97" i="23"/>
  <c r="A76" i="23"/>
  <c r="F54" i="23"/>
  <c r="C33" i="23"/>
  <c r="A12" i="23"/>
  <c r="D227" i="22"/>
  <c r="B206" i="22"/>
  <c r="G184" i="22"/>
  <c r="D163" i="22"/>
  <c r="B142" i="22"/>
  <c r="G120" i="22"/>
  <c r="D99" i="22"/>
  <c r="B78" i="22"/>
  <c r="G56" i="22"/>
  <c r="D35" i="22"/>
  <c r="H17" i="22"/>
  <c r="A1" i="22"/>
  <c r="C285" i="19"/>
  <c r="C269" i="19"/>
  <c r="C253" i="19"/>
  <c r="C237" i="19"/>
  <c r="C221" i="19"/>
  <c r="C205" i="19"/>
  <c r="C189" i="19"/>
  <c r="C173" i="19"/>
  <c r="C157" i="19"/>
  <c r="C141" i="19"/>
  <c r="C125" i="19"/>
  <c r="C109" i="19"/>
  <c r="C93" i="19"/>
  <c r="C77" i="19"/>
  <c r="E62" i="19"/>
  <c r="G51" i="19"/>
  <c r="B41" i="19"/>
  <c r="E30" i="19"/>
  <c r="H20" i="19"/>
  <c r="H12" i="19"/>
  <c r="H4" i="19"/>
  <c r="E14" i="18"/>
  <c r="E6" i="18"/>
  <c r="M379" i="17"/>
  <c r="M375" i="17"/>
  <c r="M371" i="17"/>
  <c r="M367" i="17"/>
  <c r="M363" i="17"/>
  <c r="M359" i="17"/>
  <c r="M355" i="17"/>
  <c r="M351" i="17"/>
  <c r="M347" i="17"/>
  <c r="M343" i="17"/>
  <c r="M339" i="17"/>
  <c r="M335" i="17"/>
  <c r="M331" i="17"/>
  <c r="M327" i="17"/>
  <c r="M323" i="17"/>
  <c r="M319" i="17"/>
  <c r="M315" i="17"/>
  <c r="M311" i="17"/>
  <c r="M307" i="17"/>
  <c r="M303" i="17"/>
  <c r="M299" i="17"/>
  <c r="M295" i="17"/>
  <c r="M291" i="17"/>
  <c r="M287" i="17"/>
  <c r="M283" i="17"/>
  <c r="M279" i="17"/>
  <c r="M275" i="17"/>
  <c r="M271" i="17"/>
  <c r="M267" i="17"/>
  <c r="M263" i="17"/>
  <c r="M259" i="17"/>
  <c r="M255" i="17"/>
  <c r="M251" i="17"/>
  <c r="M247" i="17"/>
  <c r="M243" i="17"/>
  <c r="M239" i="17"/>
  <c r="M235" i="17"/>
  <c r="M231" i="17"/>
  <c r="M227" i="17"/>
  <c r="M223" i="17"/>
  <c r="M219" i="17"/>
  <c r="M215" i="17"/>
  <c r="M211" i="17"/>
  <c r="M207" i="17"/>
  <c r="M203" i="17"/>
  <c r="M199" i="17"/>
  <c r="M195" i="17"/>
  <c r="M191" i="17"/>
  <c r="M187" i="17"/>
  <c r="M183" i="17"/>
  <c r="M179" i="17"/>
  <c r="M175" i="17"/>
  <c r="M171" i="17"/>
  <c r="M167" i="17"/>
  <c r="M163" i="17"/>
  <c r="M159" i="17"/>
  <c r="M155" i="17"/>
  <c r="M151" i="17"/>
  <c r="M147" i="17"/>
  <c r="M143" i="17"/>
  <c r="M139" i="17"/>
  <c r="M135" i="17"/>
  <c r="M131" i="17"/>
  <c r="M127" i="17"/>
  <c r="M123" i="17"/>
  <c r="M119" i="17"/>
  <c r="M115" i="17"/>
  <c r="M111" i="17"/>
  <c r="M107" i="17"/>
  <c r="M103" i="17"/>
  <c r="M99" i="17"/>
  <c r="M95" i="17"/>
  <c r="M91" i="17"/>
  <c r="M87" i="17"/>
  <c r="M83" i="17"/>
  <c r="M79" i="17"/>
  <c r="M75" i="17"/>
  <c r="M71" i="17"/>
  <c r="M67" i="17"/>
  <c r="M63" i="17"/>
  <c r="M59" i="17"/>
  <c r="M55" i="17"/>
  <c r="M51" i="17"/>
  <c r="M47" i="17"/>
  <c r="M43" i="17"/>
  <c r="M39" i="17"/>
  <c r="M35" i="17"/>
  <c r="M31" i="17"/>
  <c r="M27" i="17"/>
  <c r="M23" i="17"/>
  <c r="M19" i="17"/>
  <c r="M15" i="17"/>
  <c r="M11" i="17"/>
  <c r="L6" i="17"/>
  <c r="C113" i="15"/>
  <c r="C105" i="15"/>
  <c r="C97" i="15"/>
  <c r="C89" i="15"/>
  <c r="C81" i="15"/>
  <c r="C73" i="15"/>
  <c r="C65" i="15"/>
  <c r="C57" i="15"/>
  <c r="C49" i="15"/>
  <c r="C41" i="15"/>
  <c r="C33" i="15"/>
  <c r="C25" i="15"/>
  <c r="C17" i="15"/>
  <c r="C9" i="15"/>
  <c r="D1" i="15"/>
  <c r="D23" i="14"/>
  <c r="D15" i="14"/>
  <c r="D7" i="14"/>
  <c r="A14" i="13"/>
  <c r="A6" i="13"/>
  <c r="B24" i="33"/>
  <c r="E40" i="26"/>
  <c r="E8" i="26"/>
  <c r="H838" i="25"/>
  <c r="I781" i="25"/>
  <c r="A725" i="25"/>
  <c r="B668" i="25"/>
  <c r="C611" i="25"/>
  <c r="G570" i="25"/>
  <c r="G532" i="25"/>
  <c r="H494" i="25"/>
  <c r="I456" i="25"/>
  <c r="I418" i="25"/>
  <c r="A381" i="25"/>
  <c r="D352" i="25"/>
  <c r="I323" i="25"/>
  <c r="E295" i="25"/>
  <c r="A267" i="25"/>
  <c r="F238" i="25"/>
  <c r="B210" i="25"/>
  <c r="G181" i="25"/>
  <c r="C153" i="25"/>
  <c r="H124" i="25"/>
  <c r="D96" i="25"/>
  <c r="I67" i="25"/>
  <c r="E39" i="25"/>
  <c r="A11" i="25"/>
  <c r="B90" i="24"/>
  <c r="B58" i="24"/>
  <c r="B26" i="24"/>
  <c r="E222" i="23"/>
  <c r="B201" i="23"/>
  <c r="G179" i="23"/>
  <c r="E158" i="23"/>
  <c r="B137" i="23"/>
  <c r="G115" i="23"/>
  <c r="E94" i="23"/>
  <c r="B73" i="23"/>
  <c r="G51" i="23"/>
  <c r="E30" i="23"/>
  <c r="B9" i="23"/>
  <c r="F224" i="22"/>
  <c r="C203" i="22"/>
  <c r="H181" i="22"/>
  <c r="F160" i="22"/>
  <c r="C139" i="22"/>
  <c r="H117" i="22"/>
  <c r="F96" i="22"/>
  <c r="C75" i="22"/>
  <c r="H53" i="22"/>
  <c r="F32" i="22"/>
  <c r="G15" i="22"/>
  <c r="H9" i="21"/>
  <c r="B283" i="19"/>
  <c r="B267" i="19"/>
  <c r="B251" i="19"/>
  <c r="B235" i="19"/>
  <c r="B219" i="19"/>
  <c r="B203" i="19"/>
  <c r="B187" i="19"/>
  <c r="B171" i="19"/>
  <c r="B155" i="19"/>
  <c r="B139" i="19"/>
  <c r="B123" i="19"/>
  <c r="B107" i="19"/>
  <c r="B91" i="19"/>
  <c r="B75" i="19"/>
  <c r="A61" i="19"/>
  <c r="C50" i="19"/>
  <c r="F39" i="19"/>
  <c r="A29" i="19"/>
  <c r="G19" i="19"/>
  <c r="G11" i="19"/>
  <c r="G3" i="19"/>
  <c r="H13" i="18"/>
  <c r="H5" i="18"/>
  <c r="L378" i="17"/>
  <c r="H373" i="17"/>
  <c r="D368" i="17"/>
  <c r="L362" i="17"/>
  <c r="H357" i="17"/>
  <c r="D352" i="17"/>
  <c r="L346" i="17"/>
  <c r="H341" i="17"/>
  <c r="D336" i="17"/>
  <c r="L330" i="17"/>
  <c r="H325" i="17"/>
  <c r="D320" i="17"/>
  <c r="L314" i="17"/>
  <c r="H309" i="17"/>
  <c r="D304" i="17"/>
  <c r="L298" i="17"/>
  <c r="H293" i="17"/>
  <c r="D288" i="17"/>
  <c r="L282" i="17"/>
  <c r="H277" i="17"/>
  <c r="D272" i="17"/>
  <c r="L266" i="17"/>
  <c r="H261" i="17"/>
  <c r="D256" i="17"/>
  <c r="L250" i="17"/>
  <c r="H245" i="17"/>
  <c r="D240" i="17"/>
  <c r="L234" i="17"/>
  <c r="H229" i="17"/>
  <c r="D224" i="17"/>
  <c r="L218" i="17"/>
  <c r="H213" i="17"/>
  <c r="D208" i="17"/>
  <c r="L202" i="17"/>
  <c r="H197" i="17"/>
  <c r="D192" i="17"/>
  <c r="L186" i="17"/>
  <c r="H181" i="17"/>
  <c r="D176" i="17"/>
  <c r="L170" i="17"/>
  <c r="H165" i="17"/>
  <c r="D160" i="17"/>
  <c r="L154" i="17"/>
  <c r="H149" i="17"/>
  <c r="D144" i="17"/>
  <c r="L138" i="17"/>
  <c r="H133" i="17"/>
  <c r="D128" i="17"/>
  <c r="L122" i="17"/>
  <c r="H117" i="17"/>
  <c r="D112" i="17"/>
  <c r="L106" i="17"/>
  <c r="H101" i="17"/>
  <c r="D96" i="17"/>
  <c r="L90" i="17"/>
  <c r="H85" i="17"/>
  <c r="D80" i="17"/>
  <c r="L74" i="17"/>
  <c r="H69" i="17"/>
  <c r="D64" i="17"/>
  <c r="L58" i="17"/>
  <c r="H53" i="17"/>
  <c r="D48" i="17"/>
  <c r="L42" i="17"/>
  <c r="H37" i="17"/>
  <c r="D32" i="17"/>
  <c r="L26" i="17"/>
  <c r="H21" i="17"/>
  <c r="D16" i="17"/>
  <c r="K10" i="17"/>
  <c r="K6" i="17"/>
  <c r="B113" i="15"/>
  <c r="B105" i="15"/>
  <c r="B97" i="15"/>
  <c r="B89" i="15"/>
  <c r="B81" i="15"/>
  <c r="B73" i="15"/>
  <c r="B65" i="15"/>
  <c r="B57" i="15"/>
  <c r="B49" i="15"/>
  <c r="B41" i="15"/>
  <c r="B33" i="15"/>
  <c r="B25" i="15"/>
  <c r="B17" i="15"/>
  <c r="B9" i="15"/>
  <c r="C1" i="15"/>
  <c r="C23" i="14"/>
  <c r="C15" i="14"/>
  <c r="C7" i="14"/>
  <c r="D14" i="13"/>
  <c r="D6" i="13"/>
  <c r="A229" i="12"/>
  <c r="A221" i="12"/>
  <c r="A213" i="12"/>
  <c r="A205" i="12"/>
  <c r="A197" i="12"/>
  <c r="A189" i="12"/>
  <c r="A181" i="12"/>
  <c r="A173" i="12"/>
  <c r="A165" i="12"/>
  <c r="A157" i="12"/>
  <c r="A149" i="12"/>
  <c r="D210" i="45"/>
  <c r="F7" i="43"/>
  <c r="H73" i="33"/>
  <c r="D51" i="33"/>
  <c r="G8" i="27"/>
  <c r="N21" i="26"/>
  <c r="D808" i="25"/>
  <c r="F694" i="25"/>
  <c r="H580" i="25"/>
  <c r="A467" i="25"/>
  <c r="F3" i="33"/>
  <c r="H891" i="25"/>
  <c r="A778" i="25"/>
  <c r="C664" i="25"/>
  <c r="H24" i="26"/>
  <c r="G698" i="25"/>
  <c r="I529" i="25"/>
  <c r="I452" i="25"/>
  <c r="H377" i="25"/>
  <c r="I320" i="25"/>
  <c r="A264" i="25"/>
  <c r="B207" i="25"/>
  <c r="C150" i="25"/>
  <c r="D93" i="25"/>
  <c r="E36" i="25"/>
  <c r="G88" i="24"/>
  <c r="G24" i="24"/>
  <c r="H185" i="23"/>
  <c r="H121" i="23"/>
  <c r="H57" i="23"/>
  <c r="E230" i="22"/>
  <c r="E166" i="22"/>
  <c r="A104" i="22"/>
  <c r="A72" i="22"/>
  <c r="A40" i="22"/>
  <c r="E10" i="31"/>
  <c r="D32" i="26"/>
  <c r="B883" i="25"/>
  <c r="C826" i="25"/>
  <c r="D769" i="25"/>
  <c r="E712" i="25"/>
  <c r="F655" i="25"/>
  <c r="B600" i="25"/>
  <c r="C562" i="25"/>
  <c r="C524" i="25"/>
  <c r="D486" i="25"/>
  <c r="E448" i="25"/>
  <c r="E410" i="25"/>
  <c r="E374" i="25"/>
  <c r="A346" i="25"/>
  <c r="F317" i="25"/>
  <c r="B289" i="25"/>
  <c r="G260" i="25"/>
  <c r="C232" i="25"/>
  <c r="H203" i="25"/>
  <c r="D175" i="25"/>
  <c r="I146" i="25"/>
  <c r="E118" i="25"/>
  <c r="A90" i="25"/>
  <c r="F61" i="25"/>
  <c r="B33" i="25"/>
  <c r="G4" i="25"/>
  <c r="E84" i="24"/>
  <c r="A611" i="25"/>
  <c r="E8" i="28"/>
  <c r="E376" i="25"/>
  <c r="C23" i="24"/>
  <c r="G96" i="33"/>
  <c r="G258" i="25"/>
  <c r="E3" i="31"/>
  <c r="A561" i="25"/>
  <c r="C288" i="25"/>
  <c r="I106" i="25"/>
  <c r="E103" i="24"/>
  <c r="I32" i="26"/>
  <c r="D525" i="25"/>
  <c r="E261" i="25"/>
  <c r="I33" i="25"/>
  <c r="C154" i="23"/>
  <c r="D220" i="22"/>
  <c r="G49" i="22"/>
  <c r="E216" i="19"/>
  <c r="E88" i="19"/>
  <c r="D658" i="25"/>
  <c r="E347" i="25"/>
  <c r="I119" i="25"/>
  <c r="E219" i="23"/>
  <c r="G48" i="23"/>
  <c r="F115" i="22"/>
  <c r="D266" i="19"/>
  <c r="G16" i="32"/>
  <c r="D868" i="25"/>
  <c r="C413" i="25"/>
  <c r="F617" i="25"/>
  <c r="D605" i="25"/>
  <c r="E421" i="25"/>
  <c r="I332" i="25"/>
  <c r="A276" i="25"/>
  <c r="B219" i="25"/>
  <c r="C162" i="25"/>
  <c r="D105" i="25"/>
  <c r="E48" i="25"/>
  <c r="C102" i="24"/>
  <c r="C38" i="24"/>
  <c r="D199" i="23"/>
  <c r="D135" i="23"/>
  <c r="D71" i="23"/>
  <c r="D7" i="23"/>
  <c r="A180" i="22"/>
  <c r="A116" i="22"/>
  <c r="E78" i="22"/>
  <c r="E46" i="22"/>
  <c r="G23" i="33"/>
  <c r="N38" i="26"/>
  <c r="N6" i="26"/>
  <c r="H837" i="25"/>
  <c r="I780" i="25"/>
  <c r="A724" i="25"/>
  <c r="B667" i="25"/>
  <c r="C610" i="25"/>
  <c r="I569" i="25"/>
  <c r="A532" i="25"/>
  <c r="A494" i="25"/>
  <c r="B456" i="25"/>
  <c r="C418" i="25"/>
  <c r="C380" i="25"/>
  <c r="H351" i="25"/>
  <c r="D323" i="25"/>
  <c r="I294" i="25"/>
  <c r="E266" i="25"/>
  <c r="A238" i="25"/>
  <c r="F209" i="25"/>
  <c r="B181" i="25"/>
  <c r="G152" i="25"/>
  <c r="C124" i="25"/>
  <c r="H95" i="25"/>
  <c r="D67" i="25"/>
  <c r="I38" i="25"/>
  <c r="E10" i="25"/>
  <c r="A91" i="24"/>
  <c r="A59" i="24"/>
  <c r="A27" i="24"/>
  <c r="F13" i="33"/>
  <c r="B7" i="26"/>
  <c r="C783" i="25"/>
  <c r="E669" i="25"/>
  <c r="F571" i="25"/>
  <c r="G495" i="25"/>
  <c r="H419" i="25"/>
  <c r="A353" i="25"/>
  <c r="B296" i="25"/>
  <c r="C239" i="25"/>
  <c r="D182" i="25"/>
  <c r="E125" i="25"/>
  <c r="F68" i="25"/>
  <c r="G11" i="25"/>
  <c r="H60" i="24"/>
  <c r="A223" i="23"/>
  <c r="C180" i="23"/>
  <c r="F137" i="23"/>
  <c r="A95" i="23"/>
  <c r="C52" i="23"/>
  <c r="F9" i="23"/>
  <c r="G203" i="22"/>
  <c r="B161" i="22"/>
  <c r="D118" i="22"/>
  <c r="G75" i="22"/>
  <c r="B33" i="22"/>
  <c r="C10" i="21"/>
  <c r="A268" i="19"/>
  <c r="A236" i="19"/>
  <c r="A204" i="19"/>
  <c r="A172" i="19"/>
  <c r="A140" i="19"/>
  <c r="A108" i="19"/>
  <c r="A76" i="19"/>
  <c r="M40" i="26"/>
  <c r="E841" i="25"/>
  <c r="G727" i="25"/>
  <c r="I613" i="25"/>
  <c r="E534" i="25"/>
  <c r="G458" i="25"/>
  <c r="H382" i="25"/>
  <c r="C325" i="25"/>
  <c r="D268" i="25"/>
  <c r="E211" i="25"/>
  <c r="F154" i="25"/>
  <c r="G97" i="25"/>
  <c r="H40" i="25"/>
  <c r="F93" i="24"/>
  <c r="F29" i="24"/>
  <c r="G202" i="23"/>
  <c r="B160" i="23"/>
  <c r="E117" i="23"/>
  <c r="G74" i="23"/>
  <c r="B32" i="23"/>
  <c r="H226" i="22"/>
  <c r="C184" i="22"/>
  <c r="F141" i="22"/>
  <c r="H98" i="22"/>
  <c r="C56" i="22"/>
  <c r="E17" i="22"/>
  <c r="H285" i="19"/>
  <c r="H253" i="19"/>
  <c r="I31" i="38"/>
  <c r="E22" i="36"/>
  <c r="F23" i="33"/>
  <c r="E9" i="31"/>
  <c r="N41" i="26"/>
  <c r="I843" i="25"/>
  <c r="B730" i="25"/>
  <c r="D616" i="25"/>
  <c r="F502" i="25"/>
  <c r="H388" i="25"/>
  <c r="N24" i="26"/>
  <c r="F813" i="25"/>
  <c r="H699" i="25"/>
  <c r="B5" i="31"/>
  <c r="H769" i="25"/>
  <c r="E562" i="25"/>
  <c r="F476" i="25"/>
  <c r="G400" i="25"/>
  <c r="G338" i="25"/>
  <c r="H281" i="25"/>
  <c r="I224" i="25"/>
  <c r="A168" i="25"/>
  <c r="B111" i="25"/>
  <c r="C54" i="25"/>
  <c r="G108" i="24"/>
  <c r="G44" i="24"/>
  <c r="H205" i="23"/>
  <c r="H141" i="23"/>
  <c r="H77" i="23"/>
  <c r="H13" i="23"/>
  <c r="E186" i="22"/>
  <c r="E122" i="22"/>
  <c r="A82" i="22"/>
  <c r="A50" i="22"/>
  <c r="B53" i="33"/>
  <c r="B42" i="26"/>
  <c r="B10" i="26"/>
  <c r="A844" i="25"/>
  <c r="B787" i="25"/>
  <c r="C730" i="25"/>
  <c r="D673" i="25"/>
  <c r="E616" i="25"/>
  <c r="A574" i="25"/>
  <c r="B536" i="25"/>
  <c r="C498" i="25"/>
  <c r="C460" i="25"/>
  <c r="D422" i="25"/>
  <c r="E384" i="25"/>
  <c r="I354" i="25"/>
  <c r="E326" i="25"/>
  <c r="A298" i="25"/>
  <c r="F269" i="25"/>
  <c r="B241" i="25"/>
  <c r="G212" i="25"/>
  <c r="C184" i="25"/>
  <c r="H155" i="25"/>
  <c r="D127" i="25"/>
  <c r="I98" i="25"/>
  <c r="E70" i="25"/>
  <c r="A42" i="25"/>
  <c r="F13" i="25"/>
  <c r="E94" i="24"/>
  <c r="E62" i="24"/>
  <c r="E30" i="24"/>
  <c r="G72" i="33"/>
  <c r="K14" i="26"/>
  <c r="G795" i="25"/>
  <c r="I681" i="25"/>
  <c r="H579" i="25"/>
  <c r="A504" i="25"/>
  <c r="B428" i="25"/>
  <c r="C359" i="25"/>
  <c r="D302" i="25"/>
  <c r="E245" i="25"/>
  <c r="F188" i="25"/>
  <c r="G131" i="25"/>
  <c r="H74" i="25"/>
  <c r="I17" i="25"/>
  <c r="H67" i="24"/>
  <c r="H3" i="24"/>
  <c r="A185" i="23"/>
  <c r="C142" i="23"/>
  <c r="F99" i="23"/>
  <c r="A57" i="23"/>
  <c r="C14" i="23"/>
  <c r="D208" i="22"/>
  <c r="G165" i="22"/>
  <c r="B123" i="22"/>
  <c r="D80" i="22"/>
  <c r="G37" i="22"/>
  <c r="F3" i="22"/>
  <c r="E271" i="19"/>
  <c r="E239" i="19"/>
  <c r="E207" i="19"/>
  <c r="E175" i="19"/>
  <c r="E143" i="19"/>
  <c r="E111" i="19"/>
  <c r="E79" i="19"/>
  <c r="F47" i="26"/>
  <c r="I853" i="25"/>
  <c r="B740" i="25"/>
  <c r="D626" i="25"/>
  <c r="H542" i="25"/>
  <c r="I466" i="25"/>
  <c r="B391" i="25"/>
  <c r="E331" i="25"/>
  <c r="F274" i="25"/>
  <c r="G217" i="25"/>
  <c r="H160" i="25"/>
  <c r="I103" i="25"/>
  <c r="A47" i="25"/>
  <c r="F100" i="24"/>
  <c r="F36" i="24"/>
  <c r="E207" i="23"/>
  <c r="G164" i="23"/>
  <c r="B122" i="23"/>
  <c r="E79" i="23"/>
  <c r="G36" i="23"/>
  <c r="F231" i="22"/>
  <c r="H188" i="22"/>
  <c r="C146" i="22"/>
  <c r="F103" i="22"/>
  <c r="H60" i="22"/>
  <c r="A21" i="22"/>
  <c r="C4" i="20"/>
  <c r="D257" i="19"/>
  <c r="H227" i="19"/>
  <c r="H206" i="19"/>
  <c r="H185" i="19"/>
  <c r="H169" i="19"/>
  <c r="H153" i="19"/>
  <c r="H137" i="19"/>
  <c r="H121" i="19"/>
  <c r="H105" i="19"/>
  <c r="H89" i="19"/>
  <c r="H73" i="19"/>
  <c r="H57" i="19"/>
  <c r="H41" i="19"/>
  <c r="H25" i="19"/>
  <c r="J23" i="26"/>
  <c r="I56" i="45"/>
  <c r="H11" i="35"/>
  <c r="A29" i="32"/>
  <c r="F12" i="28"/>
  <c r="J37" i="26"/>
  <c r="D836" i="25"/>
  <c r="F722" i="25"/>
  <c r="H608" i="25"/>
  <c r="A495" i="25"/>
  <c r="C381" i="25"/>
  <c r="J20" i="26"/>
  <c r="A806" i="25"/>
  <c r="C692" i="25"/>
  <c r="H27" i="27"/>
  <c r="G754" i="25"/>
  <c r="H554" i="25"/>
  <c r="C471" i="25"/>
  <c r="D395" i="25"/>
  <c r="G334" i="25"/>
  <c r="H277" i="25"/>
  <c r="I220" i="25"/>
  <c r="A164" i="25"/>
  <c r="B107" i="25"/>
  <c r="C50" i="25"/>
  <c r="C104" i="24"/>
  <c r="C40" i="24"/>
  <c r="D201" i="23"/>
  <c r="D137" i="23"/>
  <c r="D73" i="23"/>
  <c r="D9" i="23"/>
  <c r="A182" i="22"/>
  <c r="A118" i="22"/>
  <c r="E79" i="22"/>
  <c r="E47" i="22"/>
  <c r="A32" i="33"/>
  <c r="M39" i="26"/>
  <c r="M7" i="26"/>
  <c r="F839" i="25"/>
  <c r="G782" i="25"/>
  <c r="H725" i="25"/>
  <c r="I668" i="25"/>
  <c r="A612" i="25"/>
  <c r="B571" i="25"/>
  <c r="B533" i="25"/>
  <c r="C495" i="25"/>
  <c r="D457" i="25"/>
  <c r="D419" i="25"/>
  <c r="E381" i="25"/>
  <c r="G352" i="25"/>
  <c r="C324" i="25"/>
  <c r="H295" i="25"/>
  <c r="D267" i="25"/>
  <c r="I238" i="25"/>
  <c r="E210" i="25"/>
  <c r="A182" i="25"/>
  <c r="F153" i="25"/>
  <c r="B125" i="25"/>
  <c r="G96" i="25"/>
  <c r="C68" i="25"/>
  <c r="H39" i="25"/>
  <c r="D11" i="25"/>
  <c r="A92" i="24"/>
  <c r="A60" i="24"/>
  <c r="A28" i="24"/>
  <c r="D30" i="33"/>
  <c r="P9" i="26"/>
  <c r="H786" i="25"/>
  <c r="A673" i="25"/>
  <c r="I573" i="25"/>
  <c r="A498" i="25"/>
  <c r="C422" i="25"/>
  <c r="H354" i="25"/>
  <c r="I297" i="25"/>
  <c r="A241" i="25"/>
  <c r="B184" i="25"/>
  <c r="C127" i="25"/>
  <c r="D70" i="25"/>
  <c r="E13" i="25"/>
  <c r="H62" i="24"/>
  <c r="C224" i="23"/>
  <c r="F181" i="23"/>
  <c r="A139" i="23"/>
  <c r="C96" i="23"/>
  <c r="F53" i="23"/>
  <c r="A11" i="23"/>
  <c r="D210" i="22"/>
  <c r="G183" i="22"/>
  <c r="B157" i="22"/>
  <c r="B125" i="22"/>
  <c r="D98" i="22"/>
  <c r="G71" i="22"/>
  <c r="D50" i="22"/>
  <c r="B29" i="22"/>
  <c r="B13" i="22"/>
  <c r="C7" i="21"/>
  <c r="A281" i="19"/>
  <c r="A265" i="19"/>
  <c r="A249" i="19"/>
  <c r="A233" i="19"/>
  <c r="A217" i="19"/>
  <c r="A201" i="19"/>
  <c r="A185" i="19"/>
  <c r="A169" i="19"/>
  <c r="A153" i="19"/>
  <c r="A137" i="19"/>
  <c r="A121" i="19"/>
  <c r="A105" i="19"/>
  <c r="A89" i="19"/>
  <c r="A73" i="19"/>
  <c r="H26" i="32"/>
  <c r="C34" i="26"/>
  <c r="G887" i="25"/>
  <c r="H830" i="25"/>
  <c r="I773" i="25"/>
  <c r="A717" i="25"/>
  <c r="B660" i="25"/>
  <c r="C603" i="25"/>
  <c r="D565" i="25"/>
  <c r="D527" i="25"/>
  <c r="E489" i="25"/>
  <c r="F451" i="25"/>
  <c r="F413" i="25"/>
  <c r="H376" i="25"/>
  <c r="D348" i="25"/>
  <c r="I319" i="25"/>
  <c r="E291" i="25"/>
  <c r="A263" i="25"/>
  <c r="F234" i="25"/>
  <c r="B206" i="25"/>
  <c r="G177" i="25"/>
  <c r="C149" i="25"/>
  <c r="H120" i="25"/>
  <c r="D92" i="25"/>
  <c r="I63" i="25"/>
  <c r="E35" i="25"/>
  <c r="A7" i="25"/>
  <c r="F87" i="24"/>
  <c r="F55" i="24"/>
  <c r="F23" i="24"/>
  <c r="B220" i="23"/>
  <c r="G198" i="23"/>
  <c r="E177" i="23"/>
  <c r="B156" i="23"/>
  <c r="G134" i="23"/>
  <c r="E113" i="23"/>
  <c r="B92" i="23"/>
  <c r="G70" i="23"/>
  <c r="E49" i="23"/>
  <c r="B28" i="23"/>
  <c r="G6" i="23"/>
  <c r="H222" i="22"/>
  <c r="F201" i="22"/>
  <c r="C180" i="22"/>
  <c r="H158" i="22"/>
  <c r="F137" i="22"/>
  <c r="C116" i="22"/>
  <c r="H94" i="22"/>
  <c r="F73" i="22"/>
  <c r="C52" i="22"/>
  <c r="H30" i="22"/>
  <c r="E14" i="22"/>
  <c r="F8" i="21"/>
  <c r="H282" i="19"/>
  <c r="H266" i="19"/>
  <c r="H250" i="19"/>
  <c r="H234" i="19"/>
  <c r="D223" i="19"/>
  <c r="H212" i="19"/>
  <c r="C10" i="43"/>
  <c r="D7" i="34"/>
  <c r="B35" i="32"/>
  <c r="H13" i="28"/>
  <c r="C44" i="33"/>
  <c r="J9" i="26"/>
  <c r="F786" i="25"/>
  <c r="H672" i="25"/>
  <c r="A559" i="25"/>
  <c r="C445" i="25"/>
  <c r="D30" i="27"/>
  <c r="A870" i="25"/>
  <c r="C756" i="25"/>
  <c r="E642" i="25"/>
  <c r="G882" i="25"/>
  <c r="B655" i="25"/>
  <c r="I513" i="25"/>
  <c r="A438" i="25"/>
  <c r="G366" i="25"/>
  <c r="H309" i="25"/>
  <c r="I252" i="25"/>
  <c r="A196" i="25"/>
  <c r="B139" i="25"/>
  <c r="C82" i="25"/>
  <c r="D25" i="25"/>
  <c r="C76" i="24"/>
  <c r="C12" i="24"/>
  <c r="D173" i="23"/>
  <c r="D109" i="23"/>
  <c r="D45" i="23"/>
  <c r="A218" i="22"/>
  <c r="A154" i="22"/>
  <c r="E97" i="22"/>
  <c r="E65" i="22"/>
  <c r="E33" i="22"/>
  <c r="H34" i="27"/>
  <c r="K25" i="26"/>
  <c r="F871" i="25"/>
  <c r="G814" i="25"/>
  <c r="H757" i="25"/>
  <c r="I700" i="25"/>
  <c r="A644" i="25"/>
  <c r="E592" i="25"/>
  <c r="E554" i="25"/>
  <c r="F516" i="25"/>
  <c r="G478" i="25"/>
  <c r="G440" i="25"/>
  <c r="H402" i="25"/>
  <c r="G368" i="25"/>
  <c r="C340" i="25"/>
  <c r="H311" i="25"/>
  <c r="D283" i="25"/>
  <c r="I254" i="25"/>
  <c r="E226" i="25"/>
  <c r="A198" i="25"/>
  <c r="F169" i="25"/>
  <c r="B141" i="25"/>
  <c r="G112" i="25"/>
  <c r="C84" i="25"/>
  <c r="H55" i="25"/>
  <c r="D27" i="25"/>
  <c r="A110" i="24"/>
  <c r="A78" i="24"/>
  <c r="A46" i="24"/>
  <c r="A14" i="24"/>
  <c r="L45" i="26"/>
  <c r="H850" i="25"/>
  <c r="A737" i="25"/>
  <c r="C623" i="25"/>
  <c r="G540" i="25"/>
  <c r="I464" i="25"/>
  <c r="A389" i="25"/>
  <c r="I329" i="25"/>
  <c r="A273" i="25"/>
  <c r="B216" i="25"/>
  <c r="C159" i="25"/>
  <c r="D102" i="25"/>
  <c r="E45" i="25"/>
  <c r="H98" i="24"/>
  <c r="H34" i="24"/>
  <c r="F205" i="23"/>
  <c r="A163" i="23"/>
  <c r="C120" i="23"/>
  <c r="F77" i="23"/>
  <c r="A35" i="23"/>
  <c r="B229" i="22"/>
  <c r="D186" i="22"/>
  <c r="G143" i="22"/>
  <c r="B101" i="22"/>
  <c r="D58" i="22"/>
  <c r="B19" i="22"/>
  <c r="D2" i="20"/>
  <c r="A255" i="19"/>
  <c r="A223" i="19"/>
  <c r="A191" i="19"/>
  <c r="A159" i="19"/>
  <c r="A127" i="19"/>
  <c r="A95" i="19"/>
  <c r="H95" i="33"/>
  <c r="G14" i="26"/>
  <c r="C795" i="25"/>
  <c r="E681" i="25"/>
  <c r="F579" i="25"/>
  <c r="G503" i="25"/>
  <c r="H427" i="25"/>
  <c r="A359" i="25"/>
  <c r="B302" i="25"/>
  <c r="C245" i="25"/>
  <c r="D188" i="25"/>
  <c r="E131" i="25"/>
  <c r="F74" i="25"/>
  <c r="G17" i="25"/>
  <c r="F67" i="24"/>
  <c r="F3" i="24"/>
  <c r="E185" i="23"/>
  <c r="G142" i="23"/>
  <c r="B100" i="23"/>
  <c r="E57" i="23"/>
  <c r="G14" i="23"/>
  <c r="F209" i="22"/>
  <c r="H166" i="22"/>
  <c r="C124" i="22"/>
  <c r="F81" i="22"/>
  <c r="H38" i="22"/>
  <c r="E4" i="22"/>
  <c r="H272" i="19"/>
  <c r="H240" i="19"/>
  <c r="H216" i="19"/>
  <c r="H197" i="19"/>
  <c r="H184" i="19"/>
  <c r="D174" i="19"/>
  <c r="D163" i="19"/>
  <c r="H152" i="19"/>
  <c r="D142" i="19"/>
  <c r="D131" i="19"/>
  <c r="H120" i="19"/>
  <c r="D110" i="19"/>
  <c r="D99" i="19"/>
  <c r="H88" i="19"/>
  <c r="D78" i="19"/>
  <c r="D67" i="19"/>
  <c r="H56" i="19"/>
  <c r="D46" i="19"/>
  <c r="D35" i="19"/>
  <c r="H24" i="19"/>
  <c r="G42" i="26"/>
  <c r="E885" i="25"/>
  <c r="F828" i="25"/>
  <c r="G771" i="25"/>
  <c r="H714" i="25"/>
  <c r="I657" i="25"/>
  <c r="H601" i="25"/>
  <c r="H563" i="25"/>
  <c r="I525" i="25"/>
  <c r="A488" i="25"/>
  <c r="A450" i="25"/>
  <c r="B412" i="25"/>
  <c r="G375" i="25"/>
  <c r="C347" i="25"/>
  <c r="H318" i="25"/>
  <c r="D290" i="25"/>
  <c r="I261" i="25"/>
  <c r="E233" i="25"/>
  <c r="A205" i="25"/>
  <c r="F176" i="25"/>
  <c r="B148" i="25"/>
  <c r="G119" i="25"/>
  <c r="C91" i="25"/>
  <c r="H62" i="25"/>
  <c r="D34" i="25"/>
  <c r="I5" i="25"/>
  <c r="D86" i="24"/>
  <c r="D54" i="24"/>
  <c r="D22" i="24"/>
  <c r="A220" i="23"/>
  <c r="F198" i="23"/>
  <c r="C177" i="23"/>
  <c r="A156" i="23"/>
  <c r="F134" i="23"/>
  <c r="C113" i="23"/>
  <c r="A92" i="23"/>
  <c r="F70" i="23"/>
  <c r="C49" i="23"/>
  <c r="A28" i="23"/>
  <c r="F6" i="23"/>
  <c r="B222" i="22"/>
  <c r="G200" i="22"/>
  <c r="D179" i="22"/>
  <c r="B158" i="22"/>
  <c r="G136" i="22"/>
  <c r="D115" i="22"/>
  <c r="B94" i="22"/>
  <c r="G72" i="22"/>
  <c r="D51" i="22"/>
  <c r="B30" i="22"/>
  <c r="H13" i="22"/>
  <c r="A7" i="21"/>
  <c r="C281" i="19"/>
  <c r="C265" i="19"/>
  <c r="C249" i="19"/>
  <c r="C233" i="19"/>
  <c r="C217" i="19"/>
  <c r="C201" i="19"/>
  <c r="C185" i="19"/>
  <c r="C169" i="19"/>
  <c r="C153" i="19"/>
  <c r="C137" i="19"/>
  <c r="C121" i="19"/>
  <c r="C105" i="19"/>
  <c r="C89" i="19"/>
  <c r="C73" i="19"/>
  <c r="G59" i="19"/>
  <c r="B49" i="19"/>
  <c r="E38" i="19"/>
  <c r="G27" i="19"/>
  <c r="H18" i="19"/>
  <c r="H10" i="19"/>
  <c r="H2" i="19"/>
  <c r="E12" i="18"/>
  <c r="E4" i="18"/>
  <c r="M378" i="17"/>
  <c r="M374" i="17"/>
  <c r="M370" i="17"/>
  <c r="M366" i="17"/>
  <c r="M362" i="17"/>
  <c r="M358" i="17"/>
  <c r="M354" i="17"/>
  <c r="M350" i="17"/>
  <c r="M346" i="17"/>
  <c r="M342" i="17"/>
  <c r="M338" i="17"/>
  <c r="M334" i="17"/>
  <c r="M330" i="17"/>
  <c r="M326" i="17"/>
  <c r="M322" i="17"/>
  <c r="M318" i="17"/>
  <c r="M314" i="17"/>
  <c r="M310" i="17"/>
  <c r="M306" i="17"/>
  <c r="M302" i="17"/>
  <c r="M298" i="17"/>
  <c r="M294" i="17"/>
  <c r="M290" i="17"/>
  <c r="M286" i="17"/>
  <c r="M282" i="17"/>
  <c r="M278" i="17"/>
  <c r="M274" i="17"/>
  <c r="M270" i="17"/>
  <c r="M266" i="17"/>
  <c r="M262" i="17"/>
  <c r="M258" i="17"/>
  <c r="M254" i="17"/>
  <c r="M250" i="17"/>
  <c r="M246" i="17"/>
  <c r="M242" i="17"/>
  <c r="M238" i="17"/>
  <c r="M234" i="17"/>
  <c r="M230" i="17"/>
  <c r="M226" i="17"/>
  <c r="M222" i="17"/>
  <c r="M218" i="17"/>
  <c r="M214" i="17"/>
  <c r="M210" i="17"/>
  <c r="M206" i="17"/>
  <c r="M202" i="17"/>
  <c r="M198" i="17"/>
  <c r="M194" i="17"/>
  <c r="M190" i="17"/>
  <c r="M186" i="17"/>
  <c r="M182" i="17"/>
  <c r="M178" i="17"/>
  <c r="M174" i="17"/>
  <c r="M170" i="17"/>
  <c r="M166" i="17"/>
  <c r="M162" i="17"/>
  <c r="M158" i="17"/>
  <c r="M154" i="17"/>
  <c r="M150" i="17"/>
  <c r="M146" i="17"/>
  <c r="M142" i="17"/>
  <c r="M138" i="17"/>
  <c r="M134" i="17"/>
  <c r="M130" i="17"/>
  <c r="M126" i="17"/>
  <c r="M122" i="17"/>
  <c r="M118" i="17"/>
  <c r="M114" i="17"/>
  <c r="M110" i="17"/>
  <c r="M106" i="17"/>
  <c r="M102" i="17"/>
  <c r="M98" i="17"/>
  <c r="M94" i="17"/>
  <c r="M90" i="17"/>
  <c r="M86" i="17"/>
  <c r="M82" i="17"/>
  <c r="M78" i="17"/>
  <c r="M74" i="17"/>
  <c r="M70" i="17"/>
  <c r="M66" i="17"/>
  <c r="M62" i="17"/>
  <c r="M58" i="17"/>
  <c r="M54" i="17"/>
  <c r="M50" i="17"/>
  <c r="M46" i="17"/>
  <c r="M42" i="17"/>
  <c r="M38" i="17"/>
  <c r="M34" i="17"/>
  <c r="M30" i="17"/>
  <c r="M26" i="17"/>
  <c r="M22" i="17"/>
  <c r="M18" i="17"/>
  <c r="M14" i="17"/>
  <c r="L10" i="17"/>
  <c r="K5" i="17"/>
  <c r="C111" i="15"/>
  <c r="C103" i="15"/>
  <c r="C95" i="15"/>
  <c r="C87" i="15"/>
  <c r="C79" i="15"/>
  <c r="C71" i="15"/>
  <c r="C63" i="15"/>
  <c r="C55" i="15"/>
  <c r="C47" i="15"/>
  <c r="C39" i="15"/>
  <c r="C31" i="15"/>
  <c r="C23" i="15"/>
  <c r="C15" i="15"/>
  <c r="C7" i="15"/>
  <c r="D29" i="14"/>
  <c r="D21" i="14"/>
  <c r="D13" i="14"/>
  <c r="D5" i="14"/>
  <c r="A12" i="13"/>
  <c r="A4" i="13"/>
  <c r="A1" i="32"/>
  <c r="M32" i="26"/>
  <c r="E881" i="25"/>
  <c r="F824" i="25"/>
  <c r="G767" i="25"/>
  <c r="H710" i="25"/>
  <c r="I653" i="25"/>
  <c r="B599" i="25"/>
  <c r="B561" i="25"/>
  <c r="C523" i="25"/>
  <c r="D485" i="25"/>
  <c r="D447" i="25"/>
  <c r="E409" i="25"/>
  <c r="G373" i="25"/>
  <c r="C345" i="25"/>
  <c r="H316" i="25"/>
  <c r="D288" i="25"/>
  <c r="I259" i="25"/>
  <c r="E231" i="25"/>
  <c r="A203" i="25"/>
  <c r="F174" i="25"/>
  <c r="B146" i="25"/>
  <c r="G117" i="25"/>
  <c r="C89" i="25"/>
  <c r="H60" i="25"/>
  <c r="D32" i="25"/>
  <c r="B114" i="24"/>
  <c r="B82" i="24"/>
  <c r="B50" i="24"/>
  <c r="B18" i="24"/>
  <c r="B217" i="23"/>
  <c r="G195" i="23"/>
  <c r="E174" i="23"/>
  <c r="B153" i="23"/>
  <c r="G131" i="23"/>
  <c r="E110" i="23"/>
  <c r="B89" i="23"/>
  <c r="G67" i="23"/>
  <c r="E46" i="23"/>
  <c r="B25" i="23"/>
  <c r="G3" i="23"/>
  <c r="C219" i="22"/>
  <c r="H197" i="22"/>
  <c r="F176" i="22"/>
  <c r="C155" i="22"/>
  <c r="H133" i="22"/>
  <c r="F112" i="22"/>
  <c r="C91" i="22"/>
  <c r="H69" i="22"/>
  <c r="F48" i="22"/>
  <c r="G27" i="22"/>
  <c r="G11" i="22"/>
  <c r="H5" i="21"/>
  <c r="B279" i="19"/>
  <c r="B263" i="19"/>
  <c r="B247" i="19"/>
  <c r="B231" i="19"/>
  <c r="B215" i="19"/>
  <c r="B199" i="19"/>
  <c r="B183" i="19"/>
  <c r="B167" i="19"/>
  <c r="B151" i="19"/>
  <c r="B135" i="19"/>
  <c r="B119" i="19"/>
  <c r="B103" i="19"/>
  <c r="B87" i="19"/>
  <c r="B71" i="19"/>
  <c r="C58" i="19"/>
  <c r="F47" i="19"/>
  <c r="A37" i="19"/>
  <c r="C26" i="19"/>
  <c r="G17" i="19"/>
  <c r="G9" i="19"/>
  <c r="H1" i="19"/>
  <c r="H11" i="18"/>
  <c r="H3" i="18"/>
  <c r="H377" i="17"/>
  <c r="D372" i="17"/>
  <c r="L366" i="17"/>
  <c r="H361" i="17"/>
  <c r="D356" i="17"/>
  <c r="L350" i="17"/>
  <c r="H345" i="17"/>
  <c r="D340" i="17"/>
  <c r="L334" i="17"/>
  <c r="H329" i="17"/>
  <c r="D324" i="17"/>
  <c r="L318" i="17"/>
  <c r="H313" i="17"/>
  <c r="D308" i="17"/>
  <c r="L302" i="17"/>
  <c r="H297" i="17"/>
  <c r="D292" i="17"/>
  <c r="L286" i="17"/>
  <c r="H281" i="17"/>
  <c r="D276" i="17"/>
  <c r="L270" i="17"/>
  <c r="H265" i="17"/>
  <c r="D260" i="17"/>
  <c r="L254" i="17"/>
  <c r="H249" i="17"/>
  <c r="D244" i="17"/>
  <c r="L238" i="17"/>
  <c r="H233" i="17"/>
  <c r="D228" i="17"/>
  <c r="L222" i="17"/>
  <c r="H217" i="17"/>
  <c r="D212" i="17"/>
  <c r="L206" i="17"/>
  <c r="H201" i="17"/>
  <c r="D196" i="17"/>
  <c r="L190" i="17"/>
  <c r="H185" i="17"/>
  <c r="D180" i="17"/>
  <c r="L174" i="17"/>
  <c r="H169" i="17"/>
  <c r="D164" i="17"/>
  <c r="L158" i="17"/>
  <c r="H153" i="17"/>
  <c r="D148" i="17"/>
  <c r="L142" i="17"/>
  <c r="H137" i="17"/>
  <c r="D132" i="17"/>
  <c r="L126" i="17"/>
  <c r="H121" i="17"/>
  <c r="D116" i="17"/>
  <c r="L110" i="17"/>
  <c r="H105" i="17"/>
  <c r="D100" i="17"/>
  <c r="L94" i="17"/>
  <c r="H89" i="17"/>
  <c r="D84" i="17"/>
  <c r="L78" i="17"/>
  <c r="H73" i="17"/>
  <c r="D68" i="17"/>
  <c r="L62" i="17"/>
  <c r="H57" i="17"/>
  <c r="D52" i="17"/>
  <c r="L46" i="17"/>
  <c r="H41" i="17"/>
  <c r="D36" i="17"/>
  <c r="L30" i="17"/>
  <c r="H25" i="17"/>
  <c r="D20" i="17"/>
  <c r="L14" i="17"/>
  <c r="K9" i="17"/>
  <c r="J5" i="17"/>
  <c r="B111" i="15"/>
  <c r="B103" i="15"/>
  <c r="B95" i="15"/>
  <c r="B87" i="15"/>
  <c r="B79" i="15"/>
  <c r="B71" i="15"/>
  <c r="B63" i="15"/>
  <c r="B55" i="15"/>
  <c r="B47" i="15"/>
  <c r="B39" i="15"/>
  <c r="B31" i="15"/>
  <c r="B23" i="15"/>
  <c r="B15" i="15"/>
  <c r="B7" i="15"/>
  <c r="C29" i="14"/>
  <c r="C21" i="14"/>
  <c r="C13" i="14"/>
  <c r="C5" i="14"/>
  <c r="D12" i="13"/>
  <c r="D4" i="13"/>
  <c r="A227" i="12"/>
  <c r="A219" i="12"/>
  <c r="A211" i="12"/>
  <c r="A203" i="12"/>
  <c r="A195" i="12"/>
  <c r="A187" i="12"/>
  <c r="A179" i="12"/>
  <c r="A171" i="12"/>
  <c r="A163" i="12"/>
  <c r="A155" i="12"/>
  <c r="A147" i="12"/>
  <c r="B88" i="45"/>
  <c r="G85" i="33"/>
  <c r="E14" i="32"/>
  <c r="A36" i="27"/>
  <c r="F12" i="33"/>
  <c r="M5" i="26"/>
  <c r="I779" i="25"/>
  <c r="B666" i="25"/>
  <c r="D552" i="25"/>
  <c r="F438" i="25"/>
  <c r="D15" i="27"/>
  <c r="D863" i="25"/>
  <c r="F749" i="25"/>
  <c r="H635" i="25"/>
  <c r="D869" i="25"/>
  <c r="H641" i="25"/>
  <c r="H509" i="25"/>
  <c r="I433" i="25"/>
  <c r="F363" i="25"/>
  <c r="G306" i="25"/>
  <c r="H249" i="25"/>
  <c r="I192" i="25"/>
  <c r="A136" i="25"/>
  <c r="B79" i="25"/>
  <c r="C22" i="25"/>
  <c r="G72" i="24"/>
  <c r="G8" i="24"/>
  <c r="H169" i="23"/>
  <c r="H105" i="23"/>
  <c r="H41" i="23"/>
  <c r="E214" i="22"/>
  <c r="E150" i="22"/>
  <c r="A96" i="22"/>
  <c r="A64" i="22"/>
  <c r="A32" i="22"/>
  <c r="H28" i="27"/>
  <c r="D24" i="26"/>
  <c r="I868" i="25"/>
  <c r="A812" i="25"/>
  <c r="B755" i="25"/>
  <c r="C698" i="25"/>
  <c r="D641" i="25"/>
  <c r="G590" i="25"/>
  <c r="G552" i="25"/>
  <c r="H514" i="25"/>
  <c r="I476" i="25"/>
  <c r="I438" i="25"/>
  <c r="A401" i="25"/>
  <c r="D367" i="25"/>
  <c r="I338" i="25"/>
  <c r="E310" i="25"/>
  <c r="A282" i="25"/>
  <c r="F253" i="25"/>
  <c r="B225" i="25"/>
  <c r="G196" i="25"/>
  <c r="C168" i="25"/>
  <c r="H139" i="25"/>
  <c r="D111" i="25"/>
  <c r="I82" i="25"/>
  <c r="E54" i="25"/>
  <c r="A26" i="25"/>
  <c r="E108" i="24"/>
  <c r="B557" i="25"/>
  <c r="B570" i="25"/>
  <c r="D231" i="25"/>
  <c r="E449" i="25"/>
  <c r="G177" i="22"/>
  <c r="B564" i="25"/>
  <c r="B6" i="23"/>
  <c r="F754" i="25"/>
  <c r="F383" i="25"/>
  <c r="A148" i="25"/>
  <c r="C22" i="24"/>
  <c r="A228" i="22"/>
  <c r="E38" i="22"/>
  <c r="F823" i="25"/>
  <c r="D598" i="25"/>
  <c r="G446" i="25"/>
  <c r="C316" i="25"/>
  <c r="E202" i="25"/>
  <c r="G88" i="25"/>
  <c r="A83" i="24"/>
  <c r="F868" i="25"/>
  <c r="G476" i="25"/>
  <c r="A225" i="25"/>
  <c r="H108" i="24"/>
  <c r="A127" i="23"/>
  <c r="B193" i="22"/>
  <c r="B24" i="22"/>
  <c r="A196" i="19"/>
  <c r="A68" i="19"/>
  <c r="D591" i="25"/>
  <c r="A311" i="25"/>
  <c r="E83" i="25"/>
  <c r="B192" i="23"/>
  <c r="E21" i="23"/>
  <c r="C88" i="22"/>
  <c r="H245" i="19"/>
  <c r="F2" i="28"/>
  <c r="B602" i="25"/>
  <c r="D799" i="25"/>
  <c r="I548" i="25"/>
  <c r="G274" i="25"/>
  <c r="B47" i="25"/>
  <c r="H133" i="23"/>
  <c r="E114" i="22"/>
  <c r="F38" i="26"/>
  <c r="B723" i="25"/>
  <c r="D531" i="25"/>
  <c r="H379" i="25"/>
  <c r="A266" i="25"/>
  <c r="C152" i="25"/>
  <c r="E38" i="25"/>
  <c r="E26" i="24"/>
  <c r="G667" i="25"/>
  <c r="B352" i="25"/>
  <c r="F124" i="25"/>
  <c r="C222" i="23"/>
  <c r="F51" i="23"/>
  <c r="G117" i="22"/>
  <c r="H2" i="20"/>
  <c r="E223" i="19"/>
  <c r="E159" i="19"/>
  <c r="E95" i="19"/>
  <c r="F15" i="26"/>
  <c r="C683" i="25"/>
  <c r="I504" i="25"/>
  <c r="I359" i="25"/>
  <c r="B246" i="25"/>
  <c r="D132" i="25"/>
  <c r="F18" i="25"/>
  <c r="F4" i="24"/>
  <c r="E143" i="23"/>
  <c r="B58" i="23"/>
  <c r="C210" i="22"/>
  <c r="H124" i="22"/>
  <c r="F39" i="22"/>
  <c r="D273" i="19"/>
  <c r="D217" i="19"/>
  <c r="H177" i="19"/>
  <c r="H145" i="19"/>
  <c r="H113" i="19"/>
  <c r="H81" i="19"/>
  <c r="H49" i="19"/>
  <c r="B32" i="27"/>
  <c r="C85" i="33"/>
  <c r="E35" i="27"/>
  <c r="I5" i="26"/>
  <c r="G665" i="25"/>
  <c r="B438" i="25"/>
  <c r="I862" i="25"/>
  <c r="D635" i="25"/>
  <c r="I640" i="25"/>
  <c r="D433" i="25"/>
  <c r="C306" i="25"/>
  <c r="E192" i="25"/>
  <c r="G78" i="25"/>
  <c r="C72" i="24"/>
  <c r="D169" i="23"/>
  <c r="D41" i="23"/>
  <c r="A150" i="22"/>
  <c r="E63" i="22"/>
  <c r="H26" i="27"/>
  <c r="A868" i="25"/>
  <c r="C754" i="25"/>
  <c r="E640" i="25"/>
  <c r="B552" i="25"/>
  <c r="C476" i="25"/>
  <c r="E400" i="25"/>
  <c r="E338" i="25"/>
  <c r="F281" i="25"/>
  <c r="G224" i="25"/>
  <c r="H167" i="25"/>
  <c r="I110" i="25"/>
  <c r="A54" i="25"/>
  <c r="A108" i="24"/>
  <c r="A44" i="24"/>
  <c r="P41" i="26"/>
  <c r="I729" i="25"/>
  <c r="A536" i="25"/>
  <c r="C384" i="25"/>
  <c r="E269" i="25"/>
  <c r="G155" i="25"/>
  <c r="I41" i="25"/>
  <c r="H30" i="24"/>
  <c r="C160" i="23"/>
  <c r="A75" i="23"/>
  <c r="D226" i="22"/>
  <c r="G167" i="22"/>
  <c r="D114" i="22"/>
  <c r="B61" i="22"/>
  <c r="B21" i="22"/>
  <c r="D4" i="20"/>
  <c r="A257" i="19"/>
  <c r="A225" i="19"/>
  <c r="A193" i="19"/>
  <c r="A161" i="19"/>
  <c r="A129" i="19"/>
  <c r="A97" i="19"/>
  <c r="A65" i="19"/>
  <c r="C18" i="26"/>
  <c r="D802" i="25"/>
  <c r="F688" i="25"/>
  <c r="C584" i="25"/>
  <c r="E508" i="25"/>
  <c r="F432" i="25"/>
  <c r="F362" i="25"/>
  <c r="G305" i="25"/>
  <c r="H248" i="25"/>
  <c r="I191" i="25"/>
  <c r="A135" i="25"/>
  <c r="B78" i="25"/>
  <c r="C21" i="25"/>
  <c r="F71" i="24"/>
  <c r="F7" i="24"/>
  <c r="B188" i="23"/>
  <c r="E145" i="23"/>
  <c r="G102" i="23"/>
  <c r="B60" i="23"/>
  <c r="E17" i="23"/>
  <c r="C212" i="22"/>
  <c r="F169" i="22"/>
  <c r="H126" i="22"/>
  <c r="C84" i="22"/>
  <c r="F41" i="22"/>
  <c r="E6" i="22"/>
  <c r="H274" i="19"/>
  <c r="H242" i="19"/>
  <c r="H217" i="19"/>
  <c r="A31" i="38"/>
  <c r="G22" i="33"/>
  <c r="J41" i="26"/>
  <c r="G729" i="25"/>
  <c r="B502" i="25"/>
  <c r="J24" i="26"/>
  <c r="D699" i="25"/>
  <c r="I768" i="25"/>
  <c r="A476" i="25"/>
  <c r="C338" i="25"/>
  <c r="E224" i="25"/>
  <c r="G110" i="25"/>
  <c r="C108" i="24"/>
  <c r="D205" i="23"/>
  <c r="D77" i="23"/>
  <c r="A186" i="22"/>
  <c r="E81" i="22"/>
  <c r="A49" i="33"/>
  <c r="K9" i="26"/>
  <c r="C786" i="25"/>
  <c r="E672" i="25"/>
  <c r="E573" i="25"/>
  <c r="F497" i="25"/>
  <c r="H421" i="25"/>
  <c r="E354" i="25"/>
  <c r="F297" i="25"/>
  <c r="G240" i="25"/>
  <c r="H183" i="25"/>
  <c r="I126" i="25"/>
  <c r="A70" i="25"/>
  <c r="B13" i="25"/>
  <c r="A62" i="24"/>
  <c r="B64" i="33"/>
  <c r="I793" i="25"/>
  <c r="G578" i="25"/>
  <c r="I426" i="25"/>
  <c r="E301" i="25"/>
  <c r="G187" i="25"/>
  <c r="I73" i="25"/>
  <c r="H66" i="24"/>
  <c r="C184" i="23"/>
  <c r="A99" i="23"/>
  <c r="F13" i="23"/>
  <c r="B165" i="22"/>
  <c r="G79" i="22"/>
  <c r="B3" i="22"/>
  <c r="A239" i="19"/>
  <c r="A175" i="19"/>
  <c r="A111" i="19"/>
  <c r="G46" i="26"/>
  <c r="D738" i="25"/>
  <c r="F541" i="25"/>
  <c r="I389" i="25"/>
  <c r="G273" i="25"/>
  <c r="I159" i="25"/>
  <c r="B46" i="25"/>
  <c r="F35" i="24"/>
  <c r="B164" i="23"/>
  <c r="G78" i="23"/>
  <c r="H230" i="22"/>
  <c r="F145" i="22"/>
  <c r="C60" i="22"/>
  <c r="G3" i="20"/>
  <c r="D227" i="19"/>
  <c r="D191" i="19"/>
  <c r="H168" i="19"/>
  <c r="D147" i="19"/>
  <c r="D126" i="19"/>
  <c r="H104" i="19"/>
  <c r="D83" i="19"/>
  <c r="D62" i="19"/>
  <c r="H40" i="19"/>
  <c r="E5" i="32"/>
  <c r="A857" i="25"/>
  <c r="C743" i="25"/>
  <c r="E629" i="25"/>
  <c r="I544" i="25"/>
  <c r="A469" i="25"/>
  <c r="B393" i="25"/>
  <c r="A333" i="25"/>
  <c r="B276" i="25"/>
  <c r="C219" i="25"/>
  <c r="D162" i="25"/>
  <c r="E105" i="25"/>
  <c r="F48" i="25"/>
  <c r="D102" i="24"/>
  <c r="D38" i="24"/>
  <c r="C209" i="23"/>
  <c r="F166" i="23"/>
  <c r="A124" i="23"/>
  <c r="C81" i="23"/>
  <c r="F38" i="23"/>
  <c r="G232" i="22"/>
  <c r="B190" i="22"/>
  <c r="D147" i="22"/>
  <c r="G104" i="22"/>
  <c r="B62" i="22"/>
  <c r="H21" i="22"/>
  <c r="B4" i="20"/>
  <c r="C257" i="19"/>
  <c r="C225" i="19"/>
  <c r="C193" i="19"/>
  <c r="C161" i="19"/>
  <c r="C129" i="19"/>
  <c r="C97" i="19"/>
  <c r="C65" i="19"/>
  <c r="G43" i="19"/>
  <c r="H22" i="19"/>
  <c r="H6" i="19"/>
  <c r="E8" i="18"/>
  <c r="M376" i="17"/>
  <c r="M368" i="17"/>
  <c r="M360" i="17"/>
  <c r="M352" i="17"/>
  <c r="M344" i="17"/>
  <c r="M336" i="17"/>
  <c r="M328" i="17"/>
  <c r="M320" i="17"/>
  <c r="M312" i="17"/>
  <c r="M304" i="17"/>
  <c r="M296" i="17"/>
  <c r="M288" i="17"/>
  <c r="M280" i="17"/>
  <c r="M272" i="17"/>
  <c r="M264" i="17"/>
  <c r="M256" i="17"/>
  <c r="M248" i="17"/>
  <c r="M240" i="17"/>
  <c r="M232" i="17"/>
  <c r="M224" i="17"/>
  <c r="M216" i="17"/>
  <c r="M208" i="17"/>
  <c r="M200" i="17"/>
  <c r="M192" i="17"/>
  <c r="M184" i="17"/>
  <c r="M176" i="17"/>
  <c r="M168" i="17"/>
  <c r="M160" i="17"/>
  <c r="M152" i="17"/>
  <c r="M144" i="17"/>
  <c r="M136" i="17"/>
  <c r="M128" i="17"/>
  <c r="M120" i="17"/>
  <c r="M112" i="17"/>
  <c r="M104" i="17"/>
  <c r="M96" i="17"/>
  <c r="M88" i="17"/>
  <c r="M80" i="17"/>
  <c r="M72" i="17"/>
  <c r="M64" i="17"/>
  <c r="M56" i="17"/>
  <c r="M48" i="17"/>
  <c r="M40" i="17"/>
  <c r="M32" i="17"/>
  <c r="M24" i="17"/>
  <c r="M16" i="17"/>
  <c r="D8" i="17"/>
  <c r="C107" i="15"/>
  <c r="C91" i="15"/>
  <c r="C75" i="15"/>
  <c r="C59" i="15"/>
  <c r="C43" i="15"/>
  <c r="C27" i="15"/>
  <c r="C11" i="15"/>
  <c r="D25" i="14"/>
  <c r="D9" i="14"/>
  <c r="A8" i="13"/>
  <c r="N47" i="26"/>
  <c r="A853" i="25"/>
  <c r="C739" i="25"/>
  <c r="E625" i="25"/>
  <c r="C542" i="25"/>
  <c r="D466" i="25"/>
  <c r="E390" i="25"/>
  <c r="A331" i="25"/>
  <c r="B274" i="25"/>
  <c r="C217" i="25"/>
  <c r="D160" i="25"/>
  <c r="E103" i="25"/>
  <c r="F46" i="25"/>
  <c r="B98" i="24"/>
  <c r="B34" i="24"/>
  <c r="E206" i="23"/>
  <c r="G163" i="23"/>
  <c r="B121" i="23"/>
  <c r="E78" i="23"/>
  <c r="G35" i="23"/>
  <c r="H229" i="22"/>
  <c r="C187" i="22"/>
  <c r="F144" i="22"/>
  <c r="H101" i="22"/>
  <c r="C59" i="22"/>
  <c r="G19" i="22"/>
  <c r="A2" i="20"/>
  <c r="B255" i="19"/>
  <c r="B223" i="19"/>
  <c r="B191" i="19"/>
  <c r="B159" i="19"/>
  <c r="B127" i="19"/>
  <c r="B95" i="19"/>
  <c r="F63" i="19"/>
  <c r="C42" i="19"/>
  <c r="G21" i="19"/>
  <c r="G5" i="19"/>
  <c r="H7" i="18"/>
  <c r="L374" i="17"/>
  <c r="D364" i="17"/>
  <c r="H353" i="17"/>
  <c r="L342" i="17"/>
  <c r="D332" i="17"/>
  <c r="H321" i="17"/>
  <c r="L310" i="17"/>
  <c r="D300" i="17"/>
  <c r="H289" i="17"/>
  <c r="L278" i="17"/>
  <c r="D268" i="17"/>
  <c r="H257" i="17"/>
  <c r="L246" i="17"/>
  <c r="D236" i="17"/>
  <c r="H225" i="17"/>
  <c r="L214" i="17"/>
  <c r="D204" i="17"/>
  <c r="H193" i="17"/>
  <c r="L182" i="17"/>
  <c r="D172" i="17"/>
  <c r="H161" i="17"/>
  <c r="L150" i="17"/>
  <c r="D140" i="17"/>
  <c r="H129" i="17"/>
  <c r="L118" i="17"/>
  <c r="D108" i="17"/>
  <c r="H97" i="17"/>
  <c r="L86" i="17"/>
  <c r="D76" i="17"/>
  <c r="H65" i="17"/>
  <c r="L54" i="17"/>
  <c r="D44" i="17"/>
  <c r="H33" i="17"/>
  <c r="L22" i="17"/>
  <c r="D12" i="17"/>
  <c r="B115" i="15"/>
  <c r="B99" i="15"/>
  <c r="B83" i="15"/>
  <c r="B67" i="15"/>
  <c r="B51" i="15"/>
  <c r="B35" i="15"/>
  <c r="B19" i="15"/>
  <c r="B3" i="15"/>
  <c r="C17" i="14"/>
  <c r="D1" i="14"/>
  <c r="A231" i="12"/>
  <c r="A215" i="12"/>
  <c r="A199" i="12"/>
  <c r="A183" i="12"/>
  <c r="A167" i="12"/>
  <c r="A151" i="12"/>
  <c r="B58" i="45"/>
  <c r="A30" i="32"/>
  <c r="N37" i="26"/>
  <c r="A723" i="25"/>
  <c r="E495" i="25"/>
  <c r="N20" i="26"/>
  <c r="G692" i="25"/>
  <c r="F755" i="25"/>
  <c r="H471" i="25"/>
  <c r="B335" i="25"/>
  <c r="D221" i="25"/>
  <c r="F107" i="25"/>
  <c r="G104" i="24"/>
  <c r="H201" i="23"/>
  <c r="H73" i="23"/>
  <c r="E182" i="22"/>
  <c r="A80" i="22"/>
  <c r="C36" i="33"/>
  <c r="D8" i="26"/>
  <c r="F783" i="25"/>
  <c r="H669" i="25"/>
  <c r="G571" i="25"/>
  <c r="H495" i="25"/>
  <c r="A420" i="25"/>
  <c r="B353" i="25"/>
  <c r="C296" i="25"/>
  <c r="D239" i="25"/>
  <c r="E182" i="25"/>
  <c r="F125" i="25"/>
  <c r="G68" i="25"/>
  <c r="H11" i="25"/>
  <c r="E68" i="24"/>
  <c r="E36" i="24"/>
  <c r="E4" i="24"/>
  <c r="O26" i="26"/>
  <c r="A817" i="25"/>
  <c r="C703" i="25"/>
  <c r="A594" i="25"/>
  <c r="C518" i="25"/>
  <c r="D442" i="25"/>
  <c r="I369" i="25"/>
  <c r="A313" i="25"/>
  <c r="B256" i="25"/>
  <c r="C199" i="25"/>
  <c r="D142" i="25"/>
  <c r="E85" i="25"/>
  <c r="F28" i="25"/>
  <c r="H79" i="24"/>
  <c r="H15" i="24"/>
  <c r="A193" i="23"/>
  <c r="C150" i="23"/>
  <c r="F107" i="23"/>
  <c r="A65" i="23"/>
  <c r="C22" i="23"/>
  <c r="D216" i="22"/>
  <c r="G173" i="22"/>
  <c r="B131" i="22"/>
  <c r="D88" i="22"/>
  <c r="G45" i="22"/>
  <c r="F9" i="22"/>
  <c r="E277" i="19"/>
  <c r="E245" i="19"/>
  <c r="E213" i="19"/>
  <c r="E181" i="19"/>
  <c r="E149" i="19"/>
  <c r="E117" i="19"/>
  <c r="E85" i="19"/>
  <c r="A2" i="28"/>
  <c r="C875" i="25"/>
  <c r="E761" i="25"/>
  <c r="G647" i="25"/>
  <c r="A557" i="25"/>
  <c r="B481" i="25"/>
  <c r="D405" i="25"/>
  <c r="B342" i="25"/>
  <c r="C285" i="25"/>
  <c r="D228" i="25"/>
  <c r="E171" i="25"/>
  <c r="F114" i="25"/>
  <c r="G57" i="25"/>
  <c r="F112" i="24"/>
  <c r="F48" i="24"/>
  <c r="E215" i="23"/>
  <c r="G172" i="23"/>
  <c r="B130" i="23"/>
  <c r="E87" i="23"/>
  <c r="G44" i="23"/>
  <c r="B2" i="23"/>
  <c r="H196" i="22"/>
  <c r="C154" i="22"/>
  <c r="F111" i="22"/>
  <c r="H68" i="22"/>
  <c r="A27" i="22"/>
  <c r="B5" i="21"/>
  <c r="D263" i="19"/>
  <c r="H231" i="19"/>
  <c r="H210" i="19"/>
  <c r="H193" i="19"/>
  <c r="D181" i="19"/>
  <c r="H170" i="19"/>
  <c r="D160" i="19"/>
  <c r="D149" i="19"/>
  <c r="H138" i="19"/>
  <c r="D128" i="19"/>
  <c r="D117" i="19"/>
  <c r="H106" i="19"/>
  <c r="D96" i="19"/>
  <c r="D85" i="19"/>
  <c r="H74" i="19"/>
  <c r="D64" i="19"/>
  <c r="D53" i="19"/>
  <c r="H42" i="19"/>
  <c r="D32" i="19"/>
  <c r="B43" i="33"/>
  <c r="F27" i="26"/>
  <c r="G867" i="25"/>
  <c r="H810" i="25"/>
  <c r="I753" i="25"/>
  <c r="A697" i="25"/>
  <c r="B640" i="25"/>
  <c r="I589" i="25"/>
  <c r="A552" i="25"/>
  <c r="A514" i="25"/>
  <c r="B476" i="25"/>
  <c r="C438" i="25"/>
  <c r="C400" i="25"/>
  <c r="H366" i="25"/>
  <c r="D338" i="25"/>
  <c r="I309" i="25"/>
  <c r="E281" i="25"/>
  <c r="A253" i="25"/>
  <c r="F224" i="25"/>
  <c r="B196" i="25"/>
  <c r="G167" i="25"/>
  <c r="C139" i="25"/>
  <c r="H110" i="25"/>
  <c r="D82" i="25"/>
  <c r="I53" i="25"/>
  <c r="E25" i="25"/>
  <c r="D108" i="24"/>
  <c r="D76" i="24"/>
  <c r="D44" i="24"/>
  <c r="D12" i="24"/>
  <c r="C213" i="23"/>
  <c r="A192" i="23"/>
  <c r="F170" i="23"/>
  <c r="C149" i="23"/>
  <c r="A128" i="23"/>
  <c r="F106" i="23"/>
  <c r="C85" i="23"/>
  <c r="A64" i="23"/>
  <c r="F42" i="23"/>
  <c r="C21" i="23"/>
  <c r="G236" i="22"/>
  <c r="D215" i="22"/>
  <c r="B194" i="22"/>
  <c r="G172" i="22"/>
  <c r="D151" i="22"/>
  <c r="B130" i="22"/>
  <c r="G108" i="22"/>
  <c r="D87" i="22"/>
  <c r="B66" i="22"/>
  <c r="G44" i="22"/>
  <c r="H24" i="22"/>
  <c r="H8" i="22"/>
  <c r="A2" i="21"/>
  <c r="C276" i="19"/>
  <c r="C260" i="19"/>
  <c r="C244" i="19"/>
  <c r="C228" i="19"/>
  <c r="C212" i="19"/>
  <c r="C196" i="19"/>
  <c r="C180" i="19"/>
  <c r="C164" i="19"/>
  <c r="C148" i="19"/>
  <c r="C132" i="19"/>
  <c r="C116" i="19"/>
  <c r="C100" i="19"/>
  <c r="C84" i="19"/>
  <c r="C68" i="19"/>
  <c r="E56" i="19"/>
  <c r="G45" i="19"/>
  <c r="B35" i="19"/>
  <c r="E24" i="19"/>
  <c r="D16" i="19"/>
  <c r="D8" i="19"/>
  <c r="A18" i="18"/>
  <c r="A10" i="18"/>
  <c r="A2" i="18"/>
  <c r="I377" i="17"/>
  <c r="I373" i="17"/>
  <c r="I369" i="17"/>
  <c r="I365" i="17"/>
  <c r="I361" i="17"/>
  <c r="I357" i="17"/>
  <c r="I353" i="17"/>
  <c r="I349" i="17"/>
  <c r="I345" i="17"/>
  <c r="I341" i="17"/>
  <c r="I337" i="17"/>
  <c r="I333" i="17"/>
  <c r="I329" i="17"/>
  <c r="I325" i="17"/>
  <c r="I321" i="17"/>
  <c r="I317" i="17"/>
  <c r="I313" i="17"/>
  <c r="I309" i="17"/>
  <c r="I305" i="17"/>
  <c r="I301" i="17"/>
  <c r="I297" i="17"/>
  <c r="I293" i="17"/>
  <c r="I289" i="17"/>
  <c r="I285" i="17"/>
  <c r="I281" i="17"/>
  <c r="I277" i="17"/>
  <c r="I273" i="17"/>
  <c r="I269" i="17"/>
  <c r="I265" i="17"/>
  <c r="I261" i="17"/>
  <c r="I257" i="17"/>
  <c r="I253" i="17"/>
  <c r="I249" i="17"/>
  <c r="I245" i="17"/>
  <c r="I241" i="17"/>
  <c r="I237" i="17"/>
  <c r="I233" i="17"/>
  <c r="I229" i="17"/>
  <c r="I225" i="17"/>
  <c r="I221" i="17"/>
  <c r="I217" i="17"/>
  <c r="I213" i="17"/>
  <c r="I209" i="17"/>
  <c r="I205" i="17"/>
  <c r="I201" i="17"/>
  <c r="I197" i="17"/>
  <c r="I193" i="17"/>
  <c r="I189" i="17"/>
  <c r="I185" i="17"/>
  <c r="I181" i="17"/>
  <c r="I177" i="17"/>
  <c r="I173" i="17"/>
  <c r="I169" i="17"/>
  <c r="I165" i="17"/>
  <c r="I161" i="17"/>
  <c r="I157" i="17"/>
  <c r="I153" i="17"/>
  <c r="I149" i="17"/>
  <c r="I145" i="17"/>
  <c r="I141" i="17"/>
  <c r="I137" i="17"/>
  <c r="I133" i="17"/>
  <c r="I129" i="17"/>
  <c r="I125" i="17"/>
  <c r="I121" i="17"/>
  <c r="I117" i="17"/>
  <c r="I113" i="17"/>
  <c r="I109" i="17"/>
  <c r="I105" i="17"/>
  <c r="I101" i="17"/>
  <c r="I97" i="17"/>
  <c r="I93" i="17"/>
  <c r="I89" i="17"/>
  <c r="I85" i="17"/>
  <c r="I81" i="17"/>
  <c r="I77" i="17"/>
  <c r="I73" i="17"/>
  <c r="I69" i="17"/>
  <c r="I65" i="17"/>
  <c r="I61" i="17"/>
  <c r="I57" i="17"/>
  <c r="I53" i="17"/>
  <c r="I49" i="17"/>
  <c r="I45" i="17"/>
  <c r="I41" i="17"/>
  <c r="I37" i="17"/>
  <c r="I33" i="17"/>
  <c r="I29" i="17"/>
  <c r="I25" i="17"/>
  <c r="I21" i="17"/>
  <c r="I17" i="17"/>
  <c r="I13" i="17"/>
  <c r="D9" i="17"/>
  <c r="G116" i="15"/>
  <c r="G108" i="15"/>
  <c r="G100" i="15"/>
  <c r="G92" i="15"/>
  <c r="G84" i="15"/>
  <c r="G76" i="15"/>
  <c r="G68" i="15"/>
  <c r="G60" i="15"/>
  <c r="G52" i="15"/>
  <c r="G44" i="15"/>
  <c r="G36" i="15"/>
  <c r="G28" i="15"/>
  <c r="G20" i="15"/>
  <c r="G12" i="15"/>
  <c r="G4" i="15"/>
  <c r="H26" i="14"/>
  <c r="H18" i="14"/>
  <c r="H10" i="14"/>
  <c r="H2" i="14"/>
  <c r="E9" i="13"/>
  <c r="B15" i="36"/>
  <c r="B23" i="27"/>
  <c r="H21" i="26"/>
  <c r="G863" i="25"/>
  <c r="H806" i="25"/>
  <c r="I749" i="25"/>
  <c r="A693" i="25"/>
  <c r="B636" i="25"/>
  <c r="C587" i="25"/>
  <c r="D549" i="25"/>
  <c r="D511" i="25"/>
  <c r="E473" i="25"/>
  <c r="F435" i="25"/>
  <c r="F397" i="25"/>
  <c r="H364" i="25"/>
  <c r="D336" i="25"/>
  <c r="I307" i="25"/>
  <c r="E279" i="25"/>
  <c r="A251" i="25"/>
  <c r="F222" i="25"/>
  <c r="B194" i="25"/>
  <c r="G165" i="25"/>
  <c r="C137" i="25"/>
  <c r="H108" i="25"/>
  <c r="D80" i="25"/>
  <c r="I51" i="25"/>
  <c r="E23" i="25"/>
  <c r="B104" i="24"/>
  <c r="B72" i="24"/>
  <c r="B40" i="24"/>
  <c r="B8" i="24"/>
  <c r="E210" i="23"/>
  <c r="B189" i="23"/>
  <c r="G167" i="23"/>
  <c r="E146" i="23"/>
  <c r="B125" i="23"/>
  <c r="G103" i="23"/>
  <c r="E82" i="23"/>
  <c r="B61" i="23"/>
  <c r="G39" i="23"/>
  <c r="E18" i="23"/>
  <c r="H233" i="22"/>
  <c r="F212" i="22"/>
  <c r="C191" i="22"/>
  <c r="H169" i="22"/>
  <c r="F148" i="22"/>
  <c r="C127" i="22"/>
  <c r="H105" i="22"/>
  <c r="F84" i="22"/>
  <c r="C63" i="22"/>
  <c r="H41" i="22"/>
  <c r="G22" i="22"/>
  <c r="G6" i="22"/>
  <c r="A5" i="20"/>
  <c r="B274" i="19"/>
  <c r="B258" i="19"/>
  <c r="B242" i="19"/>
  <c r="B226" i="19"/>
  <c r="B210" i="19"/>
  <c r="B194" i="19"/>
  <c r="B178" i="19"/>
  <c r="B162" i="19"/>
  <c r="B146" i="19"/>
  <c r="B130" i="19"/>
  <c r="B114" i="19"/>
  <c r="B98" i="19"/>
  <c r="B82" i="19"/>
  <c r="B66" i="19"/>
  <c r="A55" i="19"/>
  <c r="C44" i="19"/>
  <c r="F33" i="19"/>
  <c r="C23" i="19"/>
  <c r="C15" i="19"/>
  <c r="C7" i="19"/>
  <c r="D17" i="18"/>
  <c r="D9" i="18"/>
  <c r="A1" i="18"/>
  <c r="L375" i="17"/>
  <c r="H370" i="17"/>
  <c r="D365" i="17"/>
  <c r="L359" i="17"/>
  <c r="H354" i="17"/>
  <c r="D349" i="17"/>
  <c r="L343" i="17"/>
  <c r="H338" i="17"/>
  <c r="D333" i="17"/>
  <c r="L327" i="17"/>
  <c r="H322" i="17"/>
  <c r="D317" i="17"/>
  <c r="L311" i="17"/>
  <c r="H306" i="17"/>
  <c r="D301" i="17"/>
  <c r="L295" i="17"/>
  <c r="H290" i="17"/>
  <c r="D285" i="17"/>
  <c r="L279" i="17"/>
  <c r="H274" i="17"/>
  <c r="D269" i="17"/>
  <c r="L263" i="17"/>
  <c r="H258" i="17"/>
  <c r="D253" i="17"/>
  <c r="L247" i="17"/>
  <c r="H242" i="17"/>
  <c r="D237" i="17"/>
  <c r="L231" i="17"/>
  <c r="H226" i="17"/>
  <c r="D221" i="17"/>
  <c r="L215" i="17"/>
  <c r="H210" i="17"/>
  <c r="D205" i="17"/>
  <c r="L199" i="17"/>
  <c r="H194" i="17"/>
  <c r="D189" i="17"/>
  <c r="L183" i="17"/>
  <c r="H178" i="17"/>
  <c r="D173" i="17"/>
  <c r="L167" i="17"/>
  <c r="H162" i="17"/>
  <c r="D157" i="17"/>
  <c r="L151" i="17"/>
  <c r="H146" i="17"/>
  <c r="D141" i="17"/>
  <c r="L135" i="17"/>
  <c r="H130" i="17"/>
  <c r="D125" i="17"/>
  <c r="L119" i="17"/>
  <c r="H114" i="17"/>
  <c r="D109" i="17"/>
  <c r="L103" i="17"/>
  <c r="H98" i="17"/>
  <c r="D93" i="17"/>
  <c r="L87" i="17"/>
  <c r="H82" i="17"/>
  <c r="D77" i="17"/>
  <c r="L71" i="17"/>
  <c r="H66" i="17"/>
  <c r="D61" i="17"/>
  <c r="L55" i="17"/>
  <c r="H50" i="17"/>
  <c r="D45" i="17"/>
  <c r="L39" i="17"/>
  <c r="H34" i="17"/>
  <c r="D29" i="17"/>
  <c r="L23" i="17"/>
  <c r="H18" i="17"/>
  <c r="D13" i="17"/>
  <c r="G8" i="17"/>
  <c r="F116" i="15"/>
  <c r="F108" i="15"/>
  <c r="F100" i="15"/>
  <c r="F92" i="15"/>
  <c r="F84" i="15"/>
  <c r="F76" i="15"/>
  <c r="F68" i="15"/>
  <c r="F60" i="15"/>
  <c r="F52" i="15"/>
  <c r="F44" i="15"/>
  <c r="F36" i="15"/>
  <c r="F28" i="15"/>
  <c r="F20" i="15"/>
  <c r="F12" i="15"/>
  <c r="F4" i="15"/>
  <c r="G26" i="14"/>
  <c r="G18" i="14"/>
  <c r="G10" i="14"/>
  <c r="G2" i="14"/>
  <c r="H9" i="13"/>
  <c r="E1" i="13"/>
  <c r="E224" i="12"/>
  <c r="E216" i="12"/>
  <c r="E208" i="12"/>
  <c r="E200" i="12"/>
  <c r="E192" i="12"/>
  <c r="E184" i="12"/>
  <c r="E176" i="12"/>
  <c r="E168" i="12"/>
  <c r="E160" i="12"/>
  <c r="E152" i="12"/>
  <c r="E144" i="12"/>
  <c r="D8" i="36"/>
  <c r="D3" i="33"/>
  <c r="A851" i="25"/>
  <c r="E623" i="25"/>
  <c r="I395" i="25"/>
  <c r="G820" i="25"/>
  <c r="C34" i="33"/>
  <c r="A572" i="25"/>
  <c r="E405" i="25"/>
  <c r="D285" i="25"/>
  <c r="F171" i="25"/>
  <c r="H57" i="25"/>
  <c r="G48" i="24"/>
  <c r="H145" i="23"/>
  <c r="H17" i="23"/>
  <c r="E126" i="22"/>
  <c r="A52" i="22"/>
  <c r="H44" i="26"/>
  <c r="F847" i="25"/>
  <c r="H733" i="25"/>
  <c r="A620" i="25"/>
  <c r="E538" i="25"/>
  <c r="G462" i="25"/>
  <c r="H386" i="25"/>
  <c r="C328" i="25"/>
  <c r="D271" i="25"/>
  <c r="E214" i="25"/>
  <c r="F157" i="25"/>
  <c r="G100" i="25"/>
  <c r="H43" i="25"/>
  <c r="E96" i="24"/>
  <c r="E32" i="24"/>
  <c r="G18" i="26"/>
  <c r="A689" i="25"/>
  <c r="G508" i="25"/>
  <c r="H362" i="25"/>
  <c r="A249" i="25"/>
  <c r="C135" i="25"/>
  <c r="E21" i="25"/>
  <c r="H7" i="24"/>
  <c r="A145" i="23"/>
  <c r="F59" i="23"/>
  <c r="B211" i="22"/>
  <c r="G125" i="22"/>
  <c r="D40" i="22"/>
  <c r="E273" i="19"/>
  <c r="E209" i="19"/>
  <c r="E145" i="19"/>
  <c r="E81" i="19"/>
  <c r="A861" i="25"/>
  <c r="E633" i="25"/>
  <c r="G471" i="25"/>
  <c r="A335" i="25"/>
  <c r="C221" i="25"/>
  <c r="E107" i="25"/>
  <c r="F104" i="24"/>
  <c r="B210" i="23"/>
  <c r="G124" i="23"/>
  <c r="E39" i="23"/>
  <c r="F191" i="22"/>
  <c r="C106" i="22"/>
  <c r="A23" i="22"/>
  <c r="D259" i="19"/>
  <c r="H207" i="19"/>
  <c r="D180" i="19"/>
  <c r="H158" i="19"/>
  <c r="D137" i="19"/>
  <c r="D116" i="19"/>
  <c r="H94" i="19"/>
  <c r="D73" i="19"/>
  <c r="D52" i="19"/>
  <c r="H30" i="19"/>
  <c r="L21" i="26"/>
  <c r="G803" i="25"/>
  <c r="I689" i="25"/>
  <c r="B585" i="25"/>
  <c r="D509" i="25"/>
  <c r="E433" i="25"/>
  <c r="C363" i="25"/>
  <c r="D306" i="25"/>
  <c r="E249" i="25"/>
  <c r="F192" i="25"/>
  <c r="G135" i="25"/>
  <c r="H78" i="25"/>
  <c r="I21" i="25"/>
  <c r="D72" i="24"/>
  <c r="D8" i="24"/>
  <c r="C189" i="23"/>
  <c r="F146" i="23"/>
  <c r="A104" i="23"/>
  <c r="C61" i="23"/>
  <c r="F18" i="23"/>
  <c r="G212" i="22"/>
  <c r="B170" i="22"/>
  <c r="D127" i="22"/>
  <c r="G84" i="22"/>
  <c r="B42" i="22"/>
  <c r="H6" i="22"/>
  <c r="C274" i="19"/>
  <c r="C242" i="19"/>
  <c r="C210" i="19"/>
  <c r="C178" i="19"/>
  <c r="C146" i="19"/>
  <c r="C114" i="19"/>
  <c r="C82" i="19"/>
  <c r="B55" i="19"/>
  <c r="G33" i="19"/>
  <c r="D15" i="19"/>
  <c r="A17" i="18"/>
  <c r="B1" i="18"/>
  <c r="A373" i="17"/>
  <c r="A365" i="17"/>
  <c r="A357" i="17"/>
  <c r="A349" i="17"/>
  <c r="A341" i="17"/>
  <c r="A333" i="17"/>
  <c r="A325" i="17"/>
  <c r="A317" i="17"/>
  <c r="A309" i="17"/>
  <c r="I535" i="25"/>
  <c r="B31" i="25"/>
  <c r="E78" i="25"/>
  <c r="F204" i="25"/>
  <c r="F12" i="22"/>
  <c r="F290" i="25"/>
  <c r="H72" i="22"/>
  <c r="L38" i="26"/>
  <c r="G318" i="25"/>
  <c r="B91" i="25"/>
  <c r="D183" i="23"/>
  <c r="A164" i="22"/>
  <c r="C1" i="31"/>
  <c r="G766" i="25"/>
  <c r="E560" i="25"/>
  <c r="G408" i="25"/>
  <c r="H287" i="25"/>
  <c r="A174" i="25"/>
  <c r="C60" i="25"/>
  <c r="A51" i="24"/>
  <c r="H754" i="25"/>
  <c r="I400" i="25"/>
  <c r="B168" i="25"/>
  <c r="H44" i="24"/>
  <c r="C84" i="23"/>
  <c r="D150" i="22"/>
  <c r="C2" i="21"/>
  <c r="A164" i="19"/>
  <c r="M24" i="26"/>
  <c r="F515" i="25"/>
  <c r="B254" i="25"/>
  <c r="F26" i="25"/>
  <c r="E149" i="23"/>
  <c r="C216" i="22"/>
  <c r="F45" i="22"/>
  <c r="C18" i="37"/>
  <c r="N33" i="26"/>
  <c r="D488" i="25"/>
  <c r="F685" i="25"/>
  <c r="B467" i="25"/>
  <c r="H217" i="25"/>
  <c r="G100" i="24"/>
  <c r="H69" i="23"/>
  <c r="A78" i="22"/>
  <c r="F6" i="26"/>
  <c r="C666" i="25"/>
  <c r="E493" i="25"/>
  <c r="D351" i="25"/>
  <c r="F237" i="25"/>
  <c r="H123" i="25"/>
  <c r="A10" i="25"/>
  <c r="B5" i="33"/>
  <c r="D570" i="25"/>
  <c r="C295" i="25"/>
  <c r="G67" i="25"/>
  <c r="F179" i="23"/>
  <c r="A9" i="23"/>
  <c r="B75" i="22"/>
  <c r="E267" i="19"/>
  <c r="E203" i="19"/>
  <c r="E139" i="19"/>
  <c r="E75" i="19"/>
  <c r="G839" i="25"/>
  <c r="B612" i="25"/>
  <c r="E457" i="25"/>
  <c r="D324" i="25"/>
  <c r="F210" i="25"/>
  <c r="H96" i="25"/>
  <c r="F92" i="24"/>
  <c r="B202" i="23"/>
  <c r="G116" i="23"/>
  <c r="E31" i="23"/>
  <c r="F183" i="22"/>
  <c r="C98" i="22"/>
  <c r="A17" i="22"/>
  <c r="D253" i="19"/>
  <c r="H203" i="19"/>
  <c r="H167" i="19"/>
  <c r="H135" i="19"/>
  <c r="H103" i="19"/>
  <c r="H71" i="19"/>
  <c r="H39" i="19"/>
  <c r="A16" i="26"/>
  <c r="I15" i="35"/>
  <c r="G29" i="27"/>
  <c r="B822" i="25"/>
  <c r="F594" i="25"/>
  <c r="I68" i="33"/>
  <c r="H791" i="25"/>
  <c r="I39" i="26"/>
  <c r="H541" i="25"/>
  <c r="I385" i="25"/>
  <c r="G270" i="25"/>
  <c r="I156" i="25"/>
  <c r="B43" i="25"/>
  <c r="C32" i="24"/>
  <c r="D129" i="23"/>
  <c r="A1" i="23"/>
  <c r="A110" i="22"/>
  <c r="E43" i="22"/>
  <c r="I35" i="26"/>
  <c r="E832" i="25"/>
  <c r="G718" i="25"/>
  <c r="I604" i="25"/>
  <c r="E528" i="25"/>
  <c r="F452" i="25"/>
  <c r="F377" i="25"/>
  <c r="G320" i="25"/>
  <c r="H263" i="25"/>
  <c r="I206" i="25"/>
  <c r="A150" i="25"/>
  <c r="B93" i="25"/>
  <c r="C36" i="25"/>
  <c r="A88" i="24"/>
  <c r="A24" i="24"/>
  <c r="D886" i="25"/>
  <c r="H658" i="25"/>
  <c r="F488" i="25"/>
  <c r="G347" i="25"/>
  <c r="I233" i="25"/>
  <c r="B120" i="25"/>
  <c r="D6" i="25"/>
  <c r="A219" i="23"/>
  <c r="F133" i="23"/>
  <c r="C48" i="23"/>
  <c r="B205" i="22"/>
  <c r="D146" i="22"/>
  <c r="B93" i="22"/>
  <c r="B45" i="22"/>
  <c r="B9" i="22"/>
  <c r="A277" i="19"/>
  <c r="A245" i="19"/>
  <c r="A213" i="19"/>
  <c r="A181" i="19"/>
  <c r="A149" i="19"/>
  <c r="A117" i="19"/>
  <c r="A85" i="19"/>
  <c r="B37" i="27"/>
  <c r="E873" i="25"/>
  <c r="G759" i="25"/>
  <c r="I645" i="25"/>
  <c r="H555" i="25"/>
  <c r="A480" i="25"/>
  <c r="B404" i="25"/>
  <c r="C341" i="25"/>
  <c r="D284" i="25"/>
  <c r="E227" i="25"/>
  <c r="F170" i="25"/>
  <c r="G113" i="25"/>
  <c r="H56" i="25"/>
  <c r="F111" i="24"/>
  <c r="F47" i="24"/>
  <c r="G214" i="23"/>
  <c r="B172" i="23"/>
  <c r="E129" i="23"/>
  <c r="G86" i="23"/>
  <c r="B44" i="23"/>
  <c r="H1" i="23"/>
  <c r="C196" i="22"/>
  <c r="F153" i="22"/>
  <c r="H110" i="22"/>
  <c r="C68" i="22"/>
  <c r="E26" i="22"/>
  <c r="F4" i="21"/>
  <c r="H262" i="19"/>
  <c r="D231" i="19"/>
  <c r="H209" i="19"/>
  <c r="G32" i="32"/>
  <c r="F103" i="33"/>
  <c r="I871" i="25"/>
  <c r="D644" i="25"/>
  <c r="H416" i="25"/>
  <c r="F841" i="25"/>
  <c r="A614" i="25"/>
  <c r="H599" i="25"/>
  <c r="B419" i="25"/>
  <c r="F295" i="25"/>
  <c r="H181" i="25"/>
  <c r="A68" i="25"/>
  <c r="C60" i="24"/>
  <c r="D157" i="23"/>
  <c r="D29" i="23"/>
  <c r="A138" i="22"/>
  <c r="E57" i="22"/>
  <c r="H2" i="27"/>
  <c r="D857" i="25"/>
  <c r="F743" i="25"/>
  <c r="H629" i="25"/>
  <c r="A545" i="25"/>
  <c r="B469" i="25"/>
  <c r="D393" i="25"/>
  <c r="B333" i="25"/>
  <c r="C276" i="25"/>
  <c r="D219" i="25"/>
  <c r="E162" i="25"/>
  <c r="F105" i="25"/>
  <c r="G48" i="25"/>
  <c r="A102" i="24"/>
  <c r="A38" i="24"/>
  <c r="L29" i="26"/>
  <c r="F708" i="25"/>
  <c r="H521" i="25"/>
  <c r="F372" i="25"/>
  <c r="H258" i="25"/>
  <c r="A145" i="25"/>
  <c r="C31" i="25"/>
  <c r="H18" i="24"/>
  <c r="C152" i="23"/>
  <c r="A67" i="23"/>
  <c r="D218" i="22"/>
  <c r="B133" i="22"/>
  <c r="G47" i="22"/>
  <c r="A279" i="19"/>
  <c r="A215" i="19"/>
  <c r="A151" i="19"/>
  <c r="A87" i="19"/>
  <c r="F880" i="25"/>
  <c r="A653" i="25"/>
  <c r="G484" i="25"/>
  <c r="H344" i="25"/>
  <c r="A231" i="25"/>
  <c r="C117" i="25"/>
  <c r="F115" i="24"/>
  <c r="E217" i="23"/>
  <c r="B132" i="23"/>
  <c r="G46" i="23"/>
  <c r="H198" i="22"/>
  <c r="F113" i="22"/>
  <c r="E28" i="22"/>
  <c r="H264" i="19"/>
  <c r="D211" i="19"/>
  <c r="D182" i="19"/>
  <c r="H160" i="19"/>
  <c r="D139" i="19"/>
  <c r="D118" i="19"/>
  <c r="H96" i="19"/>
  <c r="D75" i="19"/>
  <c r="D54" i="19"/>
  <c r="H32" i="19"/>
  <c r="D29" i="26"/>
  <c r="D814" i="25"/>
  <c r="F700" i="25"/>
  <c r="C592" i="25"/>
  <c r="E516" i="25"/>
  <c r="F440" i="25"/>
  <c r="F368" i="25"/>
  <c r="G311" i="25"/>
  <c r="H254" i="25"/>
  <c r="I197" i="25"/>
  <c r="A141" i="25"/>
  <c r="B84" i="25"/>
  <c r="C27" i="25"/>
  <c r="D78" i="24"/>
  <c r="D14" i="24"/>
  <c r="C193" i="23"/>
  <c r="F150" i="23"/>
  <c r="A108" i="23"/>
  <c r="C65" i="23"/>
  <c r="F22" i="23"/>
  <c r="G216" i="22"/>
  <c r="B174" i="22"/>
  <c r="D131" i="22"/>
  <c r="G88" i="22"/>
  <c r="B46" i="22"/>
  <c r="H9" i="22"/>
  <c r="C277" i="19"/>
  <c r="C245" i="19"/>
  <c r="C213" i="19"/>
  <c r="C181" i="19"/>
  <c r="C149" i="19"/>
  <c r="C117" i="19"/>
  <c r="C85" i="19"/>
  <c r="B57" i="19"/>
  <c r="G35" i="19"/>
  <c r="H16" i="19"/>
  <c r="E18" i="18"/>
  <c r="E2" i="18"/>
  <c r="M373" i="17"/>
  <c r="M365" i="17"/>
  <c r="M357" i="17"/>
  <c r="M349" i="17"/>
  <c r="M341" i="17"/>
  <c r="M333" i="17"/>
  <c r="M325" i="17"/>
  <c r="M317" i="17"/>
  <c r="M309" i="17"/>
  <c r="M301" i="17"/>
  <c r="M293" i="17"/>
  <c r="M285" i="17"/>
  <c r="M277" i="17"/>
  <c r="M269" i="17"/>
  <c r="M261" i="17"/>
  <c r="M253" i="17"/>
  <c r="M245" i="17"/>
  <c r="M237" i="17"/>
  <c r="M229" i="17"/>
  <c r="M221" i="17"/>
  <c r="M213" i="17"/>
  <c r="M205" i="17"/>
  <c r="M197" i="17"/>
  <c r="M189" i="17"/>
  <c r="M181" i="17"/>
  <c r="M173" i="17"/>
  <c r="M165" i="17"/>
  <c r="M157" i="17"/>
  <c r="M149" i="17"/>
  <c r="M141" i="17"/>
  <c r="M133" i="17"/>
  <c r="M125" i="17"/>
  <c r="M117" i="17"/>
  <c r="M109" i="17"/>
  <c r="M101" i="17"/>
  <c r="M93" i="17"/>
  <c r="M85" i="17"/>
  <c r="M77" i="17"/>
  <c r="M69" i="17"/>
  <c r="M61" i="17"/>
  <c r="M53" i="17"/>
  <c r="M45" i="17"/>
  <c r="M37" i="17"/>
  <c r="M29" i="17"/>
  <c r="M21" i="17"/>
  <c r="M13" i="17"/>
  <c r="C117" i="15"/>
  <c r="C101" i="15"/>
  <c r="C85" i="15"/>
  <c r="C69" i="15"/>
  <c r="C53" i="15"/>
  <c r="C37" i="15"/>
  <c r="C21" i="15"/>
  <c r="C5" i="15"/>
  <c r="D19" i="14"/>
  <c r="D3" i="14"/>
  <c r="A2" i="13"/>
  <c r="F23" i="26"/>
  <c r="D810" i="25"/>
  <c r="F696" i="25"/>
  <c r="F589" i="25"/>
  <c r="H513" i="25"/>
  <c r="I437" i="25"/>
  <c r="F366" i="25"/>
  <c r="G309" i="25"/>
  <c r="H252" i="25"/>
  <c r="I195" i="25"/>
  <c r="A139" i="25"/>
  <c r="B82" i="25"/>
  <c r="C25" i="25"/>
  <c r="B74" i="24"/>
  <c r="B10" i="24"/>
  <c r="E190" i="23"/>
  <c r="G147" i="23"/>
  <c r="B105" i="23"/>
  <c r="E62" i="23"/>
  <c r="G19" i="23"/>
  <c r="H213" i="22"/>
  <c r="C171" i="22"/>
  <c r="F128" i="22"/>
  <c r="H85" i="22"/>
  <c r="C43" i="22"/>
  <c r="G7" i="22"/>
  <c r="B275" i="19"/>
  <c r="B243" i="19"/>
  <c r="B211" i="19"/>
  <c r="B179" i="19"/>
  <c r="B147" i="19"/>
  <c r="B115" i="19"/>
  <c r="B83" i="19"/>
  <c r="F55" i="19"/>
  <c r="C34" i="19"/>
  <c r="G15" i="19"/>
  <c r="H17" i="18"/>
  <c r="E1" i="18"/>
  <c r="L370" i="17"/>
  <c r="D360" i="17"/>
  <c r="H349" i="17"/>
  <c r="L338" i="17"/>
  <c r="D328" i="17"/>
  <c r="H317" i="17"/>
  <c r="L306" i="17"/>
  <c r="D296" i="17"/>
  <c r="H285" i="17"/>
  <c r="L274" i="17"/>
  <c r="D264" i="17"/>
  <c r="H253" i="17"/>
  <c r="L242" i="17"/>
  <c r="D232" i="17"/>
  <c r="H221" i="17"/>
  <c r="L210" i="17"/>
  <c r="D200" i="17"/>
  <c r="H189" i="17"/>
  <c r="L178" i="17"/>
  <c r="D168" i="17"/>
  <c r="H157" i="17"/>
  <c r="L146" i="17"/>
  <c r="D136" i="17"/>
  <c r="H125" i="17"/>
  <c r="L114" i="17"/>
  <c r="D104" i="17"/>
  <c r="H93" i="17"/>
  <c r="L82" i="17"/>
  <c r="D72" i="17"/>
  <c r="H61" i="17"/>
  <c r="L50" i="17"/>
  <c r="D40" i="17"/>
  <c r="H29" i="17"/>
  <c r="L18" i="17"/>
  <c r="K8" i="17"/>
  <c r="B109" i="15"/>
  <c r="B93" i="15"/>
  <c r="B77" i="15"/>
  <c r="B61" i="15"/>
  <c r="B45" i="15"/>
  <c r="B29" i="15"/>
  <c r="B13" i="15"/>
  <c r="C27" i="14"/>
  <c r="C11" i="14"/>
  <c r="D10" i="13"/>
  <c r="A225" i="12"/>
  <c r="A209" i="12"/>
  <c r="A193" i="12"/>
  <c r="A177" i="12"/>
  <c r="A161" i="12"/>
  <c r="A145" i="12"/>
  <c r="D1" i="32"/>
  <c r="G70" i="33"/>
  <c r="C865" i="25"/>
  <c r="G637" i="25"/>
  <c r="B410" i="25"/>
  <c r="I834" i="25"/>
  <c r="D607" i="25"/>
  <c r="I590" i="25"/>
  <c r="I414" i="25"/>
  <c r="E292" i="25"/>
  <c r="G178" i="25"/>
  <c r="I64" i="25"/>
  <c r="G56" i="24"/>
  <c r="H153" i="23"/>
  <c r="H25" i="23"/>
  <c r="E134" i="22"/>
  <c r="A56" i="22"/>
  <c r="E48" i="26"/>
  <c r="G854" i="25"/>
  <c r="I740" i="25"/>
  <c r="B627" i="25"/>
  <c r="C543" i="25"/>
  <c r="D467" i="25"/>
  <c r="F391" i="25"/>
  <c r="H331" i="25"/>
  <c r="I274" i="25"/>
  <c r="A218" i="25"/>
  <c r="B161" i="25"/>
  <c r="C104" i="25"/>
  <c r="D47" i="25"/>
  <c r="E100" i="24"/>
  <c r="E60" i="24"/>
  <c r="E28" i="24"/>
  <c r="I38" i="33"/>
  <c r="O10" i="26"/>
  <c r="F788" i="25"/>
  <c r="H674" i="25"/>
  <c r="B575" i="25"/>
  <c r="C499" i="25"/>
  <c r="D423" i="25"/>
  <c r="G355" i="25"/>
  <c r="H298" i="25"/>
  <c r="I241" i="25"/>
  <c r="A185" i="25"/>
  <c r="B128" i="25"/>
  <c r="C71" i="25"/>
  <c r="D14" i="25"/>
  <c r="H63" i="24"/>
  <c r="A225" i="23"/>
  <c r="C182" i="23"/>
  <c r="F139" i="23"/>
  <c r="A97" i="23"/>
  <c r="C54" i="23"/>
  <c r="F11" i="23"/>
  <c r="G205" i="22"/>
  <c r="B163" i="22"/>
  <c r="D120" i="22"/>
  <c r="G77" i="22"/>
  <c r="B35" i="22"/>
  <c r="G1" i="22"/>
  <c r="E269" i="19"/>
  <c r="E237" i="19"/>
  <c r="E205" i="19"/>
  <c r="E173" i="19"/>
  <c r="E141" i="19"/>
  <c r="E109" i="19"/>
  <c r="E77" i="19"/>
  <c r="J43" i="26"/>
  <c r="H846" i="25"/>
  <c r="A733" i="25"/>
  <c r="C619" i="25"/>
  <c r="A538" i="25"/>
  <c r="C462" i="25"/>
  <c r="D386" i="25"/>
  <c r="I327" i="25"/>
  <c r="A271" i="25"/>
  <c r="B214" i="25"/>
  <c r="C157" i="25"/>
  <c r="D100" i="25"/>
  <c r="E43" i="25"/>
  <c r="F96" i="24"/>
  <c r="F32" i="24"/>
  <c r="G204" i="23"/>
  <c r="B162" i="23"/>
  <c r="E119" i="23"/>
  <c r="G76" i="23"/>
  <c r="B34" i="23"/>
  <c r="H228" i="22"/>
  <c r="C186" i="22"/>
  <c r="F143" i="22"/>
  <c r="H100" i="22"/>
  <c r="C58" i="22"/>
  <c r="A19" i="22"/>
  <c r="C2" i="20"/>
  <c r="D255" i="19"/>
  <c r="H226" i="19"/>
  <c r="D205" i="19"/>
  <c r="H189" i="19"/>
  <c r="H178" i="19"/>
  <c r="D168" i="19"/>
  <c r="D157" i="19"/>
  <c r="H146" i="19"/>
  <c r="D136" i="19"/>
  <c r="D125" i="19"/>
  <c r="H114" i="19"/>
  <c r="D104" i="19"/>
  <c r="D93" i="19"/>
  <c r="H82" i="19"/>
  <c r="D72" i="19"/>
  <c r="D61" i="19"/>
  <c r="H50" i="19"/>
  <c r="D40" i="19"/>
  <c r="D29" i="19"/>
  <c r="A13" i="28"/>
  <c r="P17" i="26"/>
  <c r="E853" i="25"/>
  <c r="F796" i="25"/>
  <c r="G739" i="25"/>
  <c r="H682" i="25"/>
  <c r="I625" i="25"/>
  <c r="E580" i="25"/>
  <c r="E542" i="25"/>
  <c r="F504" i="25"/>
  <c r="G466" i="25"/>
  <c r="G428" i="25"/>
  <c r="H390" i="25"/>
  <c r="G359" i="25"/>
  <c r="C331" i="25"/>
  <c r="H302" i="25"/>
  <c r="D274" i="25"/>
  <c r="I245" i="25"/>
  <c r="E217" i="25"/>
  <c r="A189" i="25"/>
  <c r="F160" i="25"/>
  <c r="B132" i="25"/>
  <c r="G103" i="25"/>
  <c r="C75" i="25"/>
  <c r="H46" i="25"/>
  <c r="D18" i="25"/>
  <c r="D100" i="24"/>
  <c r="D68" i="24"/>
  <c r="D36" i="24"/>
  <c r="D4" i="24"/>
  <c r="A208" i="23"/>
  <c r="F186" i="23"/>
  <c r="C165" i="23"/>
  <c r="A144" i="23"/>
  <c r="F122" i="23"/>
  <c r="C101" i="23"/>
  <c r="A80" i="23"/>
  <c r="F58" i="23"/>
  <c r="C37" i="23"/>
  <c r="A16" i="23"/>
  <c r="D231" i="22"/>
  <c r="B210" i="22"/>
  <c r="G188" i="22"/>
  <c r="D167" i="22"/>
  <c r="B146" i="22"/>
  <c r="G124" i="22"/>
  <c r="D103" i="22"/>
  <c r="B82" i="22"/>
  <c r="G60" i="22"/>
  <c r="D39" i="22"/>
  <c r="H20" i="22"/>
  <c r="H4" i="22"/>
  <c r="B3" i="20"/>
  <c r="C272" i="19"/>
  <c r="C256" i="19"/>
  <c r="C240" i="19"/>
  <c r="C224" i="19"/>
  <c r="C208" i="19"/>
  <c r="C192" i="19"/>
  <c r="C176" i="19"/>
  <c r="C160" i="19"/>
  <c r="C144" i="19"/>
  <c r="C128" i="19"/>
  <c r="C112" i="19"/>
  <c r="C96" i="19"/>
  <c r="C80" i="19"/>
  <c r="E64" i="19"/>
  <c r="G53" i="19"/>
  <c r="B43" i="19"/>
  <c r="E32" i="19"/>
  <c r="D22" i="19"/>
  <c r="D14" i="19"/>
  <c r="D6" i="19"/>
  <c r="A16" i="18"/>
  <c r="A8" i="18"/>
  <c r="I380" i="17"/>
  <c r="I376" i="17"/>
  <c r="I372" i="17"/>
  <c r="I368" i="17"/>
  <c r="I364" i="17"/>
  <c r="I360" i="17"/>
  <c r="I356" i="17"/>
  <c r="I352" i="17"/>
  <c r="I348" i="17"/>
  <c r="I344" i="17"/>
  <c r="I340" i="17"/>
  <c r="I336" i="17"/>
  <c r="I332" i="17"/>
  <c r="I328" i="17"/>
  <c r="I324" i="17"/>
  <c r="I320" i="17"/>
  <c r="I316" i="17"/>
  <c r="I312" i="17"/>
  <c r="I308" i="17"/>
  <c r="I304" i="17"/>
  <c r="I300" i="17"/>
  <c r="I296" i="17"/>
  <c r="I292" i="17"/>
  <c r="I288" i="17"/>
  <c r="I284" i="17"/>
  <c r="I280" i="17"/>
  <c r="I276" i="17"/>
  <c r="I272" i="17"/>
  <c r="I268" i="17"/>
  <c r="I264" i="17"/>
  <c r="I260" i="17"/>
  <c r="I256" i="17"/>
  <c r="I252" i="17"/>
  <c r="I248" i="17"/>
  <c r="I244" i="17"/>
  <c r="I240" i="17"/>
  <c r="I236" i="17"/>
  <c r="I232" i="17"/>
  <c r="I228" i="17"/>
  <c r="I224" i="17"/>
  <c r="I220" i="17"/>
  <c r="I216" i="17"/>
  <c r="I212" i="17"/>
  <c r="I208" i="17"/>
  <c r="I204" i="17"/>
  <c r="I200" i="17"/>
  <c r="I196" i="17"/>
  <c r="I192" i="17"/>
  <c r="I188" i="17"/>
  <c r="I184" i="17"/>
  <c r="I180" i="17"/>
  <c r="I176" i="17"/>
  <c r="I172" i="17"/>
  <c r="I168" i="17"/>
  <c r="I164" i="17"/>
  <c r="I160" i="17"/>
  <c r="I156" i="17"/>
  <c r="I152" i="17"/>
  <c r="I148" i="17"/>
  <c r="I144" i="17"/>
  <c r="I140" i="17"/>
  <c r="I136" i="17"/>
  <c r="I132" i="17"/>
  <c r="I128" i="17"/>
  <c r="I124" i="17"/>
  <c r="I120" i="17"/>
  <c r="I116" i="17"/>
  <c r="I112" i="17"/>
  <c r="I108" i="17"/>
  <c r="I104" i="17"/>
  <c r="I100" i="17"/>
  <c r="I96" i="17"/>
  <c r="I92" i="17"/>
  <c r="I88" i="17"/>
  <c r="I84" i="17"/>
  <c r="I80" i="17"/>
  <c r="I76" i="17"/>
  <c r="I72" i="17"/>
  <c r="I68" i="17"/>
  <c r="I64" i="17"/>
  <c r="I60" i="17"/>
  <c r="I56" i="17"/>
  <c r="I52" i="17"/>
  <c r="I48" i="17"/>
  <c r="I44" i="17"/>
  <c r="I40" i="17"/>
  <c r="I36" i="17"/>
  <c r="I32" i="17"/>
  <c r="I28" i="17"/>
  <c r="I24" i="17"/>
  <c r="I20" i="17"/>
  <c r="I16" i="17"/>
  <c r="I12" i="17"/>
  <c r="L7" i="17"/>
  <c r="G114" i="15"/>
  <c r="G106" i="15"/>
  <c r="G98" i="15"/>
  <c r="G90" i="15"/>
  <c r="G82" i="15"/>
  <c r="G74" i="15"/>
  <c r="G66" i="15"/>
  <c r="G58" i="15"/>
  <c r="G50" i="15"/>
  <c r="G42" i="15"/>
  <c r="G34" i="15"/>
  <c r="G26" i="15"/>
  <c r="G18" i="15"/>
  <c r="G10" i="15"/>
  <c r="G2" i="15"/>
  <c r="H24" i="14"/>
  <c r="H16" i="14"/>
  <c r="H8" i="14"/>
  <c r="E15" i="13"/>
  <c r="E7" i="13"/>
  <c r="G74" i="33"/>
  <c r="P45" i="26"/>
  <c r="P13" i="26"/>
  <c r="E849" i="25"/>
  <c r="F792" i="25"/>
  <c r="G735" i="25"/>
  <c r="H678" i="25"/>
  <c r="I621" i="25"/>
  <c r="H577" i="25"/>
  <c r="H539" i="25"/>
  <c r="I501" i="25"/>
  <c r="A464" i="25"/>
  <c r="A426" i="25"/>
  <c r="B388" i="25"/>
  <c r="G357" i="25"/>
  <c r="C329" i="25"/>
  <c r="H300" i="25"/>
  <c r="D272" i="25"/>
  <c r="I243" i="25"/>
  <c r="E215" i="25"/>
  <c r="A187" i="25"/>
  <c r="F158" i="25"/>
  <c r="B130" i="25"/>
  <c r="G101" i="25"/>
  <c r="C73" i="25"/>
  <c r="H44" i="25"/>
  <c r="D16" i="25"/>
  <c r="B96" i="24"/>
  <c r="B64" i="24"/>
  <c r="B32" i="24"/>
  <c r="E1" i="24"/>
  <c r="B205" i="23"/>
  <c r="G183" i="23"/>
  <c r="E162" i="23"/>
  <c r="B141" i="23"/>
  <c r="G119" i="23"/>
  <c r="E98" i="23"/>
  <c r="B77" i="23"/>
  <c r="G55" i="23"/>
  <c r="E34" i="23"/>
  <c r="B13" i="23"/>
  <c r="F228" i="22"/>
  <c r="C207" i="22"/>
  <c r="H185" i="22"/>
  <c r="F164" i="22"/>
  <c r="C143" i="22"/>
  <c r="H121" i="22"/>
  <c r="F100" i="22"/>
  <c r="C79" i="22"/>
  <c r="H57" i="22"/>
  <c r="F36" i="22"/>
  <c r="G18" i="22"/>
  <c r="G2" i="22"/>
  <c r="B1" i="20"/>
  <c r="B270" i="19"/>
  <c r="B254" i="19"/>
  <c r="B238" i="19"/>
  <c r="B222" i="19"/>
  <c r="B206" i="19"/>
  <c r="B190" i="19"/>
  <c r="B174" i="19"/>
  <c r="B158" i="19"/>
  <c r="B142" i="19"/>
  <c r="B126" i="19"/>
  <c r="B110" i="19"/>
  <c r="B94" i="19"/>
  <c r="B78" i="19"/>
  <c r="A63" i="19"/>
  <c r="C52" i="19"/>
  <c r="F41" i="19"/>
  <c r="A31" i="19"/>
  <c r="C21" i="19"/>
  <c r="C13" i="19"/>
  <c r="C5" i="19"/>
  <c r="D15" i="18"/>
  <c r="D7" i="18"/>
  <c r="L379" i="17"/>
  <c r="H374" i="17"/>
  <c r="D369" i="17"/>
  <c r="L363" i="17"/>
  <c r="H358" i="17"/>
  <c r="D353" i="17"/>
  <c r="L347" i="17"/>
  <c r="H342" i="17"/>
  <c r="D337" i="17"/>
  <c r="L331" i="17"/>
  <c r="H326" i="17"/>
  <c r="D321" i="17"/>
  <c r="L315" i="17"/>
  <c r="H310" i="17"/>
  <c r="D305" i="17"/>
  <c r="L299" i="17"/>
  <c r="H294" i="17"/>
  <c r="D289" i="17"/>
  <c r="L283" i="17"/>
  <c r="H278" i="17"/>
  <c r="D273" i="17"/>
  <c r="L267" i="17"/>
  <c r="H262" i="17"/>
  <c r="D257" i="17"/>
  <c r="L251" i="17"/>
  <c r="H246" i="17"/>
  <c r="D241" i="17"/>
  <c r="L235" i="17"/>
  <c r="H230" i="17"/>
  <c r="D225" i="17"/>
  <c r="L219" i="17"/>
  <c r="H214" i="17"/>
  <c r="D209" i="17"/>
  <c r="L203" i="17"/>
  <c r="H198" i="17"/>
  <c r="D193" i="17"/>
  <c r="L187" i="17"/>
  <c r="H182" i="17"/>
  <c r="D177" i="17"/>
  <c r="L171" i="17"/>
  <c r="H166" i="17"/>
  <c r="D161" i="17"/>
  <c r="L155" i="17"/>
  <c r="H150" i="17"/>
  <c r="D145" i="17"/>
  <c r="L139" i="17"/>
  <c r="H134" i="17"/>
  <c r="D129" i="17"/>
  <c r="L123" i="17"/>
  <c r="H118" i="17"/>
  <c r="D113" i="17"/>
  <c r="L107" i="17"/>
  <c r="H102" i="17"/>
  <c r="D97" i="17"/>
  <c r="L91" i="17"/>
  <c r="H86" i="17"/>
  <c r="D81" i="17"/>
  <c r="L75" i="17"/>
  <c r="H70" i="17"/>
  <c r="D65" i="17"/>
  <c r="L59" i="17"/>
  <c r="H54" i="17"/>
  <c r="D49" i="17"/>
  <c r="L43" i="17"/>
  <c r="H38" i="17"/>
  <c r="D33" i="17"/>
  <c r="L27" i="17"/>
  <c r="H22" i="17"/>
  <c r="D17" i="17"/>
  <c r="L11" i="17"/>
  <c r="G7" i="17"/>
  <c r="F114" i="15"/>
  <c r="F106" i="15"/>
  <c r="F98" i="15"/>
  <c r="F90" i="15"/>
  <c r="F82" i="15"/>
  <c r="F74" i="15"/>
  <c r="F66" i="15"/>
  <c r="F58" i="15"/>
  <c r="F50" i="15"/>
  <c r="F42" i="15"/>
  <c r="F34" i="15"/>
  <c r="F26" i="15"/>
  <c r="F18" i="15"/>
  <c r="F10" i="15"/>
  <c r="F2" i="15"/>
  <c r="G24" i="14"/>
  <c r="G16" i="14"/>
  <c r="G8" i="14"/>
  <c r="H15" i="13"/>
  <c r="H7" i="13"/>
  <c r="E230" i="12"/>
  <c r="E222" i="12"/>
  <c r="E214" i="12"/>
  <c r="E206" i="12"/>
  <c r="E198" i="12"/>
  <c r="E190" i="12"/>
  <c r="E182" i="12"/>
  <c r="E174" i="12"/>
  <c r="E166" i="12"/>
  <c r="E158" i="12"/>
  <c r="E150" i="12"/>
  <c r="I106" i="45"/>
  <c r="D23" i="33"/>
  <c r="A80" i="33"/>
  <c r="B794" i="25"/>
  <c r="F566" i="25"/>
  <c r="C9" i="28"/>
  <c r="H763" i="25"/>
  <c r="H8" i="26"/>
  <c r="C519" i="25"/>
  <c r="G370" i="25"/>
  <c r="I256" i="25"/>
  <c r="B143" i="25"/>
  <c r="D29" i="25"/>
  <c r="G16" i="24"/>
  <c r="H113" i="23"/>
  <c r="E222" i="22"/>
  <c r="A100" i="22"/>
  <c r="A36" i="22"/>
  <c r="H28" i="26"/>
  <c r="B819" i="25"/>
  <c r="D705" i="25"/>
  <c r="D595" i="25"/>
  <c r="F519" i="25"/>
  <c r="G443" i="25"/>
  <c r="I370" i="25"/>
  <c r="A314" i="25"/>
  <c r="B257" i="25"/>
  <c r="C200" i="25"/>
  <c r="D143" i="25"/>
  <c r="E86" i="25"/>
  <c r="F29" i="25"/>
  <c r="E80" i="24"/>
  <c r="E16" i="24"/>
  <c r="G859" i="25"/>
  <c r="B632" i="25"/>
  <c r="H470" i="25"/>
  <c r="D334" i="25"/>
  <c r="F220" i="25"/>
  <c r="H106" i="25"/>
  <c r="H103" i="24"/>
  <c r="A209" i="23"/>
  <c r="F123" i="23"/>
  <c r="C38" i="23"/>
  <c r="G189" i="22"/>
  <c r="D104" i="22"/>
  <c r="F21" i="22"/>
  <c r="E257" i="19"/>
  <c r="E193" i="19"/>
  <c r="E129" i="19"/>
  <c r="E65" i="19"/>
  <c r="B804" i="25"/>
  <c r="E585" i="25"/>
  <c r="H433" i="25"/>
  <c r="F306" i="25"/>
  <c r="H192" i="25"/>
  <c r="A79" i="25"/>
  <c r="F72" i="24"/>
  <c r="G188" i="23"/>
  <c r="E103" i="23"/>
  <c r="B18" i="23"/>
  <c r="C170" i="22"/>
  <c r="H84" i="22"/>
  <c r="A7" i="22"/>
  <c r="D243" i="19"/>
  <c r="D199" i="19"/>
  <c r="H174" i="19"/>
  <c r="D153" i="19"/>
  <c r="D132" i="19"/>
  <c r="H110" i="19"/>
  <c r="D89" i="19"/>
  <c r="D68" i="19"/>
  <c r="H46" i="19"/>
  <c r="D25" i="19"/>
  <c r="A889" i="25"/>
  <c r="C775" i="25"/>
  <c r="E661" i="25"/>
  <c r="C566" i="25"/>
  <c r="D490" i="25"/>
  <c r="E414" i="25"/>
  <c r="A349" i="25"/>
  <c r="B292" i="25"/>
  <c r="C235" i="25"/>
  <c r="D178" i="25"/>
  <c r="E121" i="25"/>
  <c r="F64" i="25"/>
  <c r="G7" i="25"/>
  <c r="D56" i="24"/>
  <c r="C221" i="23"/>
  <c r="F178" i="23"/>
  <c r="A136" i="23"/>
  <c r="C93" i="23"/>
  <c r="F50" i="23"/>
  <c r="A8" i="23"/>
  <c r="B202" i="22"/>
  <c r="D159" i="22"/>
  <c r="G116" i="22"/>
  <c r="B74" i="22"/>
  <c r="D31" i="22"/>
  <c r="A8" i="21"/>
  <c r="C266" i="19"/>
  <c r="C234" i="19"/>
  <c r="C202" i="19"/>
  <c r="C170" i="19"/>
  <c r="C138" i="19"/>
  <c r="C106" i="19"/>
  <c r="C74" i="19"/>
  <c r="G49" i="19"/>
  <c r="E28" i="19"/>
  <c r="D11" i="19"/>
  <c r="A13" i="18"/>
  <c r="A379" i="17"/>
  <c r="A371" i="17"/>
  <c r="A363" i="17"/>
  <c r="A355" i="17"/>
  <c r="A347" i="17"/>
  <c r="A339" i="17"/>
  <c r="A331" i="17"/>
  <c r="A323" i="17"/>
  <c r="A315" i="17"/>
  <c r="A307" i="17"/>
  <c r="A299" i="17"/>
  <c r="A291" i="17"/>
  <c r="A283" i="17"/>
  <c r="A275" i="17"/>
  <c r="A267" i="17"/>
  <c r="A259" i="17"/>
  <c r="A251" i="17"/>
  <c r="A243" i="17"/>
  <c r="A235" i="17"/>
  <c r="A227" i="17"/>
  <c r="A219" i="17"/>
  <c r="A211" i="17"/>
  <c r="A203" i="17"/>
  <c r="A195" i="17"/>
  <c r="A187" i="17"/>
  <c r="A179" i="17"/>
  <c r="A171" i="17"/>
  <c r="A163" i="17"/>
  <c r="A155" i="17"/>
  <c r="A147" i="17"/>
  <c r="A139" i="17"/>
  <c r="A131" i="17"/>
  <c r="A123" i="17"/>
  <c r="A115" i="17"/>
  <c r="A107" i="17"/>
  <c r="A99" i="17"/>
  <c r="A91" i="17"/>
  <c r="A83" i="17"/>
  <c r="A75" i="17"/>
  <c r="A67" i="17"/>
  <c r="A59" i="17"/>
  <c r="A51" i="17"/>
  <c r="A43" i="17"/>
  <c r="A35" i="17"/>
  <c r="A27" i="17"/>
  <c r="A19" i="17"/>
  <c r="A11" i="17"/>
  <c r="G111" i="15"/>
  <c r="G95" i="15"/>
  <c r="G79" i="15"/>
  <c r="G63" i="15"/>
  <c r="G47" i="15"/>
  <c r="G31" i="15"/>
  <c r="G15" i="15"/>
  <c r="H29" i="14"/>
  <c r="H13" i="14"/>
  <c r="E12" i="13"/>
  <c r="A3" i="32"/>
  <c r="A885" i="25"/>
  <c r="C771" i="25"/>
  <c r="E657" i="25"/>
  <c r="F563" i="25"/>
  <c r="G487" i="25"/>
  <c r="H411" i="25"/>
  <c r="A347" i="25"/>
  <c r="B290" i="25"/>
  <c r="C233" i="25"/>
  <c r="D176" i="25"/>
  <c r="E119" i="25"/>
  <c r="F62" i="25"/>
  <c r="G5" i="25"/>
  <c r="B52" i="24"/>
  <c r="E218" i="23"/>
  <c r="G175" i="23"/>
  <c r="B133" i="23"/>
  <c r="E90" i="23"/>
  <c r="G47" i="23"/>
  <c r="B5" i="23"/>
  <c r="C199" i="22"/>
  <c r="F156" i="22"/>
  <c r="H113" i="22"/>
  <c r="C71" i="22"/>
  <c r="G28" i="22"/>
  <c r="H6" i="21"/>
  <c r="B264" i="19"/>
  <c r="B232" i="19"/>
  <c r="B200" i="19"/>
  <c r="B168" i="19"/>
  <c r="B136" i="19"/>
  <c r="B104" i="19"/>
  <c r="B72" i="19"/>
  <c r="C48" i="19"/>
  <c r="A27" i="19"/>
  <c r="C10" i="19"/>
  <c r="D12" i="18"/>
  <c r="L377" i="17"/>
  <c r="D367" i="17"/>
  <c r="H356" i="17"/>
  <c r="L345" i="17"/>
  <c r="D335" i="17"/>
  <c r="H324" i="17"/>
  <c r="L313" i="17"/>
  <c r="D303" i="17"/>
  <c r="H292" i="17"/>
  <c r="L281" i="17"/>
  <c r="D271" i="17"/>
  <c r="H260" i="17"/>
  <c r="L249" i="17"/>
  <c r="D239" i="17"/>
  <c r="H228" i="17"/>
  <c r="L217" i="17"/>
  <c r="D207" i="17"/>
  <c r="H196" i="17"/>
  <c r="L185" i="17"/>
  <c r="D175" i="17"/>
  <c r="H164" i="17"/>
  <c r="L153" i="17"/>
  <c r="D143" i="17"/>
  <c r="H132" i="17"/>
  <c r="L121" i="17"/>
  <c r="D111" i="17"/>
  <c r="H100" i="17"/>
  <c r="L89" i="17"/>
  <c r="D79" i="17"/>
  <c r="H68" i="17"/>
  <c r="L57" i="17"/>
  <c r="D47" i="17"/>
  <c r="H36" i="17"/>
  <c r="L25" i="17"/>
  <c r="D15" i="17"/>
  <c r="N5" i="17"/>
  <c r="F103" i="15"/>
  <c r="F87" i="15"/>
  <c r="F71" i="15"/>
  <c r="F55" i="15"/>
  <c r="F39" i="15"/>
  <c r="F23" i="15"/>
  <c r="F7" i="15"/>
  <c r="G21" i="14"/>
  <c r="G5" i="14"/>
  <c r="H4" i="13"/>
  <c r="E219" i="12"/>
  <c r="E203" i="12"/>
  <c r="E187" i="12"/>
  <c r="E171" i="12"/>
  <c r="E155" i="12"/>
  <c r="A141" i="12"/>
  <c r="A133" i="12"/>
  <c r="A125" i="12"/>
  <c r="A117" i="12"/>
  <c r="A109" i="12"/>
  <c r="A101" i="12"/>
  <c r="A93" i="12"/>
  <c r="A85" i="12"/>
  <c r="A77" i="12"/>
  <c r="A69" i="12"/>
  <c r="A61" i="12"/>
  <c r="A53" i="12"/>
  <c r="A45" i="12"/>
  <c r="A37" i="12"/>
  <c r="A29" i="12"/>
  <c r="A21" i="12"/>
  <c r="A13" i="12"/>
  <c r="A5" i="12"/>
  <c r="B239" i="11"/>
  <c r="B231" i="11"/>
  <c r="B223" i="11"/>
  <c r="B215" i="11"/>
  <c r="B207" i="11"/>
  <c r="B199" i="11"/>
  <c r="B191" i="11"/>
  <c r="B183" i="11"/>
  <c r="B175" i="11"/>
  <c r="B167" i="11"/>
  <c r="B159" i="11"/>
  <c r="B151" i="11"/>
  <c r="B143" i="11"/>
  <c r="B135" i="11"/>
  <c r="B127" i="11"/>
  <c r="B119" i="11"/>
  <c r="B111" i="11"/>
  <c r="B103" i="11"/>
  <c r="B95" i="11"/>
  <c r="B87" i="11"/>
  <c r="B79" i="11"/>
  <c r="B71" i="11"/>
  <c r="B63" i="11"/>
  <c r="B55" i="11"/>
  <c r="B47" i="11"/>
  <c r="B39" i="11"/>
  <c r="B31" i="11"/>
  <c r="B23" i="11"/>
  <c r="B15" i="11"/>
  <c r="B7" i="11"/>
  <c r="C4" i="10"/>
  <c r="D6" i="9"/>
  <c r="B27" i="27"/>
  <c r="A869" i="25"/>
  <c r="C755" i="25"/>
  <c r="E641" i="25"/>
  <c r="I552" i="25"/>
  <c r="A477" i="25"/>
  <c r="B401" i="25"/>
  <c r="A339" i="25"/>
  <c r="B282" i="25"/>
  <c r="C225" i="25"/>
  <c r="D168" i="25"/>
  <c r="E111" i="25"/>
  <c r="F54" i="25"/>
  <c r="B109" i="24"/>
  <c r="B45" i="24"/>
  <c r="B211" i="23"/>
  <c r="E168" i="23"/>
  <c r="G125" i="23"/>
  <c r="B83" i="23"/>
  <c r="E40" i="23"/>
  <c r="F234" i="22"/>
  <c r="H191" i="22"/>
  <c r="C149" i="22"/>
  <c r="F106" i="22"/>
  <c r="H63" i="22"/>
  <c r="C23" i="22"/>
  <c r="E1" i="21"/>
  <c r="F260" i="19"/>
  <c r="F228" i="19"/>
  <c r="F196" i="19"/>
  <c r="F164" i="19"/>
  <c r="F132" i="19"/>
  <c r="F100" i="19"/>
  <c r="F68" i="19"/>
  <c r="A46" i="19"/>
  <c r="F24" i="19"/>
  <c r="E8" i="19"/>
  <c r="F10" i="18"/>
  <c r="K377" i="17"/>
  <c r="K369" i="17"/>
  <c r="K361" i="17"/>
  <c r="K353" i="17"/>
  <c r="K345" i="17"/>
  <c r="K337" i="17"/>
  <c r="K329" i="17"/>
  <c r="K321" i="17"/>
  <c r="K313" i="17"/>
  <c r="K305" i="17"/>
  <c r="K297" i="17"/>
  <c r="K289" i="17"/>
  <c r="K281" i="17"/>
  <c r="K273" i="17"/>
  <c r="K265" i="17"/>
  <c r="K257" i="17"/>
  <c r="K249" i="17"/>
  <c r="K241" i="17"/>
  <c r="K233" i="17"/>
  <c r="K225" i="17"/>
  <c r="K217" i="17"/>
  <c r="K209" i="17"/>
  <c r="K201" i="17"/>
  <c r="K193" i="17"/>
  <c r="K185" i="17"/>
  <c r="K177" i="17"/>
  <c r="K169" i="17"/>
  <c r="K161" i="17"/>
  <c r="K153" i="17"/>
  <c r="K145" i="17"/>
  <c r="K137" i="17"/>
  <c r="K129" i="17"/>
  <c r="K121" i="17"/>
  <c r="K113" i="17"/>
  <c r="K105" i="17"/>
  <c r="K97" i="17"/>
  <c r="K89" i="17"/>
  <c r="K81" i="17"/>
  <c r="K73" i="17"/>
  <c r="K65" i="17"/>
  <c r="K57" i="17"/>
  <c r="K49" i="17"/>
  <c r="K41" i="17"/>
  <c r="K33" i="17"/>
  <c r="K25" i="17"/>
  <c r="K17" i="17"/>
  <c r="J9" i="17"/>
  <c r="H111" i="15"/>
  <c r="H95" i="15"/>
  <c r="H79" i="15"/>
  <c r="H63" i="15"/>
  <c r="H47" i="15"/>
  <c r="H31" i="15"/>
  <c r="H15" i="15"/>
  <c r="A29" i="14"/>
  <c r="A13" i="14"/>
  <c r="B12" i="13"/>
  <c r="B229" i="12"/>
  <c r="D218" i="12"/>
  <c r="G207" i="12"/>
  <c r="B197" i="12"/>
  <c r="D186" i="12"/>
  <c r="G175" i="12"/>
  <c r="B165" i="12"/>
  <c r="D154" i="12"/>
  <c r="G143" i="12"/>
  <c r="B133" i="12"/>
  <c r="D122" i="12"/>
  <c r="G111" i="12"/>
  <c r="B101" i="12"/>
  <c r="D90" i="12"/>
  <c r="G79" i="12"/>
  <c r="B69" i="12"/>
  <c r="D58" i="12"/>
  <c r="G47" i="12"/>
  <c r="B37" i="12"/>
  <c r="D26" i="12"/>
  <c r="G262" i="25"/>
  <c r="D881" i="25"/>
  <c r="E71" i="24"/>
  <c r="H85" i="24"/>
  <c r="E184" i="19"/>
  <c r="A63" i="25"/>
  <c r="D234" i="19"/>
  <c r="M35" i="26"/>
  <c r="H261" i="25"/>
  <c r="C34" i="25"/>
  <c r="D119" i="23"/>
  <c r="E102" i="22"/>
  <c r="N30" i="26"/>
  <c r="H709" i="25"/>
  <c r="E522" i="25"/>
  <c r="B373" i="25"/>
  <c r="D259" i="25"/>
  <c r="F145" i="25"/>
  <c r="H31" i="25"/>
  <c r="A19" i="24"/>
  <c r="A641" i="25"/>
  <c r="H338" i="25"/>
  <c r="C111" i="25"/>
  <c r="C212" i="23"/>
  <c r="F41" i="23"/>
  <c r="G107" i="22"/>
  <c r="A260" i="19"/>
  <c r="A132" i="19"/>
  <c r="A813" i="25"/>
  <c r="G439" i="25"/>
  <c r="C197" i="25"/>
  <c r="F77" i="24"/>
  <c r="G106" i="23"/>
  <c r="F173" i="22"/>
  <c r="E9" i="22"/>
  <c r="B1" i="37"/>
  <c r="G829" i="25"/>
  <c r="G104" i="33"/>
  <c r="A48" i="26"/>
  <c r="C391" i="25"/>
  <c r="I160" i="25"/>
  <c r="G36" i="24"/>
  <c r="H5" i="23"/>
  <c r="A46" i="22"/>
  <c r="I836" i="25"/>
  <c r="D609" i="25"/>
  <c r="F455" i="25"/>
  <c r="I322" i="25"/>
  <c r="B209" i="25"/>
  <c r="D95" i="25"/>
  <c r="E90" i="24"/>
  <c r="C6" i="26"/>
  <c r="E494" i="25"/>
  <c r="D238" i="25"/>
  <c r="H10" i="25"/>
  <c r="A137" i="23"/>
  <c r="B203" i="22"/>
  <c r="D32" i="22"/>
  <c r="E255" i="19"/>
  <c r="E191" i="19"/>
  <c r="E127" i="19"/>
  <c r="C104" i="33"/>
  <c r="A797" i="25"/>
  <c r="G580" i="25"/>
  <c r="A429" i="25"/>
  <c r="A303" i="25"/>
  <c r="C189" i="25"/>
  <c r="E75" i="25"/>
  <c r="F68" i="24"/>
  <c r="B186" i="23"/>
  <c r="G100" i="23"/>
  <c r="E15" i="23"/>
  <c r="F167" i="22"/>
  <c r="C82" i="22"/>
  <c r="A5" i="22"/>
  <c r="D241" i="19"/>
  <c r="H195" i="19"/>
  <c r="H161" i="19"/>
  <c r="H129" i="19"/>
  <c r="H97" i="19"/>
  <c r="H65" i="19"/>
  <c r="H33" i="19"/>
  <c r="C87" i="45"/>
  <c r="H13" i="32"/>
  <c r="E10" i="33"/>
  <c r="E779" i="25"/>
  <c r="I551" i="25"/>
  <c r="D14" i="27"/>
  <c r="B749" i="25"/>
  <c r="E868" i="25"/>
  <c r="B509" i="25"/>
  <c r="B363" i="25"/>
  <c r="D249" i="25"/>
  <c r="F135" i="25"/>
  <c r="H21" i="25"/>
  <c r="C8" i="24"/>
  <c r="D105" i="23"/>
  <c r="A214" i="22"/>
  <c r="E95" i="22"/>
  <c r="E31" i="22"/>
  <c r="M23" i="26"/>
  <c r="B811" i="25"/>
  <c r="D697" i="25"/>
  <c r="A590" i="25"/>
  <c r="C514" i="25"/>
  <c r="D438" i="25"/>
  <c r="I366" i="25"/>
  <c r="A310" i="25"/>
  <c r="B253" i="25"/>
  <c r="C196" i="25"/>
  <c r="D139" i="25"/>
  <c r="E82" i="25"/>
  <c r="F25" i="25"/>
  <c r="A76" i="24"/>
  <c r="A12" i="24"/>
  <c r="G843" i="25"/>
  <c r="B616" i="25"/>
  <c r="B460" i="25"/>
  <c r="D326" i="25"/>
  <c r="F212" i="25"/>
  <c r="H98" i="25"/>
  <c r="H94" i="24"/>
  <c r="A203" i="23"/>
  <c r="F117" i="23"/>
  <c r="C32" i="23"/>
  <c r="G199" i="22"/>
  <c r="B141" i="22"/>
  <c r="D82" i="22"/>
  <c r="G39" i="22"/>
  <c r="B5" i="22"/>
  <c r="A273" i="19"/>
  <c r="A241" i="19"/>
  <c r="A209" i="19"/>
  <c r="A177" i="19"/>
  <c r="A145" i="19"/>
  <c r="A113" i="19"/>
  <c r="A81" i="19"/>
  <c r="B5" i="27"/>
  <c r="C859" i="25"/>
  <c r="E745" i="25"/>
  <c r="G631" i="25"/>
  <c r="D546" i="25"/>
  <c r="E470" i="25"/>
  <c r="G394" i="25"/>
  <c r="B334" i="25"/>
  <c r="C277" i="25"/>
  <c r="D220" i="25"/>
  <c r="E163" i="25"/>
  <c r="F106" i="25"/>
  <c r="G49" i="25"/>
  <c r="F103" i="24"/>
  <c r="F39" i="24"/>
  <c r="E209" i="23"/>
  <c r="G166" i="23"/>
  <c r="B124" i="23"/>
  <c r="E81" i="23"/>
  <c r="G38" i="23"/>
  <c r="F233" i="22"/>
  <c r="H190" i="22"/>
  <c r="C148" i="22"/>
  <c r="F105" i="22"/>
  <c r="H62" i="22"/>
  <c r="E22" i="22"/>
  <c r="G5" i="20"/>
  <c r="H258" i="19"/>
  <c r="H228" i="19"/>
  <c r="D207" i="19"/>
  <c r="B21" i="36"/>
  <c r="E8" i="31"/>
  <c r="E843" i="25"/>
  <c r="I615" i="25"/>
  <c r="D388" i="25"/>
  <c r="B813" i="25"/>
  <c r="H2" i="30"/>
  <c r="I561" i="25"/>
  <c r="B400" i="25"/>
  <c r="D281" i="25"/>
  <c r="F167" i="25"/>
  <c r="H53" i="25"/>
  <c r="C44" i="24"/>
  <c r="D141" i="23"/>
  <c r="D13" i="23"/>
  <c r="A122" i="22"/>
  <c r="E49" i="22"/>
  <c r="K41" i="26"/>
  <c r="B843" i="25"/>
  <c r="D729" i="25"/>
  <c r="F615" i="25"/>
  <c r="F535" i="25"/>
  <c r="G459" i="25"/>
  <c r="H383" i="25"/>
  <c r="A326" i="25"/>
  <c r="B269" i="25"/>
  <c r="C212" i="25"/>
  <c r="D155" i="25"/>
  <c r="E98" i="25"/>
  <c r="F41" i="25"/>
  <c r="A94" i="24"/>
  <c r="A30" i="24"/>
  <c r="L13" i="26"/>
  <c r="B680" i="25"/>
  <c r="H502" i="25"/>
  <c r="D358" i="25"/>
  <c r="F244" i="25"/>
  <c r="H130" i="25"/>
  <c r="A17" i="25"/>
  <c r="H2" i="24"/>
  <c r="F141" i="23"/>
  <c r="C56" i="23"/>
  <c r="G207" i="22"/>
  <c r="D122" i="22"/>
  <c r="B37" i="22"/>
  <c r="A271" i="19"/>
  <c r="A207" i="19"/>
  <c r="A143" i="19"/>
  <c r="A79" i="19"/>
  <c r="B852" i="25"/>
  <c r="F624" i="25"/>
  <c r="H465" i="25"/>
  <c r="F330" i="25"/>
  <c r="H216" i="25"/>
  <c r="A103" i="25"/>
  <c r="F99" i="24"/>
  <c r="G206" i="23"/>
  <c r="E121" i="23"/>
  <c r="B36" i="23"/>
  <c r="C188" i="22"/>
  <c r="H102" i="22"/>
  <c r="E20" i="22"/>
  <c r="H256" i="19"/>
  <c r="H205" i="19"/>
  <c r="D179" i="19"/>
  <c r="D158" i="19"/>
  <c r="H136" i="19"/>
  <c r="D115" i="19"/>
  <c r="D94" i="19"/>
  <c r="H72" i="19"/>
  <c r="D51" i="19"/>
  <c r="D30" i="19"/>
  <c r="N19" i="26"/>
  <c r="B800" i="25"/>
  <c r="D686" i="25"/>
  <c r="H582" i="25"/>
  <c r="I506" i="25"/>
  <c r="B431" i="25"/>
  <c r="E361" i="25"/>
  <c r="F304" i="25"/>
  <c r="G247" i="25"/>
  <c r="H190" i="25"/>
  <c r="I133" i="25"/>
  <c r="A77" i="25"/>
  <c r="B20" i="25"/>
  <c r="D70" i="24"/>
  <c r="D6" i="24"/>
  <c r="A188" i="23"/>
  <c r="C145" i="23"/>
  <c r="F102" i="23"/>
  <c r="A60" i="23"/>
  <c r="C17" i="23"/>
  <c r="D211" i="22"/>
  <c r="G168" i="22"/>
  <c r="B126" i="22"/>
  <c r="D83" i="22"/>
  <c r="G40" i="22"/>
  <c r="H5" i="22"/>
  <c r="C273" i="19"/>
  <c r="C241" i="19"/>
  <c r="C209" i="19"/>
  <c r="C177" i="19"/>
  <c r="C145" i="19"/>
  <c r="C113" i="19"/>
  <c r="C81" i="19"/>
  <c r="E54" i="19"/>
  <c r="B33" i="19"/>
  <c r="H14" i="19"/>
  <c r="E16" i="18"/>
  <c r="M380" i="17"/>
  <c r="M372" i="17"/>
  <c r="M364" i="17"/>
  <c r="M356" i="17"/>
  <c r="M348" i="17"/>
  <c r="M340" i="17"/>
  <c r="M332" i="17"/>
  <c r="M324" i="17"/>
  <c r="M316" i="17"/>
  <c r="M308" i="17"/>
  <c r="M300" i="17"/>
  <c r="M292" i="17"/>
  <c r="M284" i="17"/>
  <c r="M276" i="17"/>
  <c r="M268" i="17"/>
  <c r="M260" i="17"/>
  <c r="M252" i="17"/>
  <c r="M244" i="17"/>
  <c r="M236" i="17"/>
  <c r="M228" i="17"/>
  <c r="M220" i="17"/>
  <c r="M212" i="17"/>
  <c r="M204" i="17"/>
  <c r="M196" i="17"/>
  <c r="M188" i="17"/>
  <c r="M180" i="17"/>
  <c r="M172" i="17"/>
  <c r="M164" i="17"/>
  <c r="M156" i="17"/>
  <c r="M148" i="17"/>
  <c r="M140" i="17"/>
  <c r="M132" i="17"/>
  <c r="M124" i="17"/>
  <c r="M116" i="17"/>
  <c r="M108" i="17"/>
  <c r="M100" i="17"/>
  <c r="M92" i="17"/>
  <c r="M84" i="17"/>
  <c r="M76" i="17"/>
  <c r="M68" i="17"/>
  <c r="M60" i="17"/>
  <c r="M52" i="17"/>
  <c r="M44" i="17"/>
  <c r="M36" i="17"/>
  <c r="M28" i="17"/>
  <c r="M20" i="17"/>
  <c r="M12" i="17"/>
  <c r="C115" i="15"/>
  <c r="C99" i="15"/>
  <c r="C83" i="15"/>
  <c r="C67" i="15"/>
  <c r="C51" i="15"/>
  <c r="C35" i="15"/>
  <c r="C19" i="15"/>
  <c r="C3" i="15"/>
  <c r="D17" i="14"/>
  <c r="A1" i="14"/>
  <c r="G91" i="33"/>
  <c r="N15" i="26"/>
  <c r="B796" i="25"/>
  <c r="D682" i="25"/>
  <c r="B580" i="25"/>
  <c r="C504" i="25"/>
  <c r="E428" i="25"/>
  <c r="E359" i="25"/>
  <c r="F302" i="25"/>
  <c r="G245" i="25"/>
  <c r="H188" i="25"/>
  <c r="I131" i="25"/>
  <c r="A75" i="25"/>
  <c r="B18" i="25"/>
  <c r="B66" i="24"/>
  <c r="B2" i="24"/>
  <c r="B185" i="23"/>
  <c r="E142" i="23"/>
  <c r="G99" i="23"/>
  <c r="B57" i="23"/>
  <c r="E14" i="23"/>
  <c r="F208" i="22"/>
  <c r="H165" i="22"/>
  <c r="C123" i="22"/>
  <c r="F80" i="22"/>
  <c r="H37" i="22"/>
  <c r="G3" i="22"/>
  <c r="B271" i="19"/>
  <c r="B239" i="19"/>
  <c r="B207" i="19"/>
  <c r="B175" i="19"/>
  <c r="B143" i="19"/>
  <c r="B111" i="19"/>
  <c r="B79" i="19"/>
  <c r="A53" i="19"/>
  <c r="F31" i="19"/>
  <c r="G13" i="19"/>
  <c r="H15" i="18"/>
  <c r="D380" i="17"/>
  <c r="H369" i="17"/>
  <c r="L358" i="17"/>
  <c r="D348" i="17"/>
  <c r="H337" i="17"/>
  <c r="L326" i="17"/>
  <c r="D316" i="17"/>
  <c r="H305" i="17"/>
  <c r="L294" i="17"/>
  <c r="D284" i="17"/>
  <c r="H273" i="17"/>
  <c r="L262" i="17"/>
  <c r="D252" i="17"/>
  <c r="H241" i="17"/>
  <c r="L230" i="17"/>
  <c r="D220" i="17"/>
  <c r="H209" i="17"/>
  <c r="L198" i="17"/>
  <c r="D188" i="17"/>
  <c r="H177" i="17"/>
  <c r="L166" i="17"/>
  <c r="D156" i="17"/>
  <c r="H145" i="17"/>
  <c r="L134" i="17"/>
  <c r="D124" i="17"/>
  <c r="H113" i="17"/>
  <c r="L102" i="17"/>
  <c r="D92" i="17"/>
  <c r="H81" i="17"/>
  <c r="L70" i="17"/>
  <c r="D60" i="17"/>
  <c r="H49" i="17"/>
  <c r="L38" i="17"/>
  <c r="D28" i="17"/>
  <c r="H17" i="17"/>
  <c r="K7" i="17"/>
  <c r="B107" i="15"/>
  <c r="B91" i="15"/>
  <c r="B75" i="15"/>
  <c r="B59" i="15"/>
  <c r="B43" i="15"/>
  <c r="B27" i="15"/>
  <c r="B11" i="15"/>
  <c r="C25" i="14"/>
  <c r="C9" i="14"/>
  <c r="D8" i="13"/>
  <c r="A223" i="12"/>
  <c r="A207" i="12"/>
  <c r="A191" i="12"/>
  <c r="A175" i="12"/>
  <c r="A159" i="12"/>
  <c r="A143" i="12"/>
  <c r="B13" i="35"/>
  <c r="F13" i="28"/>
  <c r="H836" i="25"/>
  <c r="C609" i="25"/>
  <c r="G381" i="25"/>
  <c r="E806" i="25"/>
  <c r="H29" i="27"/>
  <c r="D555" i="25"/>
  <c r="A396" i="25"/>
  <c r="C278" i="25"/>
  <c r="E164" i="25"/>
  <c r="G50" i="25"/>
  <c r="G40" i="24"/>
  <c r="H137" i="23"/>
  <c r="H9" i="23"/>
  <c r="E118" i="22"/>
  <c r="A48" i="22"/>
  <c r="D40" i="26"/>
  <c r="E840" i="25"/>
  <c r="G726" i="25"/>
  <c r="I612" i="25"/>
  <c r="H533" i="25"/>
  <c r="I457" i="25"/>
  <c r="A382" i="25"/>
  <c r="G324" i="25"/>
  <c r="H267" i="25"/>
  <c r="I210" i="25"/>
  <c r="A154" i="25"/>
  <c r="B97" i="25"/>
  <c r="C40" i="25"/>
  <c r="E92" i="24"/>
  <c r="E52" i="24"/>
  <c r="E20" i="24"/>
  <c r="B38" i="27"/>
  <c r="I873" i="25"/>
  <c r="B760" i="25"/>
  <c r="D646" i="25"/>
  <c r="B556" i="25"/>
  <c r="C480" i="25"/>
  <c r="E404" i="25"/>
  <c r="E341" i="25"/>
  <c r="F284" i="25"/>
  <c r="G227" i="25"/>
  <c r="H170" i="25"/>
  <c r="I113" i="25"/>
  <c r="A57" i="25"/>
  <c r="H111" i="24"/>
  <c r="H47" i="24"/>
  <c r="C214" i="23"/>
  <c r="F171" i="23"/>
  <c r="A129" i="23"/>
  <c r="C86" i="23"/>
  <c r="F43" i="23"/>
  <c r="G237" i="22"/>
  <c r="B195" i="22"/>
  <c r="D152" i="22"/>
  <c r="G109" i="22"/>
  <c r="B67" i="22"/>
  <c r="F25" i="22"/>
  <c r="G3" i="21"/>
  <c r="E261" i="19"/>
  <c r="E229" i="19"/>
  <c r="E197" i="19"/>
  <c r="E165" i="19"/>
  <c r="E133" i="19"/>
  <c r="E101" i="19"/>
  <c r="E69" i="19"/>
  <c r="J27" i="26"/>
  <c r="D818" i="25"/>
  <c r="F704" i="25"/>
  <c r="I594" i="25"/>
  <c r="B519" i="25"/>
  <c r="C443" i="25"/>
  <c r="F370" i="25"/>
  <c r="G313" i="25"/>
  <c r="H256" i="25"/>
  <c r="I199" i="25"/>
  <c r="A143" i="25"/>
  <c r="B86" i="25"/>
  <c r="C29" i="25"/>
  <c r="F80" i="24"/>
  <c r="F16" i="24"/>
  <c r="B194" i="23"/>
  <c r="E151" i="23"/>
  <c r="G108" i="23"/>
  <c r="B66" i="23"/>
  <c r="E23" i="23"/>
  <c r="C218" i="22"/>
  <c r="F175" i="22"/>
  <c r="H132" i="22"/>
  <c r="C90" i="22"/>
  <c r="F47" i="22"/>
  <c r="A11" i="22"/>
  <c r="D279" i="19"/>
  <c r="D247" i="19"/>
  <c r="D221" i="19"/>
  <c r="H200" i="19"/>
  <c r="H186" i="19"/>
  <c r="D176" i="19"/>
  <c r="D165" i="19"/>
  <c r="H154" i="19"/>
  <c r="D144" i="19"/>
  <c r="D133" i="19"/>
  <c r="H122" i="19"/>
  <c r="D112" i="19"/>
  <c r="D101" i="19"/>
  <c r="H90" i="19"/>
  <c r="D80" i="19"/>
  <c r="D69" i="19"/>
  <c r="H58" i="19"/>
  <c r="D48" i="19"/>
  <c r="D37" i="19"/>
  <c r="H26" i="19"/>
  <c r="B8" i="27"/>
  <c r="I8" i="26"/>
  <c r="C839" i="25"/>
  <c r="D782" i="25"/>
  <c r="E725" i="25"/>
  <c r="F668" i="25"/>
  <c r="G611" i="25"/>
  <c r="I570" i="25"/>
  <c r="A533" i="25"/>
  <c r="B495" i="25"/>
  <c r="B457" i="25"/>
  <c r="C419" i="25"/>
  <c r="D381" i="25"/>
  <c r="F352" i="25"/>
  <c r="B324" i="25"/>
  <c r="G295" i="25"/>
  <c r="C267" i="25"/>
  <c r="H238" i="25"/>
  <c r="D210" i="25"/>
  <c r="I181" i="25"/>
  <c r="E153" i="25"/>
  <c r="A125" i="25"/>
  <c r="F96" i="25"/>
  <c r="B68" i="25"/>
  <c r="G39" i="25"/>
  <c r="C11" i="25"/>
  <c r="D92" i="24"/>
  <c r="D60" i="24"/>
  <c r="D28" i="24"/>
  <c r="A224" i="23"/>
  <c r="F202" i="23"/>
  <c r="C181" i="23"/>
  <c r="A160" i="23"/>
  <c r="F138" i="23"/>
  <c r="C117" i="23"/>
  <c r="A96" i="23"/>
  <c r="F74" i="23"/>
  <c r="C53" i="23"/>
  <c r="A32" i="23"/>
  <c r="F10" i="23"/>
  <c r="B226" i="22"/>
  <c r="G204" i="22"/>
  <c r="D183" i="22"/>
  <c r="B162" i="22"/>
  <c r="G140" i="22"/>
  <c r="D119" i="22"/>
  <c r="B98" i="22"/>
  <c r="G76" i="22"/>
  <c r="D55" i="22"/>
  <c r="B34" i="22"/>
  <c r="H16" i="22"/>
  <c r="A10" i="21"/>
  <c r="C284" i="19"/>
  <c r="C268" i="19"/>
  <c r="C252" i="19"/>
  <c r="C236" i="19"/>
  <c r="C220" i="19"/>
  <c r="C204" i="19"/>
  <c r="C188" i="19"/>
  <c r="C172" i="19"/>
  <c r="C156" i="19"/>
  <c r="C140" i="19"/>
  <c r="C124" i="19"/>
  <c r="C108" i="19"/>
  <c r="C92" i="19"/>
  <c r="C76" i="19"/>
  <c r="G61" i="19"/>
  <c r="B51" i="19"/>
  <c r="E40" i="19"/>
  <c r="G29" i="19"/>
  <c r="D20" i="19"/>
  <c r="D12" i="19"/>
  <c r="D4" i="19"/>
  <c r="A14" i="18"/>
  <c r="A6" i="18"/>
  <c r="I379" i="17"/>
  <c r="I375" i="17"/>
  <c r="I371" i="17"/>
  <c r="I367" i="17"/>
  <c r="I363" i="17"/>
  <c r="I359" i="17"/>
  <c r="I355" i="17"/>
  <c r="I351" i="17"/>
  <c r="I347" i="17"/>
  <c r="I343" i="17"/>
  <c r="I339" i="17"/>
  <c r="I335" i="17"/>
  <c r="I331" i="17"/>
  <c r="I327" i="17"/>
  <c r="I323" i="17"/>
  <c r="I319" i="17"/>
  <c r="I315" i="17"/>
  <c r="I311" i="17"/>
  <c r="I307" i="17"/>
  <c r="I303" i="17"/>
  <c r="I299" i="17"/>
  <c r="I295" i="17"/>
  <c r="I291" i="17"/>
  <c r="I287" i="17"/>
  <c r="I283" i="17"/>
  <c r="I279" i="17"/>
  <c r="I275" i="17"/>
  <c r="I271" i="17"/>
  <c r="I267" i="17"/>
  <c r="I263" i="17"/>
  <c r="I259" i="17"/>
  <c r="I255" i="17"/>
  <c r="I251" i="17"/>
  <c r="I247" i="17"/>
  <c r="I243" i="17"/>
  <c r="I239" i="17"/>
  <c r="I235" i="17"/>
  <c r="I231" i="17"/>
  <c r="I227" i="17"/>
  <c r="I223" i="17"/>
  <c r="I219" i="17"/>
  <c r="I215" i="17"/>
  <c r="I211" i="17"/>
  <c r="I207" i="17"/>
  <c r="I203" i="17"/>
  <c r="I199" i="17"/>
  <c r="I195" i="17"/>
  <c r="I191" i="17"/>
  <c r="I187" i="17"/>
  <c r="I183" i="17"/>
  <c r="I179" i="17"/>
  <c r="I175" i="17"/>
  <c r="I171" i="17"/>
  <c r="I167" i="17"/>
  <c r="I163" i="17"/>
  <c r="I159" i="17"/>
  <c r="I155" i="17"/>
  <c r="I151" i="17"/>
  <c r="I147" i="17"/>
  <c r="I143" i="17"/>
  <c r="I139" i="17"/>
  <c r="I135" i="17"/>
  <c r="I131" i="17"/>
  <c r="I127" i="17"/>
  <c r="I123" i="17"/>
  <c r="I119" i="17"/>
  <c r="I115" i="17"/>
  <c r="I111" i="17"/>
  <c r="I107" i="17"/>
  <c r="I103" i="17"/>
  <c r="I99" i="17"/>
  <c r="I95" i="17"/>
  <c r="I91" i="17"/>
  <c r="I87" i="17"/>
  <c r="I83" i="17"/>
  <c r="I79" i="17"/>
  <c r="I75" i="17"/>
  <c r="I71" i="17"/>
  <c r="I67" i="17"/>
  <c r="I63" i="17"/>
  <c r="I59" i="17"/>
  <c r="I55" i="17"/>
  <c r="I51" i="17"/>
  <c r="I47" i="17"/>
  <c r="I43" i="17"/>
  <c r="I39" i="17"/>
  <c r="I35" i="17"/>
  <c r="I31" i="17"/>
  <c r="I27" i="17"/>
  <c r="I23" i="17"/>
  <c r="I19" i="17"/>
  <c r="I15" i="17"/>
  <c r="I11" i="17"/>
  <c r="H6" i="17"/>
  <c r="G112" i="15"/>
  <c r="G104" i="15"/>
  <c r="G96" i="15"/>
  <c r="G88" i="15"/>
  <c r="G80" i="15"/>
  <c r="G72" i="15"/>
  <c r="G64" i="15"/>
  <c r="G56" i="15"/>
  <c r="G48" i="15"/>
  <c r="G40" i="15"/>
  <c r="G32" i="15"/>
  <c r="G24" i="15"/>
  <c r="G16" i="15"/>
  <c r="G8" i="15"/>
  <c r="H30" i="14"/>
  <c r="H22" i="14"/>
  <c r="H14" i="14"/>
  <c r="H6" i="14"/>
  <c r="E13" i="13"/>
  <c r="E5" i="13"/>
  <c r="C7" i="33"/>
  <c r="G38" i="26"/>
  <c r="G6" i="26"/>
  <c r="C835" i="25"/>
  <c r="D778" i="25"/>
  <c r="E721" i="25"/>
  <c r="F664" i="25"/>
  <c r="G607" i="25"/>
  <c r="C568" i="25"/>
  <c r="D530" i="25"/>
  <c r="E492" i="25"/>
  <c r="E454" i="25"/>
  <c r="F416" i="25"/>
  <c r="A379" i="25"/>
  <c r="F350" i="25"/>
  <c r="B322" i="25"/>
  <c r="G293" i="25"/>
  <c r="C265" i="25"/>
  <c r="H236" i="25"/>
  <c r="D208" i="25"/>
  <c r="I179" i="25"/>
  <c r="E151" i="25"/>
  <c r="A123" i="25"/>
  <c r="F94" i="25"/>
  <c r="B66" i="25"/>
  <c r="G37" i="25"/>
  <c r="C9" i="25"/>
  <c r="B88" i="24"/>
  <c r="B56" i="24"/>
  <c r="B24" i="24"/>
  <c r="B221" i="23"/>
  <c r="G199" i="23"/>
  <c r="E178" i="23"/>
  <c r="B157" i="23"/>
  <c r="G135" i="23"/>
  <c r="E114" i="23"/>
  <c r="B93" i="23"/>
  <c r="G71" i="23"/>
  <c r="E50" i="23"/>
  <c r="B29" i="23"/>
  <c r="G7" i="23"/>
  <c r="C223" i="22"/>
  <c r="H201" i="22"/>
  <c r="F180" i="22"/>
  <c r="C159" i="22"/>
  <c r="H137" i="22"/>
  <c r="F116" i="22"/>
  <c r="C95" i="22"/>
  <c r="H73" i="22"/>
  <c r="F52" i="22"/>
  <c r="C31" i="22"/>
  <c r="G14" i="22"/>
  <c r="H8" i="21"/>
  <c r="B282" i="19"/>
  <c r="B266" i="19"/>
  <c r="B250" i="19"/>
  <c r="B234" i="19"/>
  <c r="B218" i="19"/>
  <c r="B202" i="19"/>
  <c r="B186" i="19"/>
  <c r="B170" i="19"/>
  <c r="B154" i="19"/>
  <c r="B138" i="19"/>
  <c r="B122" i="19"/>
  <c r="B106" i="19"/>
  <c r="B90" i="19"/>
  <c r="B74" i="19"/>
  <c r="C60" i="19"/>
  <c r="F49" i="19"/>
  <c r="A39" i="19"/>
  <c r="C28" i="19"/>
  <c r="C19" i="19"/>
  <c r="C11" i="19"/>
  <c r="C3" i="19"/>
  <c r="D13" i="18"/>
  <c r="D5" i="18"/>
  <c r="H378" i="17"/>
  <c r="D373" i="17"/>
  <c r="L367" i="17"/>
  <c r="H362" i="17"/>
  <c r="D357" i="17"/>
  <c r="L351" i="17"/>
  <c r="H346" i="17"/>
  <c r="D341" i="17"/>
  <c r="L335" i="17"/>
  <c r="H330" i="17"/>
  <c r="D325" i="17"/>
  <c r="L319" i="17"/>
  <c r="H314" i="17"/>
  <c r="D309" i="17"/>
  <c r="L303" i="17"/>
  <c r="H298" i="17"/>
  <c r="D293" i="17"/>
  <c r="L287" i="17"/>
  <c r="H282" i="17"/>
  <c r="D277" i="17"/>
  <c r="L271" i="17"/>
  <c r="H266" i="17"/>
  <c r="D261" i="17"/>
  <c r="L255" i="17"/>
  <c r="H250" i="17"/>
  <c r="D245" i="17"/>
  <c r="L239" i="17"/>
  <c r="H234" i="17"/>
  <c r="D229" i="17"/>
  <c r="L223" i="17"/>
  <c r="H218" i="17"/>
  <c r="D213" i="17"/>
  <c r="L207" i="17"/>
  <c r="H202" i="17"/>
  <c r="D197" i="17"/>
  <c r="L191" i="17"/>
  <c r="H186" i="17"/>
  <c r="D181" i="17"/>
  <c r="L175" i="17"/>
  <c r="H170" i="17"/>
  <c r="D165" i="17"/>
  <c r="L159" i="17"/>
  <c r="H154" i="17"/>
  <c r="D149" i="17"/>
  <c r="L143" i="17"/>
  <c r="H138" i="17"/>
  <c r="D133" i="17"/>
  <c r="L127" i="17"/>
  <c r="H122" i="17"/>
  <c r="D117" i="17"/>
  <c r="L111" i="17"/>
  <c r="H106" i="17"/>
  <c r="D101" i="17"/>
  <c r="L95" i="17"/>
  <c r="H90" i="17"/>
  <c r="D85" i="17"/>
  <c r="L79" i="17"/>
  <c r="H74" i="17"/>
  <c r="D69" i="17"/>
  <c r="L63" i="17"/>
  <c r="H58" i="17"/>
  <c r="D53" i="17"/>
  <c r="L47" i="17"/>
  <c r="H42" i="17"/>
  <c r="D37" i="17"/>
  <c r="L31" i="17"/>
  <c r="H26" i="17"/>
  <c r="D21" i="17"/>
  <c r="L15" i="17"/>
  <c r="G10" i="17"/>
  <c r="G6" i="17"/>
  <c r="F112" i="15"/>
  <c r="F104" i="15"/>
  <c r="F96" i="15"/>
  <c r="F88" i="15"/>
  <c r="F80" i="15"/>
  <c r="F72" i="15"/>
  <c r="F64" i="15"/>
  <c r="F56" i="15"/>
  <c r="F48" i="15"/>
  <c r="F40" i="15"/>
  <c r="F32" i="15"/>
  <c r="F24" i="15"/>
  <c r="F16" i="15"/>
  <c r="F8" i="15"/>
  <c r="G30" i="14"/>
  <c r="G22" i="14"/>
  <c r="G14" i="14"/>
  <c r="G6" i="14"/>
  <c r="H13" i="13"/>
  <c r="H5" i="13"/>
  <c r="E228" i="12"/>
  <c r="E220" i="12"/>
  <c r="E212" i="12"/>
  <c r="E204" i="12"/>
  <c r="E196" i="12"/>
  <c r="E188" i="12"/>
  <c r="E180" i="12"/>
  <c r="E172" i="12"/>
  <c r="E164" i="12"/>
  <c r="E156" i="12"/>
  <c r="E148" i="12"/>
  <c r="C154" i="45"/>
  <c r="G48" i="33"/>
  <c r="N45" i="26"/>
  <c r="C737" i="25"/>
  <c r="G509" i="25"/>
  <c r="N28" i="26"/>
  <c r="I706" i="25"/>
  <c r="A784" i="25"/>
  <c r="D481" i="25"/>
  <c r="C342" i="25"/>
  <c r="E228" i="25"/>
  <c r="G114" i="25"/>
  <c r="G112" i="24"/>
  <c r="H209" i="23"/>
  <c r="H81" i="23"/>
  <c r="E190" i="22"/>
  <c r="A84" i="22"/>
  <c r="I69" i="33"/>
  <c r="H12" i="26"/>
  <c r="G790" i="25"/>
  <c r="I676" i="25"/>
  <c r="E576" i="25"/>
  <c r="F500" i="25"/>
  <c r="G424" i="25"/>
  <c r="G356" i="25"/>
  <c r="H299" i="25"/>
  <c r="I242" i="25"/>
  <c r="A186" i="25"/>
  <c r="B129" i="25"/>
  <c r="C72" i="25"/>
  <c r="D15" i="25"/>
  <c r="E64" i="24"/>
  <c r="C106" i="33"/>
  <c r="H802" i="25"/>
  <c r="F584" i="25"/>
  <c r="I432" i="25"/>
  <c r="I305" i="25"/>
  <c r="B192" i="25"/>
  <c r="D78" i="25"/>
  <c r="H71" i="24"/>
  <c r="F187" i="23"/>
  <c r="C102" i="23"/>
  <c r="A17" i="23"/>
  <c r="D168" i="22"/>
  <c r="B83" i="22"/>
  <c r="F5" i="22"/>
  <c r="E241" i="19"/>
  <c r="E177" i="19"/>
  <c r="E113" i="19"/>
  <c r="B9" i="27"/>
  <c r="C747" i="25"/>
  <c r="F547" i="25"/>
  <c r="H395" i="25"/>
  <c r="B278" i="25"/>
  <c r="D164" i="25"/>
  <c r="F50" i="25"/>
  <c r="F40" i="24"/>
  <c r="E167" i="23"/>
  <c r="B82" i="23"/>
  <c r="C234" i="22"/>
  <c r="H148" i="22"/>
  <c r="F63" i="22"/>
  <c r="C1" i="21"/>
  <c r="D229" i="19"/>
  <c r="H191" i="19"/>
  <c r="D169" i="19"/>
  <c r="D148" i="19"/>
  <c r="H126" i="19"/>
  <c r="D105" i="19"/>
  <c r="D84" i="19"/>
  <c r="H62" i="19"/>
  <c r="D41" i="19"/>
  <c r="E9" i="33"/>
  <c r="F860" i="25"/>
  <c r="H746" i="25"/>
  <c r="A633" i="25"/>
  <c r="C547" i="25"/>
  <c r="D471" i="25"/>
  <c r="F395" i="25"/>
  <c r="H334" i="25"/>
  <c r="I277" i="25"/>
  <c r="A221" i="25"/>
  <c r="B164" i="25"/>
  <c r="C107" i="25"/>
  <c r="D50" i="25"/>
  <c r="D104" i="24"/>
  <c r="D40" i="24"/>
  <c r="F210" i="23"/>
  <c r="A168" i="23"/>
  <c r="C125" i="23"/>
  <c r="F82" i="23"/>
  <c r="A40" i="23"/>
  <c r="B234" i="22"/>
  <c r="D191" i="22"/>
  <c r="G148" i="22"/>
  <c r="B106" i="22"/>
  <c r="D63" i="22"/>
  <c r="H22" i="22"/>
  <c r="B5" i="20"/>
  <c r="C258" i="19"/>
  <c r="C226" i="19"/>
  <c r="C194" i="19"/>
  <c r="C162" i="19"/>
  <c r="C130" i="19"/>
  <c r="C98" i="19"/>
  <c r="C66" i="19"/>
  <c r="E44" i="19"/>
  <c r="D23" i="19"/>
  <c r="D7" i="19"/>
  <c r="A9" i="18"/>
  <c r="A377" i="17"/>
  <c r="A369" i="17"/>
  <c r="A361" i="17"/>
  <c r="A353" i="17"/>
  <c r="A345" i="17"/>
  <c r="A337" i="17"/>
  <c r="A329" i="17"/>
  <c r="A321" i="17"/>
  <c r="A313" i="17"/>
  <c r="A305" i="17"/>
  <c r="A297" i="17"/>
  <c r="A289" i="17"/>
  <c r="A281" i="17"/>
  <c r="A273" i="17"/>
  <c r="A265" i="17"/>
  <c r="A257" i="17"/>
  <c r="A249" i="17"/>
  <c r="A241" i="17"/>
  <c r="A233" i="17"/>
  <c r="A225" i="17"/>
  <c r="A217" i="17"/>
  <c r="A209" i="17"/>
  <c r="A201" i="17"/>
  <c r="A193" i="17"/>
  <c r="A185" i="17"/>
  <c r="A177" i="17"/>
  <c r="A169" i="17"/>
  <c r="A161" i="17"/>
  <c r="A153" i="17"/>
  <c r="A145" i="17"/>
  <c r="A137" i="17"/>
  <c r="A129" i="17"/>
  <c r="A121" i="17"/>
  <c r="A113" i="17"/>
  <c r="A105" i="17"/>
  <c r="A97" i="17"/>
  <c r="A89" i="17"/>
  <c r="A81" i="17"/>
  <c r="A73" i="17"/>
  <c r="A65" i="17"/>
  <c r="A57" i="17"/>
  <c r="A49" i="17"/>
  <c r="A41" i="17"/>
  <c r="A33" i="17"/>
  <c r="A25" i="17"/>
  <c r="A17" i="17"/>
  <c r="H8" i="17"/>
  <c r="G107" i="15"/>
  <c r="G91" i="15"/>
  <c r="G75" i="15"/>
  <c r="G59" i="15"/>
  <c r="G43" i="15"/>
  <c r="G27" i="15"/>
  <c r="G11" i="15"/>
  <c r="H25" i="14"/>
  <c r="H9" i="14"/>
  <c r="E8" i="13"/>
  <c r="B7" i="27"/>
  <c r="F856" i="25"/>
  <c r="H742" i="25"/>
  <c r="A629" i="25"/>
  <c r="F544" i="25"/>
  <c r="G468" i="25"/>
  <c r="I392" i="25"/>
  <c r="H332" i="25"/>
  <c r="I275" i="25"/>
  <c r="A219" i="25"/>
  <c r="B162" i="25"/>
  <c r="C105" i="25"/>
  <c r="D48" i="25"/>
  <c r="B100" i="24"/>
  <c r="B36" i="24"/>
  <c r="G207" i="23"/>
  <c r="B165" i="23"/>
  <c r="E122" i="23"/>
  <c r="G79" i="23"/>
  <c r="B37" i="23"/>
  <c r="C231" i="22"/>
  <c r="F188" i="22"/>
  <c r="H145" i="22"/>
  <c r="C103" i="22"/>
  <c r="F60" i="22"/>
  <c r="G20" i="22"/>
  <c r="A3" i="20"/>
  <c r="B256" i="19"/>
  <c r="B224" i="19"/>
  <c r="B192" i="19"/>
  <c r="B160" i="19"/>
  <c r="B128" i="19"/>
  <c r="B96" i="19"/>
  <c r="C64" i="19"/>
  <c r="A43" i="19"/>
  <c r="C22" i="19"/>
  <c r="C6" i="19"/>
  <c r="D8" i="18"/>
  <c r="D375" i="17"/>
  <c r="H364" i="17"/>
  <c r="L353" i="17"/>
  <c r="D343" i="17"/>
  <c r="H332" i="17"/>
  <c r="L321" i="17"/>
  <c r="D311" i="17"/>
  <c r="H300" i="17"/>
  <c r="L289" i="17"/>
  <c r="D279" i="17"/>
  <c r="H268" i="17"/>
  <c r="L257" i="17"/>
  <c r="D247" i="17"/>
  <c r="H236" i="17"/>
  <c r="L225" i="17"/>
  <c r="D215" i="17"/>
  <c r="H204" i="17"/>
  <c r="L193" i="17"/>
  <c r="D183" i="17"/>
  <c r="H172" i="17"/>
  <c r="L161" i="17"/>
  <c r="D151" i="17"/>
  <c r="H140" i="17"/>
  <c r="L129" i="17"/>
  <c r="D119" i="17"/>
  <c r="H108" i="17"/>
  <c r="L97" i="17"/>
  <c r="D87" i="17"/>
  <c r="H76" i="17"/>
  <c r="L65" i="17"/>
  <c r="D55" i="17"/>
  <c r="H44" i="17"/>
  <c r="L33" i="17"/>
  <c r="D23" i="17"/>
  <c r="H12" i="17"/>
  <c r="F115" i="15"/>
  <c r="F99" i="15"/>
  <c r="F83" i="15"/>
  <c r="F67" i="15"/>
  <c r="F51" i="15"/>
  <c r="F35" i="15"/>
  <c r="F19" i="15"/>
  <c r="F3" i="15"/>
  <c r="G17" i="14"/>
  <c r="H1" i="14"/>
  <c r="E231" i="12"/>
  <c r="E215" i="12"/>
  <c r="E199" i="12"/>
  <c r="E183" i="12"/>
  <c r="E167" i="12"/>
  <c r="E151" i="12"/>
  <c r="A139" i="12"/>
  <c r="A131" i="12"/>
  <c r="A123" i="12"/>
  <c r="A115" i="12"/>
  <c r="A107" i="12"/>
  <c r="A99" i="12"/>
  <c r="A91" i="12"/>
  <c r="A83" i="12"/>
  <c r="A75" i="12"/>
  <c r="A67" i="12"/>
  <c r="A59" i="12"/>
  <c r="A51" i="12"/>
  <c r="A43" i="12"/>
  <c r="A35" i="12"/>
  <c r="A27" i="12"/>
  <c r="A19" i="12"/>
  <c r="A11" i="12"/>
  <c r="A3" i="12"/>
  <c r="B237" i="11"/>
  <c r="B229" i="11"/>
  <c r="B221" i="11"/>
  <c r="B213" i="11"/>
  <c r="B205" i="11"/>
  <c r="B197" i="11"/>
  <c r="B189" i="11"/>
  <c r="B181" i="11"/>
  <c r="B173" i="11"/>
  <c r="B165" i="11"/>
  <c r="B157" i="11"/>
  <c r="B149" i="11"/>
  <c r="B141" i="11"/>
  <c r="B133" i="11"/>
  <c r="B125" i="11"/>
  <c r="B117" i="11"/>
  <c r="B109" i="11"/>
  <c r="B101" i="11"/>
  <c r="B93" i="11"/>
  <c r="B85" i="11"/>
  <c r="B77" i="11"/>
  <c r="B69" i="11"/>
  <c r="B61" i="11"/>
  <c r="B53" i="11"/>
  <c r="B45" i="11"/>
  <c r="B37" i="11"/>
  <c r="B29" i="11"/>
  <c r="B21" i="11"/>
  <c r="B13" i="11"/>
  <c r="B5" i="11"/>
  <c r="C2" i="10"/>
  <c r="D4" i="9"/>
  <c r="H37" i="26"/>
  <c r="F840" i="25"/>
  <c r="H726" i="25"/>
  <c r="A613" i="25"/>
  <c r="I533" i="25"/>
  <c r="A458" i="25"/>
  <c r="C382" i="25"/>
  <c r="H324" i="25"/>
  <c r="I267" i="25"/>
  <c r="A211" i="25"/>
  <c r="B154" i="25"/>
  <c r="C97" i="25"/>
  <c r="D40" i="25"/>
  <c r="B93" i="24"/>
  <c r="B29" i="24"/>
  <c r="E200" i="23"/>
  <c r="G157" i="23"/>
  <c r="B115" i="23"/>
  <c r="E72" i="23"/>
  <c r="G29" i="23"/>
  <c r="H223" i="22"/>
  <c r="C181" i="22"/>
  <c r="F138" i="22"/>
  <c r="H95" i="22"/>
  <c r="C53" i="22"/>
  <c r="C15" i="22"/>
  <c r="F284" i="19"/>
  <c r="F252" i="19"/>
  <c r="F220" i="19"/>
  <c r="F188" i="19"/>
  <c r="F156" i="19"/>
  <c r="F124" i="19"/>
  <c r="F92" i="19"/>
  <c r="A62" i="19"/>
  <c r="F40" i="19"/>
  <c r="E20" i="19"/>
  <c r="E4" i="19"/>
  <c r="F6" i="18"/>
  <c r="K375" i="17"/>
  <c r="K367" i="17"/>
  <c r="K359" i="17"/>
  <c r="K351" i="17"/>
  <c r="K343" i="17"/>
  <c r="K335" i="17"/>
  <c r="K327" i="17"/>
  <c r="K319" i="17"/>
  <c r="K311" i="17"/>
  <c r="K303" i="17"/>
  <c r="K295" i="17"/>
  <c r="K287" i="17"/>
  <c r="K279" i="17"/>
  <c r="K271" i="17"/>
  <c r="K263" i="17"/>
  <c r="K255" i="17"/>
  <c r="K247" i="17"/>
  <c r="K239" i="17"/>
  <c r="K231" i="17"/>
  <c r="K223" i="17"/>
  <c r="K215" i="17"/>
  <c r="K207" i="17"/>
  <c r="K199" i="17"/>
  <c r="K191" i="17"/>
  <c r="K183" i="17"/>
  <c r="K175" i="17"/>
  <c r="K167" i="17"/>
  <c r="K159" i="17"/>
  <c r="K151" i="17"/>
  <c r="K143" i="17"/>
  <c r="K135" i="17"/>
  <c r="K127" i="17"/>
  <c r="K119" i="17"/>
  <c r="K111" i="17"/>
  <c r="K103" i="17"/>
  <c r="K95" i="17"/>
  <c r="K87" i="17"/>
  <c r="K79" i="17"/>
  <c r="K71" i="17"/>
  <c r="K63" i="17"/>
  <c r="K55" i="17"/>
  <c r="K47" i="17"/>
  <c r="K39" i="17"/>
  <c r="K31" i="17"/>
  <c r="K23" i="17"/>
  <c r="K15" i="17"/>
  <c r="J7" i="17"/>
  <c r="H107" i="15"/>
  <c r="H91" i="15"/>
  <c r="H75" i="15"/>
  <c r="H59" i="15"/>
  <c r="H43" i="15"/>
  <c r="H27" i="15"/>
  <c r="H11" i="15"/>
  <c r="A25" i="14"/>
  <c r="A9" i="14"/>
  <c r="B8" i="13"/>
  <c r="D226" i="12"/>
  <c r="G215" i="12"/>
  <c r="B205" i="12"/>
  <c r="D194" i="12"/>
  <c r="G183" i="12"/>
  <c r="B173" i="12"/>
  <c r="D162" i="12"/>
  <c r="G151" i="12"/>
  <c r="B141" i="12"/>
  <c r="D130" i="12"/>
  <c r="G119" i="12"/>
  <c r="B109" i="12"/>
  <c r="D98" i="12"/>
  <c r="G87" i="12"/>
  <c r="B77" i="12"/>
  <c r="D66" i="12"/>
  <c r="G55" i="12"/>
  <c r="B45" i="12"/>
  <c r="D34" i="12"/>
  <c r="D120" i="23"/>
  <c r="B485" i="25"/>
  <c r="G827" i="25"/>
  <c r="F111" i="23"/>
  <c r="D17" i="32"/>
  <c r="G176" i="23"/>
  <c r="H3" i="34"/>
  <c r="H538" i="25"/>
  <c r="I204" i="25"/>
  <c r="C86" i="24"/>
  <c r="D55" i="23"/>
  <c r="E70" i="22"/>
  <c r="E880" i="25"/>
  <c r="I652" i="25"/>
  <c r="F484" i="25"/>
  <c r="G344" i="25"/>
  <c r="I230" i="25"/>
  <c r="B117" i="25"/>
  <c r="A115" i="24"/>
  <c r="B26" i="27"/>
  <c r="F552" i="25"/>
  <c r="I281" i="25"/>
  <c r="D54" i="25"/>
  <c r="F169" i="23"/>
  <c r="G235" i="22"/>
  <c r="B65" i="22"/>
  <c r="A228" i="19"/>
  <c r="A100" i="19"/>
  <c r="C699" i="25"/>
  <c r="I367" i="25"/>
  <c r="D140" i="25"/>
  <c r="F13" i="24"/>
  <c r="B64" i="23"/>
  <c r="H130" i="22"/>
  <c r="H277" i="19"/>
  <c r="C1" i="32"/>
  <c r="I715" i="25"/>
  <c r="N16" i="26"/>
  <c r="D741" i="25"/>
  <c r="F331" i="25"/>
  <c r="A104" i="25"/>
  <c r="H197" i="23"/>
  <c r="E178" i="22"/>
  <c r="D19" i="33"/>
  <c r="A780" i="25"/>
  <c r="D569" i="25"/>
  <c r="F417" i="25"/>
  <c r="E294" i="25"/>
  <c r="G180" i="25"/>
  <c r="I66" i="25"/>
  <c r="E58" i="24"/>
  <c r="E781" i="25"/>
  <c r="G418" i="25"/>
  <c r="E181" i="25"/>
  <c r="H59" i="24"/>
  <c r="C94" i="23"/>
  <c r="D160" i="22"/>
  <c r="G9" i="21"/>
  <c r="E235" i="19"/>
  <c r="E171" i="19"/>
  <c r="E107" i="19"/>
  <c r="N39" i="26"/>
  <c r="I725" i="25"/>
  <c r="D533" i="25"/>
  <c r="F381" i="25"/>
  <c r="E267" i="25"/>
  <c r="G153" i="25"/>
  <c r="I39" i="25"/>
  <c r="F28" i="24"/>
  <c r="E159" i="23"/>
  <c r="B74" i="23"/>
  <c r="C226" i="22"/>
  <c r="H140" i="22"/>
  <c r="F55" i="22"/>
  <c r="D285" i="19"/>
  <c r="D225" i="19"/>
  <c r="H183" i="19"/>
  <c r="H151" i="19"/>
  <c r="H119" i="19"/>
  <c r="H87" i="19"/>
  <c r="H55" i="19"/>
  <c r="F1" i="36"/>
  <c r="G28" i="36"/>
  <c r="A17" i="35"/>
  <c r="J29" i="26"/>
  <c r="D708" i="25"/>
  <c r="H480" i="25"/>
  <c r="J12" i="26"/>
  <c r="A678" i="25"/>
  <c r="C726" i="25"/>
  <c r="H461" i="25"/>
  <c r="F327" i="25"/>
  <c r="H213" i="25"/>
  <c r="A100" i="25"/>
  <c r="C96" i="24"/>
  <c r="D193" i="23"/>
  <c r="D65" i="23"/>
  <c r="A174" i="22"/>
  <c r="E75" i="22"/>
  <c r="A31" i="32"/>
  <c r="D889" i="25"/>
  <c r="F775" i="25"/>
  <c r="H661" i="25"/>
  <c r="D566" i="25"/>
  <c r="E490" i="25"/>
  <c r="G414" i="25"/>
  <c r="B349" i="25"/>
  <c r="C292" i="25"/>
  <c r="D235" i="25"/>
  <c r="E178" i="25"/>
  <c r="F121" i="25"/>
  <c r="G64" i="25"/>
  <c r="H7" i="25"/>
  <c r="A56" i="24"/>
  <c r="B2" i="31"/>
  <c r="F772" i="25"/>
  <c r="E564" i="25"/>
  <c r="G412" i="25"/>
  <c r="H290" i="25"/>
  <c r="A177" i="25"/>
  <c r="C63" i="25"/>
  <c r="H54" i="24"/>
  <c r="C176" i="23"/>
  <c r="A91" i="23"/>
  <c r="F5" i="23"/>
  <c r="D178" i="22"/>
  <c r="G119" i="22"/>
  <c r="D66" i="22"/>
  <c r="B25" i="22"/>
  <c r="C3" i="21"/>
  <c r="A261" i="19"/>
  <c r="A229" i="19"/>
  <c r="A197" i="19"/>
  <c r="A165" i="19"/>
  <c r="A133" i="19"/>
  <c r="A101" i="19"/>
  <c r="A69" i="19"/>
  <c r="K26" i="26"/>
  <c r="F816" i="25"/>
  <c r="H702" i="25"/>
  <c r="H593" i="25"/>
  <c r="I517" i="25"/>
  <c r="A442" i="25"/>
  <c r="G369" i="25"/>
  <c r="H312" i="25"/>
  <c r="I255" i="25"/>
  <c r="A199" i="25"/>
  <c r="B142" i="25"/>
  <c r="C85" i="25"/>
  <c r="D28" i="25"/>
  <c r="F79" i="24"/>
  <c r="F15" i="24"/>
  <c r="E193" i="23"/>
  <c r="G150" i="23"/>
  <c r="B108" i="23"/>
  <c r="E65" i="23"/>
  <c r="G22" i="23"/>
  <c r="F217" i="22"/>
  <c r="H174" i="22"/>
  <c r="C132" i="22"/>
  <c r="F89" i="22"/>
  <c r="H46" i="22"/>
  <c r="E10" i="22"/>
  <c r="H278" i="19"/>
  <c r="H246" i="19"/>
  <c r="H220" i="19"/>
  <c r="D122" i="45"/>
  <c r="H26" i="35"/>
  <c r="F34" i="27"/>
  <c r="B758" i="25"/>
  <c r="F530" i="25"/>
  <c r="J40" i="26"/>
  <c r="H727" i="25"/>
  <c r="H825" i="25"/>
  <c r="I494" i="25"/>
  <c r="E352" i="25"/>
  <c r="G238" i="25"/>
  <c r="I124" i="25"/>
  <c r="B11" i="25"/>
  <c r="D221" i="23"/>
  <c r="D93" i="23"/>
  <c r="A202" i="22"/>
  <c r="E89" i="22"/>
  <c r="I7" i="35"/>
  <c r="K17" i="26"/>
  <c r="E800" i="25"/>
  <c r="G686" i="25"/>
  <c r="I582" i="25"/>
  <c r="B507" i="25"/>
  <c r="C431" i="25"/>
  <c r="F361" i="25"/>
  <c r="G304" i="25"/>
  <c r="H247" i="25"/>
  <c r="I190" i="25"/>
  <c r="A134" i="25"/>
  <c r="B77" i="25"/>
  <c r="C20" i="25"/>
  <c r="A70" i="24"/>
  <c r="A6" i="24"/>
  <c r="D822" i="25"/>
  <c r="F597" i="25"/>
  <c r="I445" i="25"/>
  <c r="G315" i="25"/>
  <c r="I201" i="25"/>
  <c r="B88" i="25"/>
  <c r="H82" i="24"/>
  <c r="A195" i="23"/>
  <c r="F109" i="23"/>
  <c r="C24" i="23"/>
  <c r="G175" i="22"/>
  <c r="D90" i="22"/>
  <c r="B11" i="22"/>
  <c r="A247" i="19"/>
  <c r="A183" i="19"/>
  <c r="A119" i="19"/>
  <c r="A14" i="28"/>
  <c r="H766" i="25"/>
  <c r="F560" i="25"/>
  <c r="I408" i="25"/>
  <c r="I287" i="25"/>
  <c r="B174" i="25"/>
  <c r="D60" i="25"/>
  <c r="F51" i="24"/>
  <c r="G174" i="23"/>
  <c r="E89" i="23"/>
  <c r="B4" i="23"/>
  <c r="C156" i="22"/>
  <c r="H70" i="22"/>
  <c r="F6" i="21"/>
  <c r="H232" i="19"/>
  <c r="H194" i="19"/>
  <c r="D171" i="19"/>
  <c r="D150" i="19"/>
  <c r="H128" i="19"/>
  <c r="D107" i="19"/>
  <c r="D86" i="19"/>
  <c r="H64" i="19"/>
  <c r="D43" i="19"/>
  <c r="I76" i="33"/>
  <c r="C871" i="25"/>
  <c r="E757" i="25"/>
  <c r="G643" i="25"/>
  <c r="D554" i="25"/>
  <c r="E478" i="25"/>
  <c r="G402" i="25"/>
  <c r="B340" i="25"/>
  <c r="C283" i="25"/>
  <c r="D226" i="25"/>
  <c r="E169" i="25"/>
  <c r="F112" i="25"/>
  <c r="G55" i="25"/>
  <c r="D110" i="24"/>
  <c r="D46" i="24"/>
  <c r="F214" i="23"/>
  <c r="A172" i="23"/>
  <c r="C129" i="23"/>
  <c r="F86" i="23"/>
  <c r="A44" i="23"/>
  <c r="B1" i="23"/>
  <c r="D195" i="22"/>
  <c r="G152" i="22"/>
  <c r="B110" i="22"/>
  <c r="D67" i="22"/>
  <c r="H25" i="22"/>
  <c r="A3" i="21"/>
  <c r="C261" i="19"/>
  <c r="C229" i="19"/>
  <c r="C197" i="19"/>
  <c r="C165" i="19"/>
  <c r="C133" i="19"/>
  <c r="C101" i="19"/>
  <c r="C69" i="19"/>
  <c r="E46" i="19"/>
  <c r="B25" i="19"/>
  <c r="H8" i="19"/>
  <c r="E10" i="18"/>
  <c r="M377" i="17"/>
  <c r="M369" i="17"/>
  <c r="M361" i="17"/>
  <c r="M353" i="17"/>
  <c r="M345" i="17"/>
  <c r="M337" i="17"/>
  <c r="M329" i="17"/>
  <c r="M321" i="17"/>
  <c r="M313" i="17"/>
  <c r="M305" i="17"/>
  <c r="M297" i="17"/>
  <c r="M289" i="17"/>
  <c r="M281" i="17"/>
  <c r="M273" i="17"/>
  <c r="M265" i="17"/>
  <c r="M257" i="17"/>
  <c r="M249" i="17"/>
  <c r="M241" i="17"/>
  <c r="M233" i="17"/>
  <c r="M225" i="17"/>
  <c r="M217" i="17"/>
  <c r="M209" i="17"/>
  <c r="M201" i="17"/>
  <c r="M193" i="17"/>
  <c r="M185" i="17"/>
  <c r="M177" i="17"/>
  <c r="M169" i="17"/>
  <c r="M161" i="17"/>
  <c r="M153" i="17"/>
  <c r="M145" i="17"/>
  <c r="M137" i="17"/>
  <c r="M129" i="17"/>
  <c r="M121" i="17"/>
  <c r="M113" i="17"/>
  <c r="M105" i="17"/>
  <c r="M97" i="17"/>
  <c r="M89" i="17"/>
  <c r="M81" i="17"/>
  <c r="M73" i="17"/>
  <c r="M65" i="17"/>
  <c r="M57" i="17"/>
  <c r="M49" i="17"/>
  <c r="M41" i="17"/>
  <c r="M33" i="17"/>
  <c r="M25" i="17"/>
  <c r="M17" i="17"/>
  <c r="H9" i="17"/>
  <c r="C109" i="15"/>
  <c r="C93" i="15"/>
  <c r="C77" i="15"/>
  <c r="C61" i="15"/>
  <c r="C45" i="15"/>
  <c r="C29" i="15"/>
  <c r="C13" i="15"/>
  <c r="D27" i="14"/>
  <c r="D11" i="14"/>
  <c r="A10" i="13"/>
  <c r="B31" i="27"/>
  <c r="C867" i="25"/>
  <c r="E753" i="25"/>
  <c r="G639" i="25"/>
  <c r="G551" i="25"/>
  <c r="H475" i="25"/>
  <c r="A400" i="25"/>
  <c r="B338" i="25"/>
  <c r="C281" i="25"/>
  <c r="D224" i="25"/>
  <c r="E167" i="25"/>
  <c r="F110" i="25"/>
  <c r="G53" i="25"/>
  <c r="B106" i="24"/>
  <c r="B42" i="24"/>
  <c r="G211" i="23"/>
  <c r="B169" i="23"/>
  <c r="E126" i="23"/>
  <c r="G83" i="23"/>
  <c r="B41" i="23"/>
  <c r="C235" i="22"/>
  <c r="F192" i="22"/>
  <c r="H149" i="22"/>
  <c r="C107" i="22"/>
  <c r="F64" i="22"/>
  <c r="G23" i="22"/>
  <c r="A1" i="21"/>
  <c r="B259" i="19"/>
  <c r="B227" i="19"/>
  <c r="B195" i="19"/>
  <c r="B163" i="19"/>
  <c r="B131" i="19"/>
  <c r="B99" i="19"/>
  <c r="B67" i="19"/>
  <c r="A45" i="19"/>
  <c r="G23" i="19"/>
  <c r="G7" i="19"/>
  <c r="H9" i="18"/>
  <c r="D376" i="17"/>
  <c r="H365" i="17"/>
  <c r="L354" i="17"/>
  <c r="D344" i="17"/>
  <c r="H333" i="17"/>
  <c r="L322" i="17"/>
  <c r="D312" i="17"/>
  <c r="H301" i="17"/>
  <c r="L290" i="17"/>
  <c r="D280" i="17"/>
  <c r="H269" i="17"/>
  <c r="L258" i="17"/>
  <c r="D248" i="17"/>
  <c r="H237" i="17"/>
  <c r="L226" i="17"/>
  <c r="D216" i="17"/>
  <c r="H205" i="17"/>
  <c r="L194" i="17"/>
  <c r="D184" i="17"/>
  <c r="H173" i="17"/>
  <c r="L162" i="17"/>
  <c r="D152" i="17"/>
  <c r="H141" i="17"/>
  <c r="L130" i="17"/>
  <c r="D120" i="17"/>
  <c r="H109" i="17"/>
  <c r="L98" i="17"/>
  <c r="D88" i="17"/>
  <c r="H77" i="17"/>
  <c r="L66" i="17"/>
  <c r="D56" i="17"/>
  <c r="H45" i="17"/>
  <c r="L34" i="17"/>
  <c r="D24" i="17"/>
  <c r="H13" i="17"/>
  <c r="B117" i="15"/>
  <c r="B101" i="15"/>
  <c r="B85" i="15"/>
  <c r="B69" i="15"/>
  <c r="B53" i="15"/>
  <c r="B37" i="15"/>
  <c r="B21" i="15"/>
  <c r="B5" i="15"/>
  <c r="C19" i="14"/>
  <c r="C3" i="14"/>
  <c r="D2" i="13"/>
  <c r="A217" i="12"/>
  <c r="A201" i="12"/>
  <c r="A185" i="12"/>
  <c r="A169" i="12"/>
  <c r="A153" i="12"/>
  <c r="I25" i="45"/>
  <c r="D99" i="33"/>
  <c r="F19" i="27"/>
  <c r="E751" i="25"/>
  <c r="I523" i="25"/>
  <c r="N36" i="26"/>
  <c r="B721" i="25"/>
  <c r="E812" i="25"/>
  <c r="H490" i="25"/>
  <c r="D349" i="25"/>
  <c r="F235" i="25"/>
  <c r="H121" i="25"/>
  <c r="A8" i="25"/>
  <c r="H217" i="23"/>
  <c r="H89" i="23"/>
  <c r="E198" i="22"/>
  <c r="A88" i="22"/>
  <c r="G103" i="33"/>
  <c r="D16" i="26"/>
  <c r="H797" i="25"/>
  <c r="A684" i="25"/>
  <c r="B581" i="25"/>
  <c r="D505" i="25"/>
  <c r="E429" i="25"/>
  <c r="C360" i="25"/>
  <c r="D303" i="25"/>
  <c r="E246" i="25"/>
  <c r="F189" i="25"/>
  <c r="G132" i="25"/>
  <c r="H75" i="25"/>
  <c r="I18" i="25"/>
  <c r="E76" i="24"/>
  <c r="E44" i="24"/>
  <c r="E12" i="24"/>
  <c r="O42" i="26"/>
  <c r="E845" i="25"/>
  <c r="G731" i="25"/>
  <c r="I617" i="25"/>
  <c r="B537" i="25"/>
  <c r="D461" i="25"/>
  <c r="E385" i="25"/>
  <c r="C327" i="25"/>
  <c r="D270" i="25"/>
  <c r="E213" i="25"/>
  <c r="F156" i="25"/>
  <c r="G99" i="25"/>
  <c r="H42" i="25"/>
  <c r="H95" i="24"/>
  <c r="H31" i="24"/>
  <c r="F203" i="23"/>
  <c r="A161" i="23"/>
  <c r="C118" i="23"/>
  <c r="F75" i="23"/>
  <c r="A33" i="23"/>
  <c r="B227" i="22"/>
  <c r="D184" i="22"/>
  <c r="G141" i="22"/>
  <c r="B99" i="22"/>
  <c r="D56" i="22"/>
  <c r="F17" i="22"/>
  <c r="E285" i="19"/>
  <c r="E253" i="19"/>
  <c r="E221" i="19"/>
  <c r="E189" i="19"/>
  <c r="E157" i="19"/>
  <c r="E125" i="19"/>
  <c r="E93" i="19"/>
  <c r="E70" i="33"/>
  <c r="J11" i="26"/>
  <c r="I789" i="25"/>
  <c r="B676" i="25"/>
  <c r="A576" i="25"/>
  <c r="B500" i="25"/>
  <c r="C424" i="25"/>
  <c r="D356" i="25"/>
  <c r="E299" i="25"/>
  <c r="F242" i="25"/>
  <c r="G185" i="25"/>
  <c r="H128" i="25"/>
  <c r="I71" i="25"/>
  <c r="A15" i="25"/>
  <c r="F64" i="24"/>
  <c r="B1" i="24"/>
  <c r="E183" i="23"/>
  <c r="G140" i="23"/>
  <c r="B98" i="23"/>
  <c r="E55" i="23"/>
  <c r="G12" i="23"/>
  <c r="F207" i="22"/>
  <c r="H164" i="22"/>
  <c r="C122" i="22"/>
  <c r="F79" i="22"/>
  <c r="H36" i="22"/>
  <c r="A3" i="22"/>
  <c r="D271" i="19"/>
  <c r="D239" i="19"/>
  <c r="H215" i="19"/>
  <c r="D197" i="19"/>
  <c r="D184" i="19"/>
  <c r="D173" i="19"/>
  <c r="H162" i="19"/>
  <c r="D152" i="19"/>
  <c r="D141" i="19"/>
  <c r="H130" i="19"/>
  <c r="D120" i="19"/>
  <c r="D109" i="19"/>
  <c r="H98" i="19"/>
  <c r="D88" i="19"/>
  <c r="D77" i="19"/>
  <c r="H66" i="19"/>
  <c r="D56" i="19"/>
  <c r="D45" i="19"/>
  <c r="H34" i="19"/>
  <c r="D24" i="19"/>
  <c r="K38" i="26"/>
  <c r="I881" i="25"/>
  <c r="A825" i="25"/>
  <c r="B768" i="25"/>
  <c r="C711" i="25"/>
  <c r="D654" i="25"/>
  <c r="D599" i="25"/>
  <c r="E561" i="25"/>
  <c r="F523" i="25"/>
  <c r="F485" i="25"/>
  <c r="G447" i="25"/>
  <c r="H409" i="25"/>
  <c r="I373" i="25"/>
  <c r="E345" i="25"/>
  <c r="A317" i="25"/>
  <c r="F288" i="25"/>
  <c r="B260" i="25"/>
  <c r="G231" i="25"/>
  <c r="C203" i="25"/>
  <c r="H174" i="25"/>
  <c r="D146" i="25"/>
  <c r="I117" i="25"/>
  <c r="E89" i="25"/>
  <c r="A61" i="25"/>
  <c r="F32" i="25"/>
  <c r="B4" i="25"/>
  <c r="D84" i="24"/>
  <c r="D52" i="24"/>
  <c r="D20" i="24"/>
  <c r="F218" i="23"/>
  <c r="C197" i="23"/>
  <c r="A176" i="23"/>
  <c r="F154" i="23"/>
  <c r="C133" i="23"/>
  <c r="A112" i="23"/>
  <c r="F90" i="23"/>
  <c r="C69" i="23"/>
  <c r="A48" i="23"/>
  <c r="F26" i="23"/>
  <c r="C5" i="23"/>
  <c r="G220" i="22"/>
  <c r="D199" i="22"/>
  <c r="B178" i="22"/>
  <c r="G156" i="22"/>
  <c r="D135" i="22"/>
  <c r="B114" i="22"/>
  <c r="G92" i="22"/>
  <c r="D71" i="22"/>
  <c r="B50" i="22"/>
  <c r="H28" i="22"/>
  <c r="H12" i="22"/>
  <c r="A6" i="21"/>
  <c r="C280" i="19"/>
  <c r="C264" i="19"/>
  <c r="C248" i="19"/>
  <c r="C232" i="19"/>
  <c r="C216" i="19"/>
  <c r="C200" i="19"/>
  <c r="C184" i="19"/>
  <c r="C168" i="19"/>
  <c r="C152" i="19"/>
  <c r="C136" i="19"/>
  <c r="C120" i="19"/>
  <c r="C104" i="19"/>
  <c r="C88" i="19"/>
  <c r="C72" i="19"/>
  <c r="B59" i="19"/>
  <c r="E48" i="19"/>
  <c r="G37" i="19"/>
  <c r="B27" i="19"/>
  <c r="D18" i="19"/>
  <c r="D10" i="19"/>
  <c r="D2" i="19"/>
  <c r="A12" i="18"/>
  <c r="A4" i="18"/>
  <c r="I378" i="17"/>
  <c r="I374" i="17"/>
  <c r="I370" i="17"/>
  <c r="I366" i="17"/>
  <c r="I362" i="17"/>
  <c r="I358" i="17"/>
  <c r="I354" i="17"/>
  <c r="I350" i="17"/>
  <c r="I346" i="17"/>
  <c r="I342" i="17"/>
  <c r="I338" i="17"/>
  <c r="I334" i="17"/>
  <c r="I330" i="17"/>
  <c r="I326" i="17"/>
  <c r="I322" i="17"/>
  <c r="I318" i="17"/>
  <c r="I314" i="17"/>
  <c r="I310" i="17"/>
  <c r="I306" i="17"/>
  <c r="I302" i="17"/>
  <c r="I298" i="17"/>
  <c r="I294" i="17"/>
  <c r="I290" i="17"/>
  <c r="I286" i="17"/>
  <c r="I282" i="17"/>
  <c r="I278" i="17"/>
  <c r="I274" i="17"/>
  <c r="I270" i="17"/>
  <c r="I266" i="17"/>
  <c r="I262" i="17"/>
  <c r="I258" i="17"/>
  <c r="I254" i="17"/>
  <c r="I250" i="17"/>
  <c r="I246" i="17"/>
  <c r="I242" i="17"/>
  <c r="I238" i="17"/>
  <c r="I234" i="17"/>
  <c r="I230" i="17"/>
  <c r="I226" i="17"/>
  <c r="I222" i="17"/>
  <c r="I218" i="17"/>
  <c r="I214" i="17"/>
  <c r="I210" i="17"/>
  <c r="I206" i="17"/>
  <c r="I202" i="17"/>
  <c r="I198" i="17"/>
  <c r="I194" i="17"/>
  <c r="I190" i="17"/>
  <c r="I186" i="17"/>
  <c r="I182" i="17"/>
  <c r="I178" i="17"/>
  <c r="I174" i="17"/>
  <c r="I170" i="17"/>
  <c r="I166" i="17"/>
  <c r="I162" i="17"/>
  <c r="I158" i="17"/>
  <c r="I154" i="17"/>
  <c r="I150" i="17"/>
  <c r="I146" i="17"/>
  <c r="I142" i="17"/>
  <c r="I138" i="17"/>
  <c r="I134" i="17"/>
  <c r="I130" i="17"/>
  <c r="I126" i="17"/>
  <c r="I122" i="17"/>
  <c r="I118" i="17"/>
  <c r="I114" i="17"/>
  <c r="I110" i="17"/>
  <c r="I106" i="17"/>
  <c r="I102" i="17"/>
  <c r="I98" i="17"/>
  <c r="I94" i="17"/>
  <c r="I90" i="17"/>
  <c r="I86" i="17"/>
  <c r="I82" i="17"/>
  <c r="I78" i="17"/>
  <c r="I74" i="17"/>
  <c r="I70" i="17"/>
  <c r="I66" i="17"/>
  <c r="I62" i="17"/>
  <c r="I58" i="17"/>
  <c r="I54" i="17"/>
  <c r="I50" i="17"/>
  <c r="I46" i="17"/>
  <c r="I42" i="17"/>
  <c r="I38" i="17"/>
  <c r="I34" i="17"/>
  <c r="I30" i="17"/>
  <c r="I26" i="17"/>
  <c r="I22" i="17"/>
  <c r="I18" i="17"/>
  <c r="I14" i="17"/>
  <c r="H10" i="17"/>
  <c r="G5" i="17"/>
  <c r="G110" i="15"/>
  <c r="G102" i="15"/>
  <c r="G94" i="15"/>
  <c r="G86" i="15"/>
  <c r="G78" i="15"/>
  <c r="G70" i="15"/>
  <c r="G62" i="15"/>
  <c r="G54" i="15"/>
  <c r="G46" i="15"/>
  <c r="G38" i="15"/>
  <c r="G30" i="15"/>
  <c r="G22" i="15"/>
  <c r="G14" i="15"/>
  <c r="G6" i="15"/>
  <c r="H28" i="14"/>
  <c r="H20" i="14"/>
  <c r="H12" i="14"/>
  <c r="H4" i="14"/>
  <c r="E11" i="13"/>
  <c r="E3" i="13"/>
  <c r="A12" i="28"/>
  <c r="O30" i="26"/>
  <c r="I877" i="25"/>
  <c r="D650" i="25"/>
  <c r="I482" i="25"/>
  <c r="E343" i="25"/>
  <c r="G229" i="25"/>
  <c r="I115" i="25"/>
  <c r="B112" i="24"/>
  <c r="G215" i="23"/>
  <c r="E130" i="23"/>
  <c r="B45" i="23"/>
  <c r="F196" i="22"/>
  <c r="C111" i="22"/>
  <c r="G26" i="22"/>
  <c r="B262" i="19"/>
  <c r="B198" i="19"/>
  <c r="B134" i="19"/>
  <c r="B70" i="19"/>
  <c r="F25" i="19"/>
  <c r="D11" i="18"/>
  <c r="H366" i="17"/>
  <c r="D345" i="17"/>
  <c r="L323" i="17"/>
  <c r="H302" i="17"/>
  <c r="D281" i="17"/>
  <c r="L259" i="17"/>
  <c r="H238" i="17"/>
  <c r="D217" i="17"/>
  <c r="L195" i="17"/>
  <c r="H174" i="17"/>
  <c r="D153" i="17"/>
  <c r="L131" i="17"/>
  <c r="H110" i="17"/>
  <c r="D89" i="17"/>
  <c r="L67" i="17"/>
  <c r="H46" i="17"/>
  <c r="D25" i="17"/>
  <c r="F5" i="17"/>
  <c r="F86" i="15"/>
  <c r="F54" i="15"/>
  <c r="F22" i="15"/>
  <c r="G20" i="14"/>
  <c r="H3" i="13"/>
  <c r="E202" i="12"/>
  <c r="E170" i="12"/>
  <c r="A8" i="36"/>
  <c r="H452" i="25"/>
  <c r="D443" i="25"/>
  <c r="G80" i="24"/>
  <c r="A68" i="22"/>
  <c r="E648" i="25"/>
  <c r="E342" i="25"/>
  <c r="I114" i="25"/>
  <c r="B6" i="27"/>
  <c r="E277" i="25"/>
  <c r="C166" i="23"/>
  <c r="G61" i="22"/>
  <c r="E97" i="19"/>
  <c r="E363" i="25"/>
  <c r="F8" i="24"/>
  <c r="F127" i="22"/>
  <c r="D185" i="19"/>
  <c r="D100" i="19"/>
  <c r="E44" i="26"/>
  <c r="C528" i="25"/>
  <c r="G263" i="25"/>
  <c r="B36" i="25"/>
  <c r="C157" i="23"/>
  <c r="D223" i="22"/>
  <c r="G52" i="22"/>
  <c r="C218" i="19"/>
  <c r="C90" i="19"/>
  <c r="D3" i="19"/>
  <c r="A359" i="17"/>
  <c r="A327" i="17"/>
  <c r="A301" i="17"/>
  <c r="A285" i="17"/>
  <c r="A269" i="17"/>
  <c r="A253" i="17"/>
  <c r="A237" i="17"/>
  <c r="A221" i="17"/>
  <c r="A205" i="17"/>
  <c r="A189" i="17"/>
  <c r="A173" i="17"/>
  <c r="A157" i="17"/>
  <c r="A141" i="17"/>
  <c r="A125" i="17"/>
  <c r="A109" i="17"/>
  <c r="A93" i="17"/>
  <c r="A77" i="17"/>
  <c r="A61" i="17"/>
  <c r="A45" i="17"/>
  <c r="A29" i="17"/>
  <c r="A13" i="17"/>
  <c r="G99" i="15"/>
  <c r="G67" i="15"/>
  <c r="G35" i="15"/>
  <c r="G3" i="15"/>
  <c r="E1" i="14"/>
  <c r="L17" i="26"/>
  <c r="I685" i="25"/>
  <c r="G506" i="25"/>
  <c r="C361" i="25"/>
  <c r="E247" i="25"/>
  <c r="G133" i="25"/>
  <c r="I19" i="25"/>
  <c r="B4" i="24"/>
  <c r="G143" i="23"/>
  <c r="E58" i="23"/>
  <c r="H209" i="22"/>
  <c r="F124" i="22"/>
  <c r="C39" i="22"/>
  <c r="B272" i="19"/>
  <c r="B208" i="19"/>
  <c r="B144" i="19"/>
  <c r="B80" i="19"/>
  <c r="C32" i="19"/>
  <c r="D16" i="18"/>
  <c r="L369" i="17"/>
  <c r="H348" i="17"/>
  <c r="D327" i="17"/>
  <c r="L305" i="17"/>
  <c r="H284" i="17"/>
  <c r="D263" i="17"/>
  <c r="L241" i="17"/>
  <c r="H220" i="17"/>
  <c r="D199" i="17"/>
  <c r="L177" i="17"/>
  <c r="H156" i="17"/>
  <c r="D135" i="17"/>
  <c r="L113" i="17"/>
  <c r="H92" i="17"/>
  <c r="D71" i="17"/>
  <c r="L49" i="17"/>
  <c r="H28" i="17"/>
  <c r="O7" i="17"/>
  <c r="F91" i="15"/>
  <c r="F59" i="15"/>
  <c r="F27" i="15"/>
  <c r="G25" i="14"/>
  <c r="H8" i="13"/>
  <c r="E207" i="12"/>
  <c r="E175" i="12"/>
  <c r="E143" i="12"/>
  <c r="A127" i="12"/>
  <c r="A111" i="12"/>
  <c r="A95" i="12"/>
  <c r="A79" i="12"/>
  <c r="A63" i="12"/>
  <c r="A47" i="12"/>
  <c r="A31" i="12"/>
  <c r="A15" i="12"/>
  <c r="B241" i="11"/>
  <c r="B225" i="11"/>
  <c r="B209" i="11"/>
  <c r="B193" i="11"/>
  <c r="B177" i="11"/>
  <c r="B161" i="11"/>
  <c r="B145" i="11"/>
  <c r="B129" i="11"/>
  <c r="B113" i="11"/>
  <c r="B97" i="11"/>
  <c r="B81" i="11"/>
  <c r="B65" i="11"/>
  <c r="B49" i="11"/>
  <c r="B33" i="11"/>
  <c r="B17" i="11"/>
  <c r="C1" i="11"/>
  <c r="F32" i="33"/>
  <c r="G783" i="25"/>
  <c r="H571" i="25"/>
  <c r="B420" i="25"/>
  <c r="D296" i="25"/>
  <c r="F182" i="25"/>
  <c r="H68" i="25"/>
  <c r="B61" i="24"/>
  <c r="B179" i="23"/>
  <c r="G93" i="23"/>
  <c r="E8" i="23"/>
  <c r="H159" i="22"/>
  <c r="F74" i="22"/>
  <c r="D8" i="21"/>
  <c r="F236" i="19"/>
  <c r="F172" i="19"/>
  <c r="F108" i="19"/>
  <c r="C51" i="19"/>
  <c r="E12" i="19"/>
  <c r="K379" i="17"/>
  <c r="K363" i="17"/>
  <c r="K347" i="17"/>
  <c r="K331" i="17"/>
  <c r="K315" i="17"/>
  <c r="K299" i="17"/>
  <c r="K283" i="17"/>
  <c r="K267" i="17"/>
  <c r="K251" i="17"/>
  <c r="K235" i="17"/>
  <c r="K219" i="17"/>
  <c r="K203" i="17"/>
  <c r="K187" i="17"/>
  <c r="K171" i="17"/>
  <c r="K155" i="17"/>
  <c r="K139" i="17"/>
  <c r="K123" i="17"/>
  <c r="K107" i="17"/>
  <c r="K91" i="17"/>
  <c r="K75" i="17"/>
  <c r="K59" i="17"/>
  <c r="K43" i="17"/>
  <c r="K27" i="17"/>
  <c r="K11" i="17"/>
  <c r="H99" i="15"/>
  <c r="H67" i="15"/>
  <c r="H35" i="15"/>
  <c r="H3" i="15"/>
  <c r="B1" i="14"/>
  <c r="B221" i="12"/>
  <c r="G199" i="12"/>
  <c r="D178" i="12"/>
  <c r="B157" i="12"/>
  <c r="G135" i="12"/>
  <c r="D114" i="12"/>
  <c r="B93" i="12"/>
  <c r="G71" i="12"/>
  <c r="D50" i="12"/>
  <c r="B29" i="12"/>
  <c r="G15" i="12"/>
  <c r="B5" i="12"/>
  <c r="C236" i="11"/>
  <c r="E225" i="11"/>
  <c r="H214" i="11"/>
  <c r="C204" i="11"/>
  <c r="E193" i="11"/>
  <c r="H182" i="11"/>
  <c r="C172" i="11"/>
  <c r="E161" i="11"/>
  <c r="H150" i="11"/>
  <c r="C140" i="11"/>
  <c r="E129" i="11"/>
  <c r="H118" i="11"/>
  <c r="C108" i="11"/>
  <c r="E97" i="11"/>
  <c r="H86" i="11"/>
  <c r="C76" i="11"/>
  <c r="E65" i="11"/>
  <c r="H54" i="11"/>
  <c r="C44" i="11"/>
  <c r="E33" i="11"/>
  <c r="H22" i="11"/>
  <c r="C12" i="11"/>
  <c r="D1" i="11"/>
  <c r="B19" i="27"/>
  <c r="E865" i="25"/>
  <c r="G751" i="25"/>
  <c r="I637" i="25"/>
  <c r="E550" i="25"/>
  <c r="G474" i="25"/>
  <c r="H398" i="25"/>
  <c r="C337" i="25"/>
  <c r="D280" i="25"/>
  <c r="E223" i="25"/>
  <c r="F166" i="25"/>
  <c r="G109" i="25"/>
  <c r="H52" i="25"/>
  <c r="B107" i="24"/>
  <c r="B43" i="24"/>
  <c r="E212" i="23"/>
  <c r="G169" i="23"/>
  <c r="B127" i="23"/>
  <c r="E84" i="23"/>
  <c r="G41" i="23"/>
  <c r="H235" i="22"/>
  <c r="C193" i="22"/>
  <c r="F150" i="22"/>
  <c r="H107" i="22"/>
  <c r="C65" i="22"/>
  <c r="C24" i="22"/>
  <c r="D3" i="21"/>
  <c r="F259" i="19"/>
  <c r="F227" i="19"/>
  <c r="F195" i="19"/>
  <c r="F163" i="19"/>
  <c r="F131" i="19"/>
  <c r="F99" i="19"/>
  <c r="F67" i="19"/>
  <c r="C45" i="19"/>
  <c r="A24" i="19"/>
  <c r="A8" i="19"/>
  <c r="B10" i="18"/>
  <c r="O377" i="17"/>
  <c r="O369" i="17"/>
  <c r="O361" i="17"/>
  <c r="O353" i="17"/>
  <c r="O345" i="17"/>
  <c r="O337" i="17"/>
  <c r="O329" i="17"/>
  <c r="O321" i="17"/>
  <c r="O313" i="17"/>
  <c r="O305" i="17"/>
  <c r="O297" i="17"/>
  <c r="O289" i="17"/>
  <c r="O281" i="17"/>
  <c r="O273" i="17"/>
  <c r="O265" i="17"/>
  <c r="O257" i="17"/>
  <c r="O249" i="17"/>
  <c r="O241" i="17"/>
  <c r="O233" i="17"/>
  <c r="O225" i="17"/>
  <c r="O217" i="17"/>
  <c r="O209" i="17"/>
  <c r="O201" i="17"/>
  <c r="O193" i="17"/>
  <c r="O185" i="17"/>
  <c r="O177" i="17"/>
  <c r="O169" i="17"/>
  <c r="O161" i="17"/>
  <c r="O153" i="17"/>
  <c r="O145" i="17"/>
  <c r="O137" i="17"/>
  <c r="O129" i="17"/>
  <c r="O121" i="17"/>
  <c r="O113" i="17"/>
  <c r="O105" i="17"/>
  <c r="O97" i="17"/>
  <c r="O89" i="17"/>
  <c r="O81" i="17"/>
  <c r="O73" i="17"/>
  <c r="O65" i="17"/>
  <c r="O57" i="17"/>
  <c r="O49" i="17"/>
  <c r="O41" i="17"/>
  <c r="O33" i="17"/>
  <c r="O25" i="17"/>
  <c r="O17" i="17"/>
  <c r="N9" i="17"/>
  <c r="D111" i="15"/>
  <c r="D95" i="15"/>
  <c r="D79" i="15"/>
  <c r="D63" i="15"/>
  <c r="D47" i="15"/>
  <c r="D31" i="15"/>
  <c r="D15" i="15"/>
  <c r="E29" i="14"/>
  <c r="E13" i="14"/>
  <c r="F12" i="13"/>
  <c r="D229" i="12"/>
  <c r="G218" i="12"/>
  <c r="B208" i="12"/>
  <c r="D197" i="12"/>
  <c r="G186" i="12"/>
  <c r="B176" i="12"/>
  <c r="D165" i="12"/>
  <c r="G154" i="12"/>
  <c r="B144" i="12"/>
  <c r="D133" i="12"/>
  <c r="G122" i="12"/>
  <c r="B112" i="12"/>
  <c r="D101" i="12"/>
  <c r="G90" i="12"/>
  <c r="B80" i="12"/>
  <c r="D69" i="12"/>
  <c r="G58" i="12"/>
  <c r="B48" i="12"/>
  <c r="D37" i="12"/>
  <c r="G26" i="12"/>
  <c r="B16" i="12"/>
  <c r="D5" i="12"/>
  <c r="C237" i="11"/>
  <c r="E226" i="11"/>
  <c r="H215" i="11"/>
  <c r="C205" i="11"/>
  <c r="E194" i="11"/>
  <c r="H183" i="11"/>
  <c r="C173" i="11"/>
  <c r="E162" i="11"/>
  <c r="H151" i="11"/>
  <c r="C141" i="11"/>
  <c r="E130" i="11"/>
  <c r="H119" i="11"/>
  <c r="C109" i="11"/>
  <c r="E98" i="11"/>
  <c r="H87" i="11"/>
  <c r="C77" i="11"/>
  <c r="E66" i="11"/>
  <c r="H55" i="11"/>
  <c r="C45" i="11"/>
  <c r="E34" i="11"/>
  <c r="H23" i="11"/>
  <c r="C13" i="11"/>
  <c r="E2" i="11"/>
  <c r="A809" i="25"/>
  <c r="G588" i="25"/>
  <c r="A437" i="25"/>
  <c r="A309" i="25"/>
  <c r="C195" i="25"/>
  <c r="E81" i="25"/>
  <c r="D75" i="24"/>
  <c r="A194" i="23"/>
  <c r="F108" i="23"/>
  <c r="C23" i="23"/>
  <c r="D177" i="22"/>
  <c r="B92" i="22"/>
  <c r="D12" i="22"/>
  <c r="G247" i="19"/>
  <c r="G183" i="19"/>
  <c r="G119" i="19"/>
  <c r="G58" i="19"/>
  <c r="B18" i="19"/>
  <c r="C5" i="18"/>
  <c r="F366" i="17"/>
  <c r="F350" i="17"/>
  <c r="F334" i="17"/>
  <c r="F318" i="17"/>
  <c r="F302" i="17"/>
  <c r="F286" i="17"/>
  <c r="F270" i="17"/>
  <c r="F254" i="17"/>
  <c r="F238" i="17"/>
  <c r="F222" i="17"/>
  <c r="F206" i="17"/>
  <c r="F190" i="17"/>
  <c r="F174" i="17"/>
  <c r="F158" i="17"/>
  <c r="F142" i="17"/>
  <c r="F126" i="17"/>
  <c r="F110" i="17"/>
  <c r="F94" i="17"/>
  <c r="F78" i="17"/>
  <c r="F62" i="17"/>
  <c r="F46" i="17"/>
  <c r="F30" i="17"/>
  <c r="F14" i="17"/>
  <c r="E104" i="15"/>
  <c r="E72" i="15"/>
  <c r="E40" i="15"/>
  <c r="E8" i="15"/>
  <c r="F7" i="14"/>
  <c r="C224" i="12"/>
  <c r="H202" i="12"/>
  <c r="F181" i="12"/>
  <c r="C160" i="12"/>
  <c r="H138" i="12"/>
  <c r="F117" i="12"/>
  <c r="C96" i="12"/>
  <c r="H74" i="12"/>
  <c r="F53" i="12"/>
  <c r="C32" i="12"/>
  <c r="H10" i="12"/>
  <c r="D231" i="11"/>
  <c r="A210" i="11"/>
  <c r="G188" i="11"/>
  <c r="D167" i="11"/>
  <c r="A146" i="11"/>
  <c r="G124" i="11"/>
  <c r="D103" i="11"/>
  <c r="A82" i="11"/>
  <c r="G60" i="11"/>
  <c r="D39" i="11"/>
  <c r="A18" i="11"/>
  <c r="H3" i="10"/>
  <c r="B3" i="9"/>
  <c r="H33" i="8"/>
  <c r="H25" i="8"/>
  <c r="H17" i="8"/>
  <c r="H9" i="8"/>
  <c r="E1" i="8"/>
  <c r="E12" i="7"/>
  <c r="E4" i="7"/>
  <c r="F289" i="6"/>
  <c r="F281" i="6"/>
  <c r="F273" i="6"/>
  <c r="F265" i="6"/>
  <c r="F257" i="6"/>
  <c r="F249" i="6"/>
  <c r="F241" i="6"/>
  <c r="F233" i="6"/>
  <c r="F225" i="6"/>
  <c r="F217" i="6"/>
  <c r="F209" i="6"/>
  <c r="F201" i="6"/>
  <c r="F193" i="6"/>
  <c r="F185" i="6"/>
  <c r="F177" i="6"/>
  <c r="F169" i="6"/>
  <c r="F161" i="6"/>
  <c r="F153" i="6"/>
  <c r="F145" i="6"/>
  <c r="F137" i="6"/>
  <c r="F129" i="6"/>
  <c r="F121" i="6"/>
  <c r="F113" i="6"/>
  <c r="F105" i="6"/>
  <c r="F97" i="6"/>
  <c r="F89" i="6"/>
  <c r="F81" i="6"/>
  <c r="F73" i="6"/>
  <c r="F65" i="6"/>
  <c r="F57" i="6"/>
  <c r="F49" i="6"/>
  <c r="F41" i="6"/>
  <c r="F33" i="6"/>
  <c r="F25" i="6"/>
  <c r="F17" i="6"/>
  <c r="F9" i="6"/>
  <c r="G1" i="6"/>
  <c r="C411" i="5"/>
  <c r="S407" i="5"/>
  <c r="O404" i="5"/>
  <c r="K401" i="5"/>
  <c r="G398" i="5"/>
  <c r="C395" i="5"/>
  <c r="S391" i="5"/>
  <c r="O388" i="5"/>
  <c r="K385" i="5"/>
  <c r="G382" i="5"/>
  <c r="C379" i="5"/>
  <c r="S375" i="5"/>
  <c r="O372" i="5"/>
  <c r="K369" i="5"/>
  <c r="G366" i="5"/>
  <c r="C363" i="5"/>
  <c r="S359" i="5"/>
  <c r="O356" i="5"/>
  <c r="K353" i="5"/>
  <c r="G350" i="5"/>
  <c r="C347" i="5"/>
  <c r="S343" i="5"/>
  <c r="O340" i="5"/>
  <c r="K337" i="5"/>
  <c r="G334" i="5"/>
  <c r="C331" i="5"/>
  <c r="S327" i="5"/>
  <c r="O324" i="5"/>
  <c r="K321" i="5"/>
  <c r="G318" i="5"/>
  <c r="C315" i="5"/>
  <c r="S311" i="5"/>
  <c r="O308" i="5"/>
  <c r="K305" i="5"/>
  <c r="G302" i="5"/>
  <c r="C299" i="5"/>
  <c r="S295" i="5"/>
  <c r="O292" i="5"/>
  <c r="K289" i="5"/>
  <c r="G286" i="5"/>
  <c r="C283" i="5"/>
  <c r="S279" i="5"/>
  <c r="O276" i="5"/>
  <c r="K273" i="5"/>
  <c r="G270" i="5"/>
  <c r="C267" i="5"/>
  <c r="S263" i="5"/>
  <c r="O260" i="5"/>
  <c r="K257" i="5"/>
  <c r="G254" i="5"/>
  <c r="C251" i="5"/>
  <c r="S247" i="5"/>
  <c r="O244" i="5"/>
  <c r="K241" i="5"/>
  <c r="G238" i="5"/>
  <c r="C235" i="5"/>
  <c r="S231" i="5"/>
  <c r="O228" i="5"/>
  <c r="K225" i="5"/>
  <c r="G222" i="5"/>
  <c r="C219" i="5"/>
  <c r="S215" i="5"/>
  <c r="O212" i="5"/>
  <c r="K209" i="5"/>
  <c r="G206" i="5"/>
  <c r="C203" i="5"/>
  <c r="S199" i="5"/>
  <c r="O196" i="5"/>
  <c r="K193" i="5"/>
  <c r="G190" i="5"/>
  <c r="C187" i="5"/>
  <c r="S183" i="5"/>
  <c r="O180" i="5"/>
  <c r="K177" i="5"/>
  <c r="G174" i="5"/>
  <c r="C171" i="5"/>
  <c r="S167" i="5"/>
  <c r="O164" i="5"/>
  <c r="K161" i="5"/>
  <c r="G158" i="5"/>
  <c r="C155" i="5"/>
  <c r="S151" i="5"/>
  <c r="O148" i="5"/>
  <c r="K145" i="5"/>
  <c r="G142" i="5"/>
  <c r="C139" i="5"/>
  <c r="S135" i="5"/>
  <c r="O132" i="5"/>
  <c r="K129" i="5"/>
  <c r="G126" i="5"/>
  <c r="C123" i="5"/>
  <c r="S119" i="5"/>
  <c r="O116" i="5"/>
  <c r="K113" i="5"/>
  <c r="G110" i="5"/>
  <c r="C107" i="5"/>
  <c r="S103" i="5"/>
  <c r="O100" i="5"/>
  <c r="K97" i="5"/>
  <c r="G94" i="5"/>
  <c r="C91" i="5"/>
  <c r="S87" i="5"/>
  <c r="O84" i="5"/>
  <c r="K81" i="5"/>
  <c r="G78" i="5"/>
  <c r="C75" i="5"/>
  <c r="S71" i="5"/>
  <c r="O68" i="5"/>
  <c r="K65" i="5"/>
  <c r="G62" i="5"/>
  <c r="C59" i="5"/>
  <c r="S55" i="5"/>
  <c r="O52" i="5"/>
  <c r="K49" i="5"/>
  <c r="G46" i="5"/>
  <c r="C43" i="5"/>
  <c r="S39" i="5"/>
  <c r="O36" i="5"/>
  <c r="K33" i="5"/>
  <c r="G30" i="5"/>
  <c r="C27" i="5"/>
  <c r="S23" i="5"/>
  <c r="O20" i="5"/>
  <c r="K17" i="5"/>
  <c r="F14" i="5"/>
  <c r="B11" i="5"/>
  <c r="R7" i="5"/>
  <c r="G411" i="3"/>
  <c r="I407" i="3"/>
  <c r="J403" i="3"/>
  <c r="AD399" i="3"/>
  <c r="AE395" i="3"/>
  <c r="AF391" i="3"/>
  <c r="AG387" i="3"/>
  <c r="AG383" i="3"/>
  <c r="AI379" i="3"/>
  <c r="AJ375" i="3"/>
  <c r="B372" i="3"/>
  <c r="B368" i="3"/>
  <c r="B364" i="3"/>
  <c r="B360" i="3"/>
  <c r="C356" i="3"/>
  <c r="D352" i="3"/>
  <c r="F348" i="3"/>
  <c r="G344" i="3"/>
  <c r="H340" i="3"/>
  <c r="J336" i="3"/>
  <c r="AE332" i="3"/>
  <c r="AG328" i="3"/>
  <c r="AH324" i="3"/>
  <c r="AJ320" i="3"/>
  <c r="AJ316" i="3"/>
  <c r="A313" i="3"/>
  <c r="B309" i="3"/>
  <c r="C305" i="3"/>
  <c r="D301" i="3"/>
  <c r="D297" i="3"/>
  <c r="E293" i="3"/>
  <c r="E289" i="3"/>
  <c r="F285" i="3"/>
  <c r="F281" i="3"/>
  <c r="F277" i="3"/>
  <c r="F273" i="3"/>
  <c r="F269" i="3"/>
  <c r="G265" i="3"/>
  <c r="G261" i="3"/>
  <c r="H257" i="3"/>
  <c r="J253" i="3"/>
  <c r="AD249" i="3"/>
  <c r="AE245" i="3"/>
  <c r="AF241" i="3"/>
  <c r="AF237" i="3"/>
  <c r="AG233" i="3"/>
  <c r="AG229" i="3"/>
  <c r="AH225" i="3"/>
  <c r="AH221" i="3"/>
  <c r="AI217" i="3"/>
  <c r="AI213" i="3"/>
  <c r="AJ209" i="3"/>
  <c r="AJ205" i="3"/>
  <c r="AJ201" i="3"/>
  <c r="A198" i="3"/>
  <c r="C194" i="3"/>
  <c r="E190" i="3"/>
  <c r="F186" i="3"/>
  <c r="G182" i="3"/>
  <c r="I178" i="3"/>
  <c r="J174" i="3"/>
  <c r="J170" i="3"/>
  <c r="AD166" i="3"/>
  <c r="AE162" i="3"/>
  <c r="AF158" i="3"/>
  <c r="AG154" i="3"/>
  <c r="AH150" i="3"/>
  <c r="AI146" i="3"/>
  <c r="AI142" i="3"/>
  <c r="AJ138" i="3"/>
  <c r="AJ134" i="3"/>
  <c r="AJ130" i="3"/>
  <c r="AJ126" i="3"/>
  <c r="A123" i="3"/>
  <c r="B119" i="3"/>
  <c r="C115" i="3"/>
  <c r="D111" i="3"/>
  <c r="D107" i="3"/>
  <c r="D103" i="3"/>
  <c r="D99" i="3"/>
  <c r="G95" i="3"/>
  <c r="G91" i="3"/>
  <c r="H87" i="3"/>
  <c r="H83" i="3"/>
  <c r="I79" i="3"/>
  <c r="I75" i="3"/>
  <c r="I71" i="3"/>
  <c r="J67" i="3"/>
  <c r="J63" i="3"/>
  <c r="AE59" i="3"/>
  <c r="AG55" i="3"/>
  <c r="AG51" i="3"/>
  <c r="AG47" i="3"/>
  <c r="AH43" i="3"/>
  <c r="AI39" i="3"/>
  <c r="AI35" i="3"/>
  <c r="AI31" i="3"/>
  <c r="AJ27" i="3"/>
  <c r="B20" i="27"/>
  <c r="A745" i="25"/>
  <c r="A546" i="25"/>
  <c r="D394" i="25"/>
  <c r="A277" i="25"/>
  <c r="C163" i="25"/>
  <c r="E49" i="25"/>
  <c r="D39" i="24"/>
  <c r="F164" i="23"/>
  <c r="C79" i="23"/>
  <c r="D233" i="22"/>
  <c r="B148" i="22"/>
  <c r="G62" i="22"/>
  <c r="F3" i="20"/>
  <c r="G225" i="19"/>
  <c r="G161" i="19"/>
  <c r="G97" i="19"/>
  <c r="B44" i="19"/>
  <c r="B7" i="19"/>
  <c r="N377" i="17"/>
  <c r="N361" i="17"/>
  <c r="N345" i="17"/>
  <c r="N329" i="17"/>
  <c r="N313" i="17"/>
  <c r="N297" i="17"/>
  <c r="N281" i="17"/>
  <c r="N265" i="17"/>
  <c r="N249" i="17"/>
  <c r="N233" i="17"/>
  <c r="N217" i="17"/>
  <c r="N201" i="17"/>
  <c r="N185" i="17"/>
  <c r="N169" i="17"/>
  <c r="N153" i="17"/>
  <c r="N137" i="17"/>
  <c r="N121" i="17"/>
  <c r="N105" i="17"/>
  <c r="N89" i="17"/>
  <c r="N73" i="17"/>
  <c r="N57" i="17"/>
  <c r="N41" i="17"/>
  <c r="N25" i="17"/>
  <c r="M9" i="17"/>
  <c r="E95" i="15"/>
  <c r="E63" i="15"/>
  <c r="E31" i="15"/>
  <c r="F28" i="14"/>
  <c r="G12" i="13"/>
  <c r="F219" i="12"/>
  <c r="C198" i="12"/>
  <c r="H176" i="12"/>
  <c r="F155" i="12"/>
  <c r="C134" i="12"/>
  <c r="H112" i="12"/>
  <c r="F91" i="12"/>
  <c r="C70" i="12"/>
  <c r="H48" i="12"/>
  <c r="F27" i="12"/>
  <c r="C6" i="12"/>
  <c r="G226" i="11"/>
  <c r="D205" i="11"/>
  <c r="A184" i="11"/>
  <c r="G162" i="11"/>
  <c r="D141" i="11"/>
  <c r="A120" i="11"/>
  <c r="G98" i="11"/>
  <c r="D77" i="11"/>
  <c r="A56" i="11"/>
  <c r="G34" i="11"/>
  <c r="D13" i="11"/>
  <c r="G10" i="9"/>
  <c r="F39" i="8"/>
  <c r="F31" i="8"/>
  <c r="F23" i="8"/>
  <c r="F15" i="8"/>
  <c r="F7" i="8"/>
  <c r="G18" i="7"/>
  <c r="G10" i="7"/>
  <c r="G2" i="7"/>
  <c r="H287" i="6"/>
  <c r="H279" i="6"/>
  <c r="H271" i="6"/>
  <c r="H263" i="6"/>
  <c r="H255" i="6"/>
  <c r="H247" i="6"/>
  <c r="H239" i="6"/>
  <c r="H231" i="6"/>
  <c r="H223" i="6"/>
  <c r="H215" i="6"/>
  <c r="H207" i="6"/>
  <c r="H199" i="6"/>
  <c r="H191" i="6"/>
  <c r="H183" i="6"/>
  <c r="H175" i="6"/>
  <c r="H167" i="6"/>
  <c r="H159" i="6"/>
  <c r="H151" i="6"/>
  <c r="H143" i="6"/>
  <c r="C17" i="37"/>
  <c r="F10" i="31"/>
  <c r="J33" i="26"/>
  <c r="E715" i="25"/>
  <c r="I487" i="25"/>
  <c r="J16" i="26"/>
  <c r="B685" i="25"/>
  <c r="E740" i="25"/>
  <c r="E466" i="25"/>
  <c r="B331" i="25"/>
  <c r="D217" i="25"/>
  <c r="F103" i="25"/>
  <c r="C100" i="24"/>
  <c r="D197" i="23"/>
  <c r="D69" i="23"/>
  <c r="A178" i="22"/>
  <c r="E77" i="22"/>
  <c r="C15" i="33"/>
  <c r="N5" i="26"/>
  <c r="B779" i="25"/>
  <c r="D665" i="25"/>
  <c r="G568" i="25"/>
  <c r="I492" i="25"/>
  <c r="A417" i="25"/>
  <c r="I350" i="25"/>
  <c r="A294" i="25"/>
  <c r="B237" i="25"/>
  <c r="C180" i="25"/>
  <c r="D123" i="25"/>
  <c r="E66" i="25"/>
  <c r="F9" i="25"/>
  <c r="A58" i="24"/>
  <c r="D29" i="32"/>
  <c r="G779" i="25"/>
  <c r="B569" i="25"/>
  <c r="E417" i="25"/>
  <c r="D294" i="25"/>
  <c r="F180" i="25"/>
  <c r="H66" i="25"/>
  <c r="H58" i="24"/>
  <c r="A179" i="23"/>
  <c r="F93" i="23"/>
  <c r="C8" i="23"/>
  <c r="G159" i="22"/>
  <c r="D74" i="22"/>
  <c r="C9" i="21"/>
  <c r="A235" i="19"/>
  <c r="A171" i="19"/>
  <c r="A107" i="19"/>
  <c r="O38" i="26"/>
  <c r="B724" i="25"/>
  <c r="B532" i="25"/>
  <c r="E380" i="25"/>
  <c r="F266" i="25"/>
  <c r="H152" i="25"/>
  <c r="A39" i="25"/>
  <c r="F27" i="24"/>
  <c r="G158" i="23"/>
  <c r="E73" i="23"/>
  <c r="F225" i="22"/>
  <c r="C140" i="22"/>
  <c r="H54" i="22"/>
  <c r="H284" i="19"/>
  <c r="H224" i="19"/>
  <c r="D189" i="19"/>
  <c r="D167" i="19"/>
  <c r="D146" i="19"/>
  <c r="H124" i="19"/>
  <c r="D103" i="19"/>
  <c r="D82" i="19"/>
  <c r="H60" i="19"/>
  <c r="D39" i="19"/>
  <c r="A5" i="28"/>
  <c r="I849" i="25"/>
  <c r="B736" i="25"/>
  <c r="D622" i="25"/>
  <c r="B540" i="25"/>
  <c r="C464" i="25"/>
  <c r="E388" i="25"/>
  <c r="E329" i="25"/>
  <c r="F272" i="25"/>
  <c r="G215" i="25"/>
  <c r="H158" i="25"/>
  <c r="I101" i="25"/>
  <c r="A45" i="25"/>
  <c r="D98" i="24"/>
  <c r="D34" i="24"/>
  <c r="F206" i="23"/>
  <c r="A164" i="23"/>
  <c r="C121" i="23"/>
  <c r="F78" i="23"/>
  <c r="A36" i="23"/>
  <c r="B230" i="22"/>
  <c r="D187" i="22"/>
  <c r="G144" i="22"/>
  <c r="B102" i="22"/>
  <c r="D59" i="22"/>
  <c r="H19" i="22"/>
  <c r="B2" i="20"/>
  <c r="C255" i="19"/>
  <c r="C223" i="19"/>
  <c r="C191" i="19"/>
  <c r="C159" i="19"/>
  <c r="C127" i="19"/>
  <c r="C95" i="19"/>
  <c r="G63" i="19"/>
  <c r="E42" i="19"/>
  <c r="H21" i="19"/>
  <c r="H5" i="19"/>
  <c r="E7" i="18"/>
  <c r="E376" i="17"/>
  <c r="E368" i="17"/>
  <c r="E360" i="17"/>
  <c r="E352" i="17"/>
  <c r="E344" i="17"/>
  <c r="E336" i="17"/>
  <c r="E328" i="17"/>
  <c r="E320" i="17"/>
  <c r="E312" i="17"/>
  <c r="E304" i="17"/>
  <c r="E296" i="17"/>
  <c r="E288" i="17"/>
  <c r="E280" i="17"/>
  <c r="E272" i="17"/>
  <c r="E264" i="17"/>
  <c r="E256" i="17"/>
  <c r="E248" i="17"/>
  <c r="E240" i="17"/>
  <c r="E232" i="17"/>
  <c r="E224" i="17"/>
  <c r="E216" i="17"/>
  <c r="E208" i="17"/>
  <c r="E200" i="17"/>
  <c r="E192" i="17"/>
  <c r="E184" i="17"/>
  <c r="E176" i="17"/>
  <c r="E168" i="17"/>
  <c r="E160" i="17"/>
  <c r="E152" i="17"/>
  <c r="E144" i="17"/>
  <c r="E136" i="17"/>
  <c r="E128" i="17"/>
  <c r="E120" i="17"/>
  <c r="E112" i="17"/>
  <c r="E104" i="17"/>
  <c r="E96" i="17"/>
  <c r="E88" i="17"/>
  <c r="E80" i="17"/>
  <c r="E72" i="17"/>
  <c r="E64" i="17"/>
  <c r="E56" i="17"/>
  <c r="E48" i="17"/>
  <c r="E40" i="17"/>
  <c r="E32" i="17"/>
  <c r="E24" i="17"/>
  <c r="E16" i="17"/>
  <c r="H7" i="17"/>
  <c r="C106" i="15"/>
  <c r="C90" i="15"/>
  <c r="C74" i="15"/>
  <c r="C58" i="15"/>
  <c r="C42" i="15"/>
  <c r="C26" i="15"/>
  <c r="C10" i="15"/>
  <c r="D24" i="14"/>
  <c r="D8" i="14"/>
  <c r="A7" i="13"/>
  <c r="A44" i="26"/>
  <c r="I845" i="25"/>
  <c r="B732" i="25"/>
  <c r="D618" i="25"/>
  <c r="E537" i="25"/>
  <c r="F461" i="25"/>
  <c r="H385" i="25"/>
  <c r="E327" i="25"/>
  <c r="F270" i="25"/>
  <c r="G213" i="25"/>
  <c r="H156" i="25"/>
  <c r="I99" i="25"/>
  <c r="A43" i="25"/>
  <c r="B94" i="24"/>
  <c r="B30" i="24"/>
  <c r="G203" i="23"/>
  <c r="B161" i="23"/>
  <c r="E118" i="23"/>
  <c r="G75" i="23"/>
  <c r="B33" i="23"/>
  <c r="C227" i="22"/>
  <c r="F184" i="22"/>
  <c r="H141" i="22"/>
  <c r="C99" i="22"/>
  <c r="F56" i="22"/>
  <c r="G17" i="22"/>
  <c r="B285" i="19"/>
  <c r="B253" i="19"/>
  <c r="B221" i="19"/>
  <c r="B189" i="19"/>
  <c r="B157" i="19"/>
  <c r="B125" i="19"/>
  <c r="B93" i="19"/>
  <c r="C62" i="19"/>
  <c r="A41" i="19"/>
  <c r="G20" i="19"/>
  <c r="G4" i="19"/>
  <c r="H6" i="18"/>
  <c r="D374" i="17"/>
  <c r="H363" i="17"/>
  <c r="L352" i="17"/>
  <c r="D342" i="17"/>
  <c r="H331" i="17"/>
  <c r="L320" i="17"/>
  <c r="D310" i="17"/>
  <c r="H299" i="17"/>
  <c r="L288" i="17"/>
  <c r="D278" i="17"/>
  <c r="H267" i="17"/>
  <c r="L256" i="17"/>
  <c r="D246" i="17"/>
  <c r="H235" i="17"/>
  <c r="L224" i="17"/>
  <c r="D214" i="17"/>
  <c r="H203" i="17"/>
  <c r="L192" i="17"/>
  <c r="D182" i="17"/>
  <c r="H171" i="17"/>
  <c r="L160" i="17"/>
  <c r="D150" i="17"/>
  <c r="H139" i="17"/>
  <c r="L128" i="17"/>
  <c r="D118" i="17"/>
  <c r="H107" i="17"/>
  <c r="L96" i="17"/>
  <c r="D86" i="17"/>
  <c r="H75" i="17"/>
  <c r="L64" i="17"/>
  <c r="D54" i="17"/>
  <c r="H43" i="17"/>
  <c r="L32" i="17"/>
  <c r="D22" i="17"/>
  <c r="H11" i="17"/>
  <c r="B114" i="15"/>
  <c r="B98" i="15"/>
  <c r="B82" i="15"/>
  <c r="B66" i="15"/>
  <c r="B50" i="15"/>
  <c r="B34" i="15"/>
  <c r="B18" i="15"/>
  <c r="B2" i="15"/>
  <c r="C16" i="14"/>
  <c r="D15" i="13"/>
  <c r="A230" i="12"/>
  <c r="A214" i="12"/>
  <c r="A198" i="12"/>
  <c r="A182" i="12"/>
  <c r="A166" i="12"/>
  <c r="A150" i="12"/>
  <c r="E138" i="12"/>
  <c r="E130" i="12"/>
  <c r="E122" i="12"/>
  <c r="E114" i="12"/>
  <c r="E106" i="12"/>
  <c r="E98" i="12"/>
  <c r="E90" i="12"/>
  <c r="E82" i="12"/>
  <c r="E74" i="12"/>
  <c r="E66" i="12"/>
  <c r="E58" i="12"/>
  <c r="E50" i="12"/>
  <c r="E42" i="12"/>
  <c r="E34" i="12"/>
  <c r="E26" i="12"/>
  <c r="E18" i="12"/>
  <c r="E10" i="12"/>
  <c r="E2" i="12"/>
  <c r="F236" i="11"/>
  <c r="F228" i="11"/>
  <c r="F220" i="11"/>
  <c r="F212" i="11"/>
  <c r="F204" i="11"/>
  <c r="F196" i="11"/>
  <c r="F188" i="11"/>
  <c r="F180" i="11"/>
  <c r="F172" i="11"/>
  <c r="F164" i="11"/>
  <c r="F156" i="11"/>
  <c r="F148" i="11"/>
  <c r="F140" i="11"/>
  <c r="F132" i="11"/>
  <c r="F124" i="11"/>
  <c r="F116" i="11"/>
  <c r="F108" i="11"/>
  <c r="F100" i="11"/>
  <c r="F92" i="11"/>
  <c r="F84" i="11"/>
  <c r="F76" i="11"/>
  <c r="F68" i="11"/>
  <c r="F60" i="11"/>
  <c r="F52" i="11"/>
  <c r="F44" i="11"/>
  <c r="F36" i="11"/>
  <c r="F28" i="11"/>
  <c r="F20" i="11"/>
  <c r="F12" i="11"/>
  <c r="F4" i="11"/>
  <c r="H1" i="10"/>
  <c r="H3" i="9"/>
  <c r="L33" i="26"/>
  <c r="E833" i="25"/>
  <c r="G719" i="25"/>
  <c r="I605" i="25"/>
  <c r="B529" i="25"/>
  <c r="D453" i="25"/>
  <c r="B378" i="25"/>
  <c r="C321" i="25"/>
  <c r="D264" i="25"/>
  <c r="E207" i="25"/>
  <c r="F150" i="25"/>
  <c r="G93" i="25"/>
  <c r="H36" i="25"/>
  <c r="B89" i="24"/>
  <c r="B25" i="24"/>
  <c r="G197" i="23"/>
  <c r="B155" i="23"/>
  <c r="E112" i="23"/>
  <c r="G69" i="23"/>
  <c r="B27" i="23"/>
  <c r="C221" i="22"/>
  <c r="F178" i="22"/>
  <c r="H135" i="22"/>
  <c r="C93" i="22"/>
  <c r="F50" i="22"/>
  <c r="C13" i="22"/>
  <c r="F282" i="19"/>
  <c r="F250" i="19"/>
  <c r="F218" i="19"/>
  <c r="F186" i="19"/>
  <c r="F154" i="19"/>
  <c r="F122" i="19"/>
  <c r="F90" i="19"/>
  <c r="F60" i="19"/>
  <c r="C39" i="19"/>
  <c r="E19" i="19"/>
  <c r="E3" i="19"/>
  <c r="F5" i="18"/>
  <c r="C375" i="17"/>
  <c r="C367" i="17"/>
  <c r="C359" i="17"/>
  <c r="C351" i="17"/>
  <c r="C343" i="17"/>
  <c r="C335" i="17"/>
  <c r="C327" i="17"/>
  <c r="C319" i="17"/>
  <c r="C311" i="17"/>
  <c r="C303" i="17"/>
  <c r="C295" i="17"/>
  <c r="C287" i="17"/>
  <c r="C279" i="17"/>
  <c r="C271" i="17"/>
  <c r="C263" i="17"/>
  <c r="C255" i="17"/>
  <c r="C247" i="17"/>
  <c r="C239" i="17"/>
  <c r="C231" i="17"/>
  <c r="C223" i="17"/>
  <c r="C215" i="17"/>
  <c r="C207" i="17"/>
  <c r="C199" i="17"/>
  <c r="C191" i="17"/>
  <c r="C183" i="17"/>
  <c r="C175" i="17"/>
  <c r="C167" i="17"/>
  <c r="C159" i="17"/>
  <c r="C151" i="17"/>
  <c r="C143" i="17"/>
  <c r="C135" i="17"/>
  <c r="C127" i="17"/>
  <c r="C119" i="17"/>
  <c r="C111" i="17"/>
  <c r="C103" i="17"/>
  <c r="C95" i="17"/>
  <c r="C87" i="17"/>
  <c r="C79" i="17"/>
  <c r="C71" i="17"/>
  <c r="C63" i="17"/>
  <c r="C55" i="17"/>
  <c r="C47" i="17"/>
  <c r="C39" i="17"/>
  <c r="C31" i="17"/>
  <c r="C23" i="17"/>
  <c r="C15" i="17"/>
  <c r="B7" i="17"/>
  <c r="H106" i="15"/>
  <c r="H90" i="15"/>
  <c r="H74" i="15"/>
  <c r="H58" i="15"/>
  <c r="H42" i="15"/>
  <c r="H26" i="15"/>
  <c r="H10" i="15"/>
  <c r="A24" i="14"/>
  <c r="A8" i="14"/>
  <c r="B7" i="13"/>
  <c r="G225" i="12"/>
  <c r="B215" i="12"/>
  <c r="D204" i="12"/>
  <c r="G193" i="12"/>
  <c r="B183" i="12"/>
  <c r="D172" i="12"/>
  <c r="G161" i="12"/>
  <c r="B151" i="12"/>
  <c r="D140" i="12"/>
  <c r="G129" i="12"/>
  <c r="B119" i="12"/>
  <c r="D108" i="12"/>
  <c r="G97" i="12"/>
  <c r="B87" i="12"/>
  <c r="D76" i="12"/>
  <c r="G65" i="12"/>
  <c r="B55" i="12"/>
  <c r="D44" i="12"/>
  <c r="G33" i="12"/>
  <c r="B23" i="12"/>
  <c r="D12" i="12"/>
  <c r="E1" i="12"/>
  <c r="H232" i="11"/>
  <c r="C222" i="11"/>
  <c r="E211" i="11"/>
  <c r="H200" i="11"/>
  <c r="C190" i="11"/>
  <c r="E179" i="11"/>
  <c r="H168" i="11"/>
  <c r="C158" i="11"/>
  <c r="E147" i="11"/>
  <c r="H136" i="11"/>
  <c r="C126" i="11"/>
  <c r="E115" i="11"/>
  <c r="H104" i="11"/>
  <c r="C94" i="11"/>
  <c r="E83" i="11"/>
  <c r="H72" i="11"/>
  <c r="C62" i="11"/>
  <c r="E51" i="11"/>
  <c r="H40" i="11"/>
  <c r="C30" i="11"/>
  <c r="E19" i="11"/>
  <c r="H8" i="11"/>
  <c r="A3" i="10"/>
  <c r="J35" i="26"/>
  <c r="I829" i="25"/>
  <c r="B716" i="25"/>
  <c r="G602" i="25"/>
  <c r="H526" i="25"/>
  <c r="I450" i="25"/>
  <c r="D376" i="25"/>
  <c r="E319" i="25"/>
  <c r="F262" i="25"/>
  <c r="G205" i="25"/>
  <c r="H148" i="25"/>
  <c r="I91" i="25"/>
  <c r="A35" i="25"/>
  <c r="B87" i="24"/>
  <c r="B23" i="24"/>
  <c r="B199" i="23"/>
  <c r="E156" i="23"/>
  <c r="G113" i="23"/>
  <c r="B71" i="23"/>
  <c r="E28" i="23"/>
  <c r="F222" i="22"/>
  <c r="H179" i="22"/>
  <c r="C137" i="22"/>
  <c r="F94" i="22"/>
  <c r="H51" i="22"/>
  <c r="C14" i="22"/>
  <c r="F281" i="19"/>
  <c r="F249" i="19"/>
  <c r="F217" i="19"/>
  <c r="F185" i="19"/>
  <c r="F153" i="19"/>
  <c r="F121" i="19"/>
  <c r="F89" i="19"/>
  <c r="A60" i="19"/>
  <c r="F38" i="19"/>
  <c r="A19" i="19"/>
  <c r="A3" i="19"/>
  <c r="B5" i="18"/>
  <c r="G375" i="17"/>
  <c r="G367" i="17"/>
  <c r="G359" i="17"/>
  <c r="G351" i="17"/>
  <c r="G343" i="17"/>
  <c r="G335" i="17"/>
  <c r="G327" i="17"/>
  <c r="G319" i="17"/>
  <c r="G311" i="17"/>
  <c r="G303" i="17"/>
  <c r="G295" i="17"/>
  <c r="G287" i="17"/>
  <c r="G279" i="17"/>
  <c r="G271" i="17"/>
  <c r="G263" i="17"/>
  <c r="G255" i="17"/>
  <c r="G247" i="17"/>
  <c r="G239" i="17"/>
  <c r="G231" i="17"/>
  <c r="G223" i="17"/>
  <c r="G215" i="17"/>
  <c r="G207" i="17"/>
  <c r="G199" i="17"/>
  <c r="G191" i="17"/>
  <c r="G183" i="17"/>
  <c r="G175" i="17"/>
  <c r="G167" i="17"/>
  <c r="G159" i="17"/>
  <c r="G151" i="17"/>
  <c r="G143" i="17"/>
  <c r="G135" i="17"/>
  <c r="G127" i="17"/>
  <c r="G119" i="17"/>
  <c r="G111" i="17"/>
  <c r="G103" i="17"/>
  <c r="G95" i="17"/>
  <c r="G87" i="17"/>
  <c r="G79" i="17"/>
  <c r="G71" i="17"/>
  <c r="G63" i="17"/>
  <c r="G55" i="17"/>
  <c r="G47" i="17"/>
  <c r="G39" i="17"/>
  <c r="G31" i="17"/>
  <c r="G23" i="17"/>
  <c r="A821" i="25"/>
  <c r="G596" i="25"/>
  <c r="A445" i="25"/>
  <c r="A315" i="25"/>
  <c r="C201" i="25"/>
  <c r="E87" i="25"/>
  <c r="B80" i="24"/>
  <c r="E194" i="23"/>
  <c r="B109" i="23"/>
  <c r="G23" i="23"/>
  <c r="C175" i="22"/>
  <c r="H89" i="22"/>
  <c r="G10" i="22"/>
  <c r="B246" i="19"/>
  <c r="B182" i="19"/>
  <c r="B118" i="19"/>
  <c r="F57" i="19"/>
  <c r="C17" i="19"/>
  <c r="D3" i="18"/>
  <c r="D361" i="17"/>
  <c r="L339" i="17"/>
  <c r="H318" i="17"/>
  <c r="D297" i="17"/>
  <c r="L275" i="17"/>
  <c r="H254" i="17"/>
  <c r="D233" i="17"/>
  <c r="L211" i="17"/>
  <c r="H190" i="17"/>
  <c r="D169" i="17"/>
  <c r="L147" i="17"/>
  <c r="H126" i="17"/>
  <c r="D105" i="17"/>
  <c r="L83" i="17"/>
  <c r="H62" i="17"/>
  <c r="D41" i="17"/>
  <c r="L19" i="17"/>
  <c r="F110" i="15"/>
  <c r="F78" i="15"/>
  <c r="F46" i="15"/>
  <c r="F14" i="15"/>
  <c r="G12" i="14"/>
  <c r="E226" i="12"/>
  <c r="E194" i="12"/>
  <c r="E162" i="12"/>
  <c r="E13" i="32"/>
  <c r="F877" i="25"/>
  <c r="H313" i="25"/>
  <c r="H177" i="23"/>
  <c r="G7" i="28"/>
  <c r="E557" i="25"/>
  <c r="F285" i="25"/>
  <c r="A58" i="25"/>
  <c r="I745" i="25"/>
  <c r="G163" i="25"/>
  <c r="A81" i="23"/>
  <c r="H4" i="20"/>
  <c r="B19" i="26"/>
  <c r="G249" i="25"/>
  <c r="B146" i="23"/>
  <c r="C42" i="22"/>
  <c r="D164" i="19"/>
  <c r="H78" i="19"/>
  <c r="B832" i="25"/>
  <c r="E452" i="25"/>
  <c r="H206" i="25"/>
  <c r="D88" i="24"/>
  <c r="F114" i="23"/>
  <c r="G180" i="22"/>
  <c r="H14" i="22"/>
  <c r="C186" i="19"/>
  <c r="E60" i="19"/>
  <c r="A5" i="18"/>
  <c r="A351" i="17"/>
  <c r="A319" i="17"/>
  <c r="A295" i="17"/>
  <c r="A279" i="17"/>
  <c r="A263" i="17"/>
  <c r="A247" i="17"/>
  <c r="A231" i="17"/>
  <c r="A215" i="17"/>
  <c r="A199" i="17"/>
  <c r="A183" i="17"/>
  <c r="A167" i="17"/>
  <c r="A151" i="17"/>
  <c r="A135" i="17"/>
  <c r="A119" i="17"/>
  <c r="A103" i="17"/>
  <c r="A87" i="17"/>
  <c r="A71" i="17"/>
  <c r="A55" i="17"/>
  <c r="A39" i="17"/>
  <c r="A23" i="17"/>
  <c r="O5" i="17"/>
  <c r="G87" i="15"/>
  <c r="G55" i="15"/>
  <c r="G23" i="15"/>
  <c r="H21" i="14"/>
  <c r="E4" i="13"/>
  <c r="B828" i="25"/>
  <c r="E601" i="25"/>
  <c r="H449" i="25"/>
  <c r="F318" i="25"/>
  <c r="H204" i="25"/>
  <c r="A91" i="25"/>
  <c r="B84" i="24"/>
  <c r="B197" i="23"/>
  <c r="G111" i="23"/>
  <c r="E26" i="23"/>
  <c r="H177" i="22"/>
  <c r="F92" i="22"/>
  <c r="G12" i="22"/>
  <c r="B248" i="19"/>
  <c r="B184" i="19"/>
  <c r="B120" i="19"/>
  <c r="A59" i="19"/>
  <c r="C18" i="19"/>
  <c r="D4" i="18"/>
  <c r="L361" i="17"/>
  <c r="H340" i="17"/>
  <c r="D319" i="17"/>
  <c r="L297" i="17"/>
  <c r="H276" i="17"/>
  <c r="D255" i="17"/>
  <c r="L233" i="17"/>
  <c r="H212" i="17"/>
  <c r="D191" i="17"/>
  <c r="L169" i="17"/>
  <c r="H148" i="17"/>
  <c r="D127" i="17"/>
  <c r="L105" i="17"/>
  <c r="H84" i="17"/>
  <c r="D63" i="17"/>
  <c r="L41" i="17"/>
  <c r="H20" i="17"/>
  <c r="F111" i="15"/>
  <c r="F79" i="15"/>
  <c r="F47" i="15"/>
  <c r="F15" i="15"/>
  <c r="G13" i="14"/>
  <c r="E227" i="12"/>
  <c r="E195" i="12"/>
  <c r="E163" i="12"/>
  <c r="A137" i="12"/>
  <c r="A121" i="12"/>
  <c r="A105" i="12"/>
  <c r="A89" i="12"/>
  <c r="A73" i="12"/>
  <c r="A57" i="12"/>
  <c r="A41" i="12"/>
  <c r="A25" i="12"/>
  <c r="A9" i="12"/>
  <c r="B235" i="11"/>
  <c r="B219" i="11"/>
  <c r="B203" i="11"/>
  <c r="B187" i="11"/>
  <c r="B171" i="11"/>
  <c r="B155" i="11"/>
  <c r="B139" i="11"/>
  <c r="B123" i="11"/>
  <c r="B107" i="11"/>
  <c r="B91" i="11"/>
  <c r="B75" i="11"/>
  <c r="B59" i="11"/>
  <c r="B43" i="11"/>
  <c r="B27" i="11"/>
  <c r="B11" i="11"/>
  <c r="D10" i="9"/>
  <c r="G22" i="26"/>
  <c r="D698" i="25"/>
  <c r="I514" i="25"/>
  <c r="E367" i="25"/>
  <c r="G253" i="25"/>
  <c r="I139" i="25"/>
  <c r="B26" i="25"/>
  <c r="B13" i="24"/>
  <c r="B147" i="23"/>
  <c r="G61" i="23"/>
  <c r="C213" i="22"/>
  <c r="H127" i="22"/>
  <c r="F42" i="22"/>
  <c r="F276" i="19"/>
  <c r="F212" i="19"/>
  <c r="F148" i="19"/>
  <c r="F84" i="19"/>
  <c r="C35" i="19"/>
  <c r="F18" i="18"/>
  <c r="K373" i="17"/>
  <c r="K357" i="17"/>
  <c r="K341" i="17"/>
  <c r="K325" i="17"/>
  <c r="K309" i="17"/>
  <c r="K293" i="17"/>
  <c r="K277" i="17"/>
  <c r="K261" i="17"/>
  <c r="K245" i="17"/>
  <c r="K229" i="17"/>
  <c r="K213" i="17"/>
  <c r="K197" i="17"/>
  <c r="K181" i="17"/>
  <c r="K165" i="17"/>
  <c r="K149" i="17"/>
  <c r="K133" i="17"/>
  <c r="K117" i="17"/>
  <c r="K101" i="17"/>
  <c r="K85" i="17"/>
  <c r="K69" i="17"/>
  <c r="K53" i="17"/>
  <c r="K37" i="17"/>
  <c r="K21" i="17"/>
  <c r="I5" i="17"/>
  <c r="H87" i="15"/>
  <c r="H55" i="15"/>
  <c r="H23" i="15"/>
  <c r="A21" i="14"/>
  <c r="B4" i="13"/>
  <c r="B213" i="12"/>
  <c r="G191" i="12"/>
  <c r="D170" i="12"/>
  <c r="B149" i="12"/>
  <c r="G127" i="12"/>
  <c r="D106" i="12"/>
  <c r="B85" i="12"/>
  <c r="G63" i="12"/>
  <c r="D42" i="12"/>
  <c r="G23" i="12"/>
  <c r="B13" i="12"/>
  <c r="D2" i="12"/>
  <c r="E233" i="11"/>
  <c r="H222" i="11"/>
  <c r="C212" i="11"/>
  <c r="E201" i="11"/>
  <c r="H190" i="11"/>
  <c r="C180" i="11"/>
  <c r="E169" i="11"/>
  <c r="H158" i="11"/>
  <c r="C148" i="11"/>
  <c r="E137" i="11"/>
  <c r="H126" i="11"/>
  <c r="C116" i="11"/>
  <c r="E105" i="11"/>
  <c r="H94" i="11"/>
  <c r="C84" i="11"/>
  <c r="E73" i="11"/>
  <c r="H62" i="11"/>
  <c r="C52" i="11"/>
  <c r="E41" i="11"/>
  <c r="H30" i="11"/>
  <c r="C20" i="11"/>
  <c r="E9" i="11"/>
  <c r="F3" i="10"/>
  <c r="F39" i="26"/>
  <c r="A837" i="25"/>
  <c r="C723" i="25"/>
  <c r="E609" i="25"/>
  <c r="F531" i="25"/>
  <c r="G455" i="25"/>
  <c r="I379" i="25"/>
  <c r="A323" i="25"/>
  <c r="B266" i="25"/>
  <c r="C209" i="25"/>
  <c r="D152" i="25"/>
  <c r="E95" i="25"/>
  <c r="F38" i="25"/>
  <c r="B91" i="24"/>
  <c r="B27" i="24"/>
  <c r="G201" i="23"/>
  <c r="B159" i="23"/>
  <c r="E116" i="23"/>
  <c r="G73" i="23"/>
  <c r="B31" i="23"/>
  <c r="C225" i="22"/>
  <c r="F182" i="22"/>
  <c r="H139" i="22"/>
  <c r="C97" i="22"/>
  <c r="F54" i="22"/>
  <c r="C16" i="22"/>
  <c r="F283" i="19"/>
  <c r="F251" i="19"/>
  <c r="F219" i="19"/>
  <c r="F187" i="19"/>
  <c r="F155" i="19"/>
  <c r="F123" i="19"/>
  <c r="F91" i="19"/>
  <c r="C61" i="19"/>
  <c r="A40" i="19"/>
  <c r="A20" i="19"/>
  <c r="A4" i="19"/>
  <c r="B6" i="18"/>
  <c r="O375" i="17"/>
  <c r="O367" i="17"/>
  <c r="O359" i="17"/>
  <c r="O351" i="17"/>
  <c r="O343" i="17"/>
  <c r="O335" i="17"/>
  <c r="O327" i="17"/>
  <c r="O319" i="17"/>
  <c r="O311" i="17"/>
  <c r="O303" i="17"/>
  <c r="O295" i="17"/>
  <c r="O287" i="17"/>
  <c r="O279" i="17"/>
  <c r="O271" i="17"/>
  <c r="O263" i="17"/>
  <c r="O255" i="17"/>
  <c r="O247" i="17"/>
  <c r="O239" i="17"/>
  <c r="O231" i="17"/>
  <c r="O223" i="17"/>
  <c r="O215" i="17"/>
  <c r="O207" i="17"/>
  <c r="O199" i="17"/>
  <c r="O191" i="17"/>
  <c r="O183" i="17"/>
  <c r="O175" i="17"/>
  <c r="O167" i="17"/>
  <c r="O159" i="17"/>
  <c r="O151" i="17"/>
  <c r="O143" i="17"/>
  <c r="O135" i="17"/>
  <c r="O127" i="17"/>
  <c r="O119" i="17"/>
  <c r="O111" i="17"/>
  <c r="O103" i="17"/>
  <c r="O95" i="17"/>
  <c r="O87" i="17"/>
  <c r="O79" i="17"/>
  <c r="O71" i="17"/>
  <c r="O63" i="17"/>
  <c r="O55" i="17"/>
  <c r="O47" i="17"/>
  <c r="O39" i="17"/>
  <c r="O31" i="17"/>
  <c r="O23" i="17"/>
  <c r="O15" i="17"/>
  <c r="N7" i="17"/>
  <c r="D107" i="15"/>
  <c r="D91" i="15"/>
  <c r="D75" i="15"/>
  <c r="D59" i="15"/>
  <c r="D43" i="15"/>
  <c r="D27" i="15"/>
  <c r="D11" i="15"/>
  <c r="E25" i="14"/>
  <c r="E9" i="14"/>
  <c r="F8" i="13"/>
  <c r="G226" i="12"/>
  <c r="B216" i="12"/>
  <c r="D205" i="12"/>
  <c r="G194" i="12"/>
  <c r="B184" i="12"/>
  <c r="D173" i="12"/>
  <c r="G162" i="12"/>
  <c r="B152" i="12"/>
  <c r="D141" i="12"/>
  <c r="G130" i="12"/>
  <c r="B120" i="12"/>
  <c r="D109" i="12"/>
  <c r="G98" i="12"/>
  <c r="B88" i="12"/>
  <c r="D77" i="12"/>
  <c r="G66" i="12"/>
  <c r="B56" i="12"/>
  <c r="D45" i="12"/>
  <c r="G34" i="12"/>
  <c r="B24" i="12"/>
  <c r="D13" i="12"/>
  <c r="G2" i="12"/>
  <c r="E234" i="11"/>
  <c r="H223" i="11"/>
  <c r="C213" i="11"/>
  <c r="E202" i="11"/>
  <c r="H191" i="11"/>
  <c r="C181" i="11"/>
  <c r="E170" i="11"/>
  <c r="H159" i="11"/>
  <c r="C149" i="11"/>
  <c r="E138" i="11"/>
  <c r="H127" i="11"/>
  <c r="C117" i="11"/>
  <c r="E106" i="11"/>
  <c r="H95" i="11"/>
  <c r="C85" i="11"/>
  <c r="E74" i="11"/>
  <c r="H63" i="11"/>
  <c r="C53" i="11"/>
  <c r="E42" i="11"/>
  <c r="H31" i="11"/>
  <c r="C21" i="11"/>
  <c r="E10" i="11"/>
  <c r="B4" i="27"/>
  <c r="B752" i="25"/>
  <c r="H550" i="25"/>
  <c r="B399" i="25"/>
  <c r="F280" i="25"/>
  <c r="H166" i="25"/>
  <c r="A53" i="25"/>
  <c r="D43" i="24"/>
  <c r="F172" i="23"/>
  <c r="C87" i="23"/>
  <c r="A2" i="23"/>
  <c r="B156" i="22"/>
  <c r="G70" i="22"/>
  <c r="E7" i="21"/>
  <c r="G231" i="19"/>
  <c r="G167" i="19"/>
  <c r="G103" i="19"/>
  <c r="B48" i="19"/>
  <c r="B10" i="19"/>
  <c r="F378" i="17"/>
  <c r="F362" i="17"/>
  <c r="F346" i="17"/>
  <c r="F330" i="17"/>
  <c r="F314" i="17"/>
  <c r="F298" i="17"/>
  <c r="F282" i="17"/>
  <c r="F266" i="17"/>
  <c r="F250" i="17"/>
  <c r="F234" i="17"/>
  <c r="F218" i="17"/>
  <c r="F202" i="17"/>
  <c r="F186" i="17"/>
  <c r="F170" i="17"/>
  <c r="F154" i="17"/>
  <c r="F138" i="17"/>
  <c r="F122" i="17"/>
  <c r="F106" i="17"/>
  <c r="F90" i="17"/>
  <c r="F74" i="17"/>
  <c r="F58" i="17"/>
  <c r="F42" i="17"/>
  <c r="F26" i="17"/>
  <c r="E10" i="17"/>
  <c r="E96" i="15"/>
  <c r="E64" i="15"/>
  <c r="E32" i="15"/>
  <c r="F1" i="15"/>
  <c r="G13" i="13"/>
  <c r="H218" i="12"/>
  <c r="F197" i="12"/>
  <c r="C176" i="12"/>
  <c r="H154" i="12"/>
  <c r="F133" i="12"/>
  <c r="C112" i="12"/>
  <c r="H90" i="12"/>
  <c r="F69" i="12"/>
  <c r="C48" i="12"/>
  <c r="H26" i="12"/>
  <c r="F5" i="12"/>
  <c r="A226" i="11"/>
  <c r="G204" i="11"/>
  <c r="D183" i="11"/>
  <c r="A162" i="11"/>
  <c r="G140" i="11"/>
  <c r="D119" i="11"/>
  <c r="A98" i="11"/>
  <c r="G76" i="11"/>
  <c r="D55" i="11"/>
  <c r="A34" i="11"/>
  <c r="G12" i="11"/>
  <c r="B1" i="10"/>
  <c r="H39" i="8"/>
  <c r="H31" i="8"/>
  <c r="H23" i="8"/>
  <c r="H15" i="8"/>
  <c r="H7" i="8"/>
  <c r="E18" i="7"/>
  <c r="E10" i="7"/>
  <c r="E2" i="7"/>
  <c r="F287" i="6"/>
  <c r="F279" i="6"/>
  <c r="F271" i="6"/>
  <c r="F263" i="6"/>
  <c r="F255" i="6"/>
  <c r="F247" i="6"/>
  <c r="F239" i="6"/>
  <c r="F231" i="6"/>
  <c r="F223" i="6"/>
  <c r="F215" i="6"/>
  <c r="F207" i="6"/>
  <c r="F199" i="6"/>
  <c r="F191" i="6"/>
  <c r="F183" i="6"/>
  <c r="F175" i="6"/>
  <c r="F167" i="6"/>
  <c r="F159" i="6"/>
  <c r="F151" i="6"/>
  <c r="F143" i="6"/>
  <c r="F135" i="6"/>
  <c r="F127" i="6"/>
  <c r="F119" i="6"/>
  <c r="F111" i="6"/>
  <c r="F103" i="6"/>
  <c r="F95" i="6"/>
  <c r="F87" i="6"/>
  <c r="F79" i="6"/>
  <c r="F71" i="6"/>
  <c r="F63" i="6"/>
  <c r="F55" i="6"/>
  <c r="F47" i="6"/>
  <c r="F39" i="6"/>
  <c r="F31" i="6"/>
  <c r="F23" i="6"/>
  <c r="F15" i="6"/>
  <c r="F7" i="6"/>
  <c r="K413" i="5"/>
  <c r="G410" i="5"/>
  <c r="C407" i="5"/>
  <c r="S403" i="5"/>
  <c r="O400" i="5"/>
  <c r="K397" i="5"/>
  <c r="G394" i="5"/>
  <c r="C391" i="5"/>
  <c r="S387" i="5"/>
  <c r="O384" i="5"/>
  <c r="K381" i="5"/>
  <c r="G378" i="5"/>
  <c r="C375" i="5"/>
  <c r="S371" i="5"/>
  <c r="O368" i="5"/>
  <c r="K365" i="5"/>
  <c r="G362" i="5"/>
  <c r="C359" i="5"/>
  <c r="S355" i="5"/>
  <c r="O352" i="5"/>
  <c r="K349" i="5"/>
  <c r="G346" i="5"/>
  <c r="C343" i="5"/>
  <c r="S339" i="5"/>
  <c r="O336" i="5"/>
  <c r="K333" i="5"/>
  <c r="G330" i="5"/>
  <c r="C327" i="5"/>
  <c r="S323" i="5"/>
  <c r="O320" i="5"/>
  <c r="K317" i="5"/>
  <c r="G314" i="5"/>
  <c r="C311" i="5"/>
  <c r="S307" i="5"/>
  <c r="O304" i="5"/>
  <c r="K301" i="5"/>
  <c r="G298" i="5"/>
  <c r="C295" i="5"/>
  <c r="S291" i="5"/>
  <c r="O288" i="5"/>
  <c r="K285" i="5"/>
  <c r="G282" i="5"/>
  <c r="C279" i="5"/>
  <c r="S275" i="5"/>
  <c r="O272" i="5"/>
  <c r="K269" i="5"/>
  <c r="G266" i="5"/>
  <c r="C263" i="5"/>
  <c r="S259" i="5"/>
  <c r="O256" i="5"/>
  <c r="K253" i="5"/>
  <c r="G250" i="5"/>
  <c r="C247" i="5"/>
  <c r="S243" i="5"/>
  <c r="O240" i="5"/>
  <c r="K237" i="5"/>
  <c r="G234" i="5"/>
  <c r="C231" i="5"/>
  <c r="S227" i="5"/>
  <c r="O224" i="5"/>
  <c r="K221" i="5"/>
  <c r="G218" i="5"/>
  <c r="C215" i="5"/>
  <c r="S211" i="5"/>
  <c r="O208" i="5"/>
  <c r="K205" i="5"/>
  <c r="G202" i="5"/>
  <c r="C199" i="5"/>
  <c r="S195" i="5"/>
  <c r="O192" i="5"/>
  <c r="K189" i="5"/>
  <c r="G186" i="5"/>
  <c r="C183" i="5"/>
  <c r="S179" i="5"/>
  <c r="O176" i="5"/>
  <c r="K173" i="5"/>
  <c r="G170" i="5"/>
  <c r="C167" i="5"/>
  <c r="S163" i="5"/>
  <c r="O160" i="5"/>
  <c r="K157" i="5"/>
  <c r="G154" i="5"/>
  <c r="C151" i="5"/>
  <c r="S147" i="5"/>
  <c r="O144" i="5"/>
  <c r="K141" i="5"/>
  <c r="G138" i="5"/>
  <c r="C135" i="5"/>
  <c r="S131" i="5"/>
  <c r="O128" i="5"/>
  <c r="K125" i="5"/>
  <c r="G122" i="5"/>
  <c r="C119" i="5"/>
  <c r="S115" i="5"/>
  <c r="O112" i="5"/>
  <c r="K109" i="5"/>
  <c r="G106" i="5"/>
  <c r="C103" i="5"/>
  <c r="S99" i="5"/>
  <c r="O96" i="5"/>
  <c r="K93" i="5"/>
  <c r="G90" i="5"/>
  <c r="C87" i="5"/>
  <c r="S83" i="5"/>
  <c r="O80" i="5"/>
  <c r="K77" i="5"/>
  <c r="G74" i="5"/>
  <c r="C71" i="5"/>
  <c r="S67" i="5"/>
  <c r="O64" i="5"/>
  <c r="K61" i="5"/>
  <c r="G58" i="5"/>
  <c r="C55" i="5"/>
  <c r="S51" i="5"/>
  <c r="O48" i="5"/>
  <c r="K45" i="5"/>
  <c r="G42" i="5"/>
  <c r="C39" i="5"/>
  <c r="S35" i="5"/>
  <c r="O32" i="5"/>
  <c r="K29" i="5"/>
  <c r="G26" i="5"/>
  <c r="C23" i="5"/>
  <c r="S19" i="5"/>
  <c r="O16" i="5"/>
  <c r="J13" i="5"/>
  <c r="F10" i="5"/>
  <c r="B7" i="5"/>
  <c r="G410" i="3"/>
  <c r="J406" i="3"/>
  <c r="J402" i="3"/>
  <c r="AE398" i="3"/>
  <c r="AE394" i="3"/>
  <c r="AF390" i="3"/>
  <c r="AG386" i="3"/>
  <c r="AG382" i="3"/>
  <c r="AI378" i="3"/>
  <c r="AJ374" i="3"/>
  <c r="B371" i="3"/>
  <c r="B367" i="3"/>
  <c r="B363" i="3"/>
  <c r="B359" i="3"/>
  <c r="C355" i="3"/>
  <c r="D351" i="3"/>
  <c r="G347" i="3"/>
  <c r="G343" i="3"/>
  <c r="I339" i="3"/>
  <c r="AD335" i="3"/>
  <c r="AF331" i="3"/>
  <c r="AG327" i="3"/>
  <c r="AI323" i="3"/>
  <c r="AJ319" i="3"/>
  <c r="AJ315" i="3"/>
  <c r="A312" i="3"/>
  <c r="C308" i="3"/>
  <c r="C304" i="3"/>
  <c r="D300" i="3"/>
  <c r="D296" i="3"/>
  <c r="E292" i="3"/>
  <c r="E288" i="3"/>
  <c r="F284" i="3"/>
  <c r="F280" i="3"/>
  <c r="F276" i="3"/>
  <c r="F272" i="3"/>
  <c r="F268" i="3"/>
  <c r="G264" i="3"/>
  <c r="H260" i="3"/>
  <c r="H256" i="3"/>
  <c r="J252" i="3"/>
  <c r="AE248" i="3"/>
  <c r="AF244" i="3"/>
  <c r="AF240" i="3"/>
  <c r="AG236" i="3"/>
  <c r="AG232" i="3"/>
  <c r="AG228" i="3"/>
  <c r="AH224" i="3"/>
  <c r="AH220" i="3"/>
  <c r="AI216" i="3"/>
  <c r="AI212" i="3"/>
  <c r="AJ208" i="3"/>
  <c r="AJ204" i="3"/>
  <c r="AJ200" i="3"/>
  <c r="A197" i="3"/>
  <c r="D193" i="3"/>
  <c r="E189" i="3"/>
  <c r="G185" i="3"/>
  <c r="G181" i="3"/>
  <c r="I177" i="3"/>
  <c r="J173" i="3"/>
  <c r="J169" i="3"/>
  <c r="AE165" i="3"/>
  <c r="AE161" i="3"/>
  <c r="AF157" i="3"/>
  <c r="AH153" i="3"/>
  <c r="AH149" i="3"/>
  <c r="AI145" i="3"/>
  <c r="AI141" i="3"/>
  <c r="AJ137" i="3"/>
  <c r="AJ133" i="3"/>
  <c r="AJ129" i="3"/>
  <c r="A126" i="3"/>
  <c r="A122" i="3"/>
  <c r="B118" i="3"/>
  <c r="C114" i="3"/>
  <c r="D110" i="3"/>
  <c r="D106" i="3"/>
  <c r="D102" i="3"/>
  <c r="D98" i="3"/>
  <c r="G94" i="3"/>
  <c r="G90" i="3"/>
  <c r="H86" i="3"/>
  <c r="H82" i="3"/>
  <c r="I78" i="3"/>
  <c r="I74" i="3"/>
  <c r="J70" i="3"/>
  <c r="J66" i="3"/>
  <c r="J62" i="3"/>
  <c r="AE58" i="3"/>
  <c r="AG54" i="3"/>
  <c r="AG50" i="3"/>
  <c r="AG46" i="3"/>
  <c r="AH42" i="3"/>
  <c r="AI38" i="3"/>
  <c r="AI34" i="3"/>
  <c r="AI30" i="3"/>
  <c r="AJ26" i="3"/>
  <c r="I24" i="26"/>
  <c r="B688" i="25"/>
  <c r="B508" i="25"/>
  <c r="D362" i="25"/>
  <c r="F248" i="25"/>
  <c r="H134" i="25"/>
  <c r="A21" i="25"/>
  <c r="D7" i="24"/>
  <c r="C143" i="23"/>
  <c r="A58" i="23"/>
  <c r="B212" i="22"/>
  <c r="G126" i="22"/>
  <c r="D41" i="22"/>
  <c r="G273" i="19"/>
  <c r="G209" i="19"/>
  <c r="G145" i="19"/>
  <c r="G81" i="19"/>
  <c r="E33" i="19"/>
  <c r="C16" i="18"/>
  <c r="N373" i="17"/>
  <c r="N357" i="17"/>
  <c r="N341" i="17"/>
  <c r="N325" i="17"/>
  <c r="N309" i="17"/>
  <c r="N293" i="17"/>
  <c r="N277" i="17"/>
  <c r="N261" i="17"/>
  <c r="N245" i="17"/>
  <c r="N229" i="17"/>
  <c r="N213" i="17"/>
  <c r="N197" i="17"/>
  <c r="N181" i="17"/>
  <c r="N165" i="17"/>
  <c r="N149" i="17"/>
  <c r="N133" i="17"/>
  <c r="N117" i="17"/>
  <c r="N101" i="17"/>
  <c r="N85" i="17"/>
  <c r="N69" i="17"/>
  <c r="N53" i="17"/>
  <c r="N37" i="17"/>
  <c r="N21" i="17"/>
  <c r="L5" i="17"/>
  <c r="E87" i="15"/>
  <c r="E55" i="15"/>
  <c r="E23" i="15"/>
  <c r="F20" i="14"/>
  <c r="G4" i="13"/>
  <c r="C214" i="12"/>
  <c r="H192" i="12"/>
  <c r="F171" i="12"/>
  <c r="C150" i="12"/>
  <c r="H128" i="12"/>
  <c r="F107" i="12"/>
  <c r="C86" i="12"/>
  <c r="H64" i="12"/>
  <c r="F43" i="12"/>
  <c r="C22" i="12"/>
  <c r="G242" i="11"/>
  <c r="D221" i="11"/>
  <c r="A200" i="11"/>
  <c r="G178" i="11"/>
  <c r="D157" i="11"/>
  <c r="A136" i="11"/>
  <c r="G114" i="11"/>
  <c r="D93" i="11"/>
  <c r="A72" i="11"/>
  <c r="G50" i="11"/>
  <c r="D29" i="11"/>
  <c r="A8" i="11"/>
  <c r="B8" i="9"/>
  <c r="F37" i="8"/>
  <c r="F29" i="8"/>
  <c r="F21" i="8"/>
  <c r="F13" i="8"/>
  <c r="F5" i="8"/>
  <c r="G16" i="7"/>
  <c r="G8" i="7"/>
  <c r="H293" i="6"/>
  <c r="H285" i="6"/>
  <c r="H277" i="6"/>
  <c r="H269" i="6"/>
  <c r="H261" i="6"/>
  <c r="H253" i="6"/>
  <c r="H245" i="6"/>
  <c r="H237" i="6"/>
  <c r="H229" i="6"/>
  <c r="H221" i="6"/>
  <c r="H213" i="6"/>
  <c r="H205" i="6"/>
  <c r="H197" i="6"/>
  <c r="H189" i="6"/>
  <c r="H181" i="6"/>
  <c r="H173" i="6"/>
  <c r="H165" i="6"/>
  <c r="H157" i="6"/>
  <c r="H149" i="6"/>
  <c r="H141" i="6"/>
  <c r="H56" i="33"/>
  <c r="E19" i="27"/>
  <c r="B886" i="25"/>
  <c r="F658" i="25"/>
  <c r="A431" i="25"/>
  <c r="H855" i="25"/>
  <c r="C628" i="25"/>
  <c r="G626" i="25"/>
  <c r="F428" i="25"/>
  <c r="G302" i="25"/>
  <c r="I188" i="25"/>
  <c r="B75" i="25"/>
  <c r="C68" i="24"/>
  <c r="D165" i="23"/>
  <c r="D37" i="23"/>
  <c r="A146" i="22"/>
  <c r="E61" i="22"/>
  <c r="H18" i="27"/>
  <c r="E864" i="25"/>
  <c r="G750" i="25"/>
  <c r="I636" i="25"/>
  <c r="H549" i="25"/>
  <c r="I473" i="25"/>
  <c r="A398" i="25"/>
  <c r="G336" i="25"/>
  <c r="H279" i="25"/>
  <c r="I222" i="25"/>
  <c r="A166" i="25"/>
  <c r="B109" i="25"/>
  <c r="C52" i="25"/>
  <c r="A106" i="24"/>
  <c r="A42" i="24"/>
  <c r="D37" i="26"/>
  <c r="H722" i="25"/>
  <c r="C531" i="25"/>
  <c r="G379" i="25"/>
  <c r="I265" i="25"/>
  <c r="B152" i="25"/>
  <c r="D38" i="25"/>
  <c r="H26" i="24"/>
  <c r="F157" i="23"/>
  <c r="C72" i="23"/>
  <c r="G223" i="22"/>
  <c r="D138" i="22"/>
  <c r="B53" i="22"/>
  <c r="A283" i="19"/>
  <c r="A219" i="19"/>
  <c r="A155" i="19"/>
  <c r="A91" i="19"/>
  <c r="O6" i="26"/>
  <c r="C667" i="25"/>
  <c r="C494" i="25"/>
  <c r="I351" i="25"/>
  <c r="B238" i="25"/>
  <c r="D124" i="25"/>
  <c r="F10" i="25"/>
  <c r="G222" i="23"/>
  <c r="E137" i="23"/>
  <c r="B52" i="23"/>
  <c r="C204" i="22"/>
  <c r="H118" i="22"/>
  <c r="F33" i="22"/>
  <c r="H268" i="19"/>
  <c r="H213" i="19"/>
  <c r="D183" i="19"/>
  <c r="D162" i="19"/>
  <c r="H140" i="19"/>
  <c r="D119" i="19"/>
  <c r="D98" i="19"/>
  <c r="H76" i="19"/>
  <c r="D55" i="19"/>
  <c r="D34" i="19"/>
  <c r="M36" i="26"/>
  <c r="E821" i="25"/>
  <c r="G707" i="25"/>
  <c r="A597" i="25"/>
  <c r="B521" i="25"/>
  <c r="D445" i="25"/>
  <c r="B372" i="25"/>
  <c r="C315" i="25"/>
  <c r="D258" i="25"/>
  <c r="E201" i="25"/>
  <c r="F144" i="25"/>
  <c r="G87" i="25"/>
  <c r="H30" i="25"/>
  <c r="D82" i="24"/>
  <c r="D18" i="24"/>
  <c r="A196" i="23"/>
  <c r="C153" i="23"/>
  <c r="F110" i="23"/>
  <c r="A68" i="23"/>
  <c r="C25" i="23"/>
  <c r="D219" i="22"/>
  <c r="G176" i="22"/>
  <c r="B134" i="22"/>
  <c r="D91" i="22"/>
  <c r="G48" i="22"/>
  <c r="H11" i="22"/>
  <c r="C279" i="19"/>
  <c r="C247" i="19"/>
  <c r="C215" i="19"/>
  <c r="C183" i="19"/>
  <c r="C151" i="19"/>
  <c r="C119" i="19"/>
  <c r="C87" i="19"/>
  <c r="E58" i="19"/>
  <c r="B37" i="19"/>
  <c r="H17" i="19"/>
  <c r="E1" i="19"/>
  <c r="E3" i="18"/>
  <c r="E374" i="17"/>
  <c r="E366" i="17"/>
  <c r="E358" i="17"/>
  <c r="E350" i="17"/>
  <c r="E342" i="17"/>
  <c r="E334" i="17"/>
  <c r="E326" i="17"/>
  <c r="E318" i="17"/>
  <c r="E310" i="17"/>
  <c r="E302" i="17"/>
  <c r="E294" i="17"/>
  <c r="E286" i="17"/>
  <c r="E278" i="17"/>
  <c r="E270" i="17"/>
  <c r="E262" i="17"/>
  <c r="E254" i="17"/>
  <c r="E246" i="17"/>
  <c r="E238" i="17"/>
  <c r="E230" i="17"/>
  <c r="E222" i="17"/>
  <c r="E214" i="17"/>
  <c r="E206" i="17"/>
  <c r="E198" i="17"/>
  <c r="E190" i="17"/>
  <c r="E182" i="17"/>
  <c r="E174" i="17"/>
  <c r="E166" i="17"/>
  <c r="E158" i="17"/>
  <c r="E150" i="17"/>
  <c r="E142" i="17"/>
  <c r="E134" i="17"/>
  <c r="E126" i="17"/>
  <c r="E118" i="17"/>
  <c r="E110" i="17"/>
  <c r="E102" i="17"/>
  <c r="E94" i="17"/>
  <c r="E86" i="17"/>
  <c r="E78" i="17"/>
  <c r="E70" i="17"/>
  <c r="E62" i="17"/>
  <c r="E54" i="17"/>
  <c r="E46" i="17"/>
  <c r="E38" i="17"/>
  <c r="E30" i="17"/>
  <c r="E22" i="17"/>
  <c r="E14" i="17"/>
  <c r="C5" i="17"/>
  <c r="C102" i="15"/>
  <c r="C86" i="15"/>
  <c r="C70" i="15"/>
  <c r="C54" i="15"/>
  <c r="C38" i="15"/>
  <c r="C22" i="15"/>
  <c r="C6" i="15"/>
  <c r="D20" i="14"/>
  <c r="D4" i="14"/>
  <c r="A3" i="13"/>
  <c r="B27" i="26"/>
  <c r="E817" i="25"/>
  <c r="G703" i="25"/>
  <c r="D594" i="25"/>
  <c r="E518" i="25"/>
  <c r="G442" i="25"/>
  <c r="B370" i="25"/>
  <c r="C313" i="25"/>
  <c r="D256" i="25"/>
  <c r="E199" i="25"/>
  <c r="F142" i="25"/>
  <c r="G85" i="25"/>
  <c r="H28" i="25"/>
  <c r="B78" i="24"/>
  <c r="B14" i="24"/>
  <c r="B193" i="23"/>
  <c r="E150" i="23"/>
  <c r="G107" i="23"/>
  <c r="B65" i="23"/>
  <c r="E22" i="23"/>
  <c r="F216" i="22"/>
  <c r="H173" i="22"/>
  <c r="C131" i="22"/>
  <c r="F88" i="22"/>
  <c r="H45" i="22"/>
  <c r="G9" i="22"/>
  <c r="B277" i="19"/>
  <c r="B245" i="19"/>
  <c r="B213" i="19"/>
  <c r="B181" i="19"/>
  <c r="B149" i="19"/>
  <c r="B117" i="19"/>
  <c r="B85" i="19"/>
  <c r="A57" i="19"/>
  <c r="F35" i="19"/>
  <c r="G16" i="19"/>
  <c r="H18" i="18"/>
  <c r="H2" i="18"/>
  <c r="H371" i="17"/>
  <c r="L360" i="17"/>
  <c r="D350" i="17"/>
  <c r="H339" i="17"/>
  <c r="L328" i="17"/>
  <c r="D318" i="17"/>
  <c r="H307" i="17"/>
  <c r="L296" i="17"/>
  <c r="D286" i="17"/>
  <c r="H275" i="17"/>
  <c r="L264" i="17"/>
  <c r="D254" i="17"/>
  <c r="H243" i="17"/>
  <c r="L232" i="17"/>
  <c r="D222" i="17"/>
  <c r="H211" i="17"/>
  <c r="L200" i="17"/>
  <c r="D190" i="17"/>
  <c r="H179" i="17"/>
  <c r="L168" i="17"/>
  <c r="D158" i="17"/>
  <c r="H147" i="17"/>
  <c r="L136" i="17"/>
  <c r="D126" i="17"/>
  <c r="H115" i="17"/>
  <c r="L104" i="17"/>
  <c r="D94" i="17"/>
  <c r="H83" i="17"/>
  <c r="L72" i="17"/>
  <c r="D62" i="17"/>
  <c r="H51" i="17"/>
  <c r="L40" i="17"/>
  <c r="D30" i="17"/>
  <c r="H19" i="17"/>
  <c r="C9" i="17"/>
  <c r="B110" i="15"/>
  <c r="B94" i="15"/>
  <c r="B78" i="15"/>
  <c r="B62" i="15"/>
  <c r="B46" i="15"/>
  <c r="B30" i="15"/>
  <c r="B14" i="15"/>
  <c r="C28" i="14"/>
  <c r="C12" i="14"/>
  <c r="D11" i="13"/>
  <c r="A226" i="12"/>
  <c r="A210" i="12"/>
  <c r="A194" i="12"/>
  <c r="A178" i="12"/>
  <c r="A162" i="12"/>
  <c r="A146" i="12"/>
  <c r="E136" i="12"/>
  <c r="E128" i="12"/>
  <c r="E120" i="12"/>
  <c r="E112" i="12"/>
  <c r="E104" i="12"/>
  <c r="E96" i="12"/>
  <c r="E88" i="12"/>
  <c r="E80" i="12"/>
  <c r="E72" i="12"/>
  <c r="E64" i="12"/>
  <c r="E56" i="12"/>
  <c r="E48" i="12"/>
  <c r="E40" i="12"/>
  <c r="E32" i="12"/>
  <c r="E24" i="12"/>
  <c r="E16" i="12"/>
  <c r="E8" i="12"/>
  <c r="F242" i="11"/>
  <c r="F234" i="11"/>
  <c r="F226" i="11"/>
  <c r="F218" i="11"/>
  <c r="F210" i="11"/>
  <c r="F202" i="11"/>
  <c r="F194" i="11"/>
  <c r="F186" i="11"/>
  <c r="F178" i="11"/>
  <c r="F170" i="11"/>
  <c r="F162" i="11"/>
  <c r="F154" i="11"/>
  <c r="F146" i="11"/>
  <c r="F138" i="11"/>
  <c r="F130" i="11"/>
  <c r="F122" i="11"/>
  <c r="F114" i="11"/>
  <c r="F106" i="11"/>
  <c r="F98" i="11"/>
  <c r="F90" i="11"/>
  <c r="F82" i="11"/>
  <c r="F74" i="11"/>
  <c r="F66" i="11"/>
  <c r="F58" i="11"/>
  <c r="F50" i="11"/>
  <c r="F42" i="11"/>
  <c r="F34" i="11"/>
  <c r="F26" i="11"/>
  <c r="F18" i="11"/>
  <c r="F10" i="11"/>
  <c r="F2" i="11"/>
  <c r="H9" i="9"/>
  <c r="E4" i="36"/>
  <c r="K18" i="26"/>
  <c r="A805" i="25"/>
  <c r="C691" i="25"/>
  <c r="A586" i="25"/>
  <c r="C510" i="25"/>
  <c r="D434" i="25"/>
  <c r="I363" i="25"/>
  <c r="A307" i="25"/>
  <c r="B250" i="25"/>
  <c r="C193" i="25"/>
  <c r="D136" i="25"/>
  <c r="E79" i="25"/>
  <c r="F22" i="25"/>
  <c r="B73" i="24"/>
  <c r="B9" i="24"/>
  <c r="B187" i="23"/>
  <c r="E144" i="23"/>
  <c r="G101" i="23"/>
  <c r="B59" i="23"/>
  <c r="E16" i="23"/>
  <c r="F210" i="22"/>
  <c r="H167" i="22"/>
  <c r="C125" i="22"/>
  <c r="F82" i="22"/>
  <c r="H39" i="22"/>
  <c r="C5" i="22"/>
  <c r="F274" i="19"/>
  <c r="F242" i="19"/>
  <c r="F210" i="19"/>
  <c r="F178" i="19"/>
  <c r="F146" i="19"/>
  <c r="F114" i="19"/>
  <c r="F82" i="19"/>
  <c r="C55" i="19"/>
  <c r="A34" i="19"/>
  <c r="E15" i="19"/>
  <c r="F17" i="18"/>
  <c r="G1" i="18"/>
  <c r="C373" i="17"/>
  <c r="C365" i="17"/>
  <c r="C357" i="17"/>
  <c r="C349" i="17"/>
  <c r="C341" i="17"/>
  <c r="C333" i="17"/>
  <c r="C325" i="17"/>
  <c r="C317" i="17"/>
  <c r="C309" i="17"/>
  <c r="C301" i="17"/>
  <c r="C293" i="17"/>
  <c r="C285" i="17"/>
  <c r="C277" i="17"/>
  <c r="C269" i="17"/>
  <c r="C261" i="17"/>
  <c r="C253" i="17"/>
  <c r="C245" i="17"/>
  <c r="C237" i="17"/>
  <c r="C229" i="17"/>
  <c r="C221" i="17"/>
  <c r="C213" i="17"/>
  <c r="C205" i="17"/>
  <c r="C197" i="17"/>
  <c r="C189" i="17"/>
  <c r="C181" i="17"/>
  <c r="C173" i="17"/>
  <c r="C165" i="17"/>
  <c r="C157" i="17"/>
  <c r="C149" i="17"/>
  <c r="C141" i="17"/>
  <c r="C133" i="17"/>
  <c r="C125" i="17"/>
  <c r="C117" i="17"/>
  <c r="C109" i="17"/>
  <c r="C101" i="17"/>
  <c r="C93" i="17"/>
  <c r="C85" i="17"/>
  <c r="C77" i="17"/>
  <c r="C69" i="17"/>
  <c r="C61" i="17"/>
  <c r="C53" i="17"/>
  <c r="C45" i="17"/>
  <c r="C37" i="17"/>
  <c r="C29" i="17"/>
  <c r="C21" i="17"/>
  <c r="C13" i="17"/>
  <c r="A5" i="17"/>
  <c r="H102" i="15"/>
  <c r="H86" i="15"/>
  <c r="H70" i="15"/>
  <c r="H54" i="15"/>
  <c r="H38" i="15"/>
  <c r="H22" i="15"/>
  <c r="H6" i="15"/>
  <c r="A20" i="14"/>
  <c r="A4" i="14"/>
  <c r="B3" i="13"/>
  <c r="B223" i="12"/>
  <c r="D212" i="12"/>
  <c r="G201" i="12"/>
  <c r="B191" i="12"/>
  <c r="D180" i="12"/>
  <c r="G169" i="12"/>
  <c r="B159" i="12"/>
  <c r="D148" i="12"/>
  <c r="G137" i="12"/>
  <c r="B127" i="12"/>
  <c r="D116" i="12"/>
  <c r="G105" i="12"/>
  <c r="B95" i="12"/>
  <c r="D84" i="12"/>
  <c r="G73" i="12"/>
  <c r="B63" i="12"/>
  <c r="D52" i="12"/>
  <c r="G41" i="12"/>
  <c r="B31" i="12"/>
  <c r="D20" i="12"/>
  <c r="G9" i="12"/>
  <c r="H240" i="11"/>
  <c r="C230" i="11"/>
  <c r="E219" i="11"/>
  <c r="H208" i="11"/>
  <c r="C198" i="11"/>
  <c r="E187" i="11"/>
  <c r="H176" i="11"/>
  <c r="C166" i="11"/>
  <c r="E155" i="11"/>
  <c r="H144" i="11"/>
  <c r="C134" i="11"/>
  <c r="E123" i="11"/>
  <c r="H112" i="11"/>
  <c r="C102" i="11"/>
  <c r="E91" i="11"/>
  <c r="H80" i="11"/>
  <c r="C70" i="11"/>
  <c r="E59" i="11"/>
  <c r="H48" i="11"/>
  <c r="C38" i="11"/>
  <c r="E27" i="11"/>
  <c r="H16" i="11"/>
  <c r="C6" i="11"/>
  <c r="B83" i="33"/>
  <c r="I20" i="26"/>
  <c r="E801" i="25"/>
  <c r="G687" i="25"/>
  <c r="G583" i="25"/>
  <c r="H507" i="25"/>
  <c r="A432" i="25"/>
  <c r="B362" i="25"/>
  <c r="C305" i="25"/>
  <c r="D248" i="25"/>
  <c r="E191" i="25"/>
  <c r="F134" i="25"/>
  <c r="G77" i="25"/>
  <c r="H20" i="25"/>
  <c r="B71" i="24"/>
  <c r="B7" i="24"/>
  <c r="E188" i="23"/>
  <c r="G145" i="23"/>
  <c r="B103" i="23"/>
  <c r="E60" i="23"/>
  <c r="G17" i="23"/>
  <c r="H211" i="22"/>
  <c r="C169" i="22"/>
  <c r="F126" i="22"/>
  <c r="H83" i="22"/>
  <c r="C41" i="22"/>
  <c r="C6" i="22"/>
  <c r="F273" i="19"/>
  <c r="F241" i="19"/>
  <c r="F209" i="19"/>
  <c r="F177" i="19"/>
  <c r="F145" i="19"/>
  <c r="F113" i="19"/>
  <c r="F81" i="19"/>
  <c r="F54" i="19"/>
  <c r="C33" i="19"/>
  <c r="A15" i="19"/>
  <c r="B17" i="18"/>
  <c r="C1" i="18"/>
  <c r="G373" i="17"/>
  <c r="G365" i="17"/>
  <c r="G357" i="17"/>
  <c r="G349" i="17"/>
  <c r="G341" i="17"/>
  <c r="G333" i="17"/>
  <c r="G325" i="17"/>
  <c r="G317" i="17"/>
  <c r="G309" i="17"/>
  <c r="G301" i="17"/>
  <c r="G293" i="17"/>
  <c r="G285" i="17"/>
  <c r="G277" i="17"/>
  <c r="G269" i="17"/>
  <c r="G261" i="17"/>
  <c r="G253" i="17"/>
  <c r="G245" i="17"/>
  <c r="G237" i="17"/>
  <c r="G229" i="17"/>
  <c r="G221" i="17"/>
  <c r="G213" i="17"/>
  <c r="G205" i="17"/>
  <c r="G197" i="17"/>
  <c r="G189" i="17"/>
  <c r="G181" i="17"/>
  <c r="G173" i="17"/>
  <c r="G165" i="17"/>
  <c r="G157" i="17"/>
  <c r="G149" i="17"/>
  <c r="G141" i="17"/>
  <c r="G133" i="17"/>
  <c r="G125" i="17"/>
  <c r="G117" i="17"/>
  <c r="G109" i="17"/>
  <c r="G101" i="17"/>
  <c r="G93" i="17"/>
  <c r="G85" i="17"/>
  <c r="G77" i="17"/>
  <c r="G69" i="17"/>
  <c r="G61" i="17"/>
  <c r="G53" i="17"/>
  <c r="G45" i="17"/>
  <c r="G37" i="17"/>
  <c r="G29" i="17"/>
  <c r="G21" i="17"/>
  <c r="G13" i="17"/>
  <c r="E5" i="17"/>
  <c r="B764" i="25"/>
  <c r="H558" i="25"/>
  <c r="B407" i="25"/>
  <c r="F286" i="25"/>
  <c r="H172" i="25"/>
  <c r="A59" i="25"/>
  <c r="B48" i="24"/>
  <c r="B173" i="23"/>
  <c r="G87" i="23"/>
  <c r="E2" i="23"/>
  <c r="H153" i="22"/>
  <c r="F68" i="22"/>
  <c r="H4" i="21"/>
  <c r="B230" i="19"/>
  <c r="B166" i="19"/>
  <c r="B102" i="19"/>
  <c r="A47" i="19"/>
  <c r="C9" i="19"/>
  <c r="D377" i="17"/>
  <c r="L355" i="17"/>
  <c r="H334" i="17"/>
  <c r="D313" i="17"/>
  <c r="L291" i="17"/>
  <c r="H270" i="17"/>
  <c r="D249" i="17"/>
  <c r="L227" i="17"/>
  <c r="H206" i="17"/>
  <c r="D185" i="17"/>
  <c r="L163" i="17"/>
  <c r="H142" i="17"/>
  <c r="D121" i="17"/>
  <c r="L99" i="17"/>
  <c r="H78" i="17"/>
  <c r="D57" i="17"/>
  <c r="L35" i="17"/>
  <c r="H14" i="17"/>
  <c r="F102" i="15"/>
  <c r="F70" i="15"/>
  <c r="F38" i="15"/>
  <c r="F6" i="15"/>
  <c r="G4" i="14"/>
  <c r="E218" i="12"/>
  <c r="E186" i="12"/>
  <c r="E154" i="12"/>
  <c r="N13" i="26"/>
  <c r="A650" i="25"/>
  <c r="A200" i="25"/>
  <c r="H49" i="23"/>
  <c r="A876" i="25"/>
  <c r="F481" i="25"/>
  <c r="G228" i="25"/>
  <c r="E112" i="24"/>
  <c r="G546" i="25"/>
  <c r="I49" i="25"/>
  <c r="D232" i="22"/>
  <c r="E225" i="19"/>
  <c r="D690" i="25"/>
  <c r="I135" i="25"/>
  <c r="G60" i="23"/>
  <c r="D275" i="19"/>
  <c r="H142" i="19"/>
  <c r="D57" i="19"/>
  <c r="D718" i="25"/>
  <c r="E377" i="25"/>
  <c r="I149" i="25"/>
  <c r="D24" i="24"/>
  <c r="A72" i="23"/>
  <c r="B138" i="22"/>
  <c r="C282" i="19"/>
  <c r="C154" i="19"/>
  <c r="B39" i="19"/>
  <c r="A375" i="17"/>
  <c r="A343" i="17"/>
  <c r="A311" i="17"/>
  <c r="A293" i="17"/>
  <c r="A277" i="17"/>
  <c r="A261" i="17"/>
  <c r="A245" i="17"/>
  <c r="A229" i="17"/>
  <c r="A213" i="17"/>
  <c r="A197" i="17"/>
  <c r="A181" i="17"/>
  <c r="A165" i="17"/>
  <c r="A149" i="17"/>
  <c r="A133" i="17"/>
  <c r="A117" i="17"/>
  <c r="A101" i="17"/>
  <c r="A85" i="17"/>
  <c r="A69" i="17"/>
  <c r="A53" i="17"/>
  <c r="A37" i="17"/>
  <c r="A21" i="17"/>
  <c r="G115" i="15"/>
  <c r="G83" i="15"/>
  <c r="G51" i="15"/>
  <c r="G19" i="15"/>
  <c r="H17" i="14"/>
  <c r="E108" i="33"/>
  <c r="G799" i="25"/>
  <c r="E582" i="25"/>
  <c r="H430" i="25"/>
  <c r="D304" i="25"/>
  <c r="F190" i="25"/>
  <c r="H76" i="25"/>
  <c r="B68" i="24"/>
  <c r="E186" i="23"/>
  <c r="B101" i="23"/>
  <c r="G15" i="23"/>
  <c r="C167" i="22"/>
  <c r="H81" i="22"/>
  <c r="G4" i="22"/>
  <c r="B240" i="19"/>
  <c r="B176" i="19"/>
  <c r="B112" i="19"/>
  <c r="F53" i="19"/>
  <c r="C14" i="19"/>
  <c r="H380" i="17"/>
  <c r="D359" i="17"/>
  <c r="L337" i="17"/>
  <c r="H316" i="17"/>
  <c r="D295" i="17"/>
  <c r="L273" i="17"/>
  <c r="H252" i="17"/>
  <c r="D231" i="17"/>
  <c r="L209" i="17"/>
  <c r="H188" i="17"/>
  <c r="D167" i="17"/>
  <c r="L145" i="17"/>
  <c r="H124" i="17"/>
  <c r="D103" i="17"/>
  <c r="L81" i="17"/>
  <c r="H60" i="17"/>
  <c r="D39" i="17"/>
  <c r="L17" i="17"/>
  <c r="F107" i="15"/>
  <c r="F75" i="15"/>
  <c r="F43" i="15"/>
  <c r="F11" i="15"/>
  <c r="G9" i="14"/>
  <c r="E223" i="12"/>
  <c r="E191" i="12"/>
  <c r="E159" i="12"/>
  <c r="A135" i="12"/>
  <c r="A119" i="12"/>
  <c r="A103" i="12"/>
  <c r="A87" i="12"/>
  <c r="A71" i="12"/>
  <c r="A55" i="12"/>
  <c r="A39" i="12"/>
  <c r="A23" i="12"/>
  <c r="A7" i="12"/>
  <c r="B233" i="11"/>
  <c r="B217" i="11"/>
  <c r="B201" i="11"/>
  <c r="B185" i="11"/>
  <c r="B169" i="11"/>
  <c r="B153" i="11"/>
  <c r="B137" i="11"/>
  <c r="B121" i="11"/>
  <c r="B105" i="11"/>
  <c r="B89" i="11"/>
  <c r="B73" i="11"/>
  <c r="B57" i="11"/>
  <c r="B41" i="11"/>
  <c r="B25" i="11"/>
  <c r="B9" i="11"/>
  <c r="D8" i="9"/>
  <c r="F7" i="26"/>
  <c r="I669" i="25"/>
  <c r="A496" i="25"/>
  <c r="C353" i="25"/>
  <c r="E239" i="25"/>
  <c r="G125" i="25"/>
  <c r="I11" i="25"/>
  <c r="G221" i="23"/>
  <c r="E136" i="23"/>
  <c r="B51" i="23"/>
  <c r="F202" i="22"/>
  <c r="C117" i="22"/>
  <c r="H31" i="22"/>
  <c r="F268" i="19"/>
  <c r="F204" i="19"/>
  <c r="F140" i="19"/>
  <c r="F76" i="19"/>
  <c r="A30" i="19"/>
  <c r="F14" i="18"/>
  <c r="K371" i="17"/>
  <c r="K355" i="17"/>
  <c r="K339" i="17"/>
  <c r="K323" i="17"/>
  <c r="K307" i="17"/>
  <c r="K291" i="17"/>
  <c r="K275" i="17"/>
  <c r="K259" i="17"/>
  <c r="K243" i="17"/>
  <c r="K227" i="17"/>
  <c r="K211" i="17"/>
  <c r="K195" i="17"/>
  <c r="K179" i="17"/>
  <c r="K163" i="17"/>
  <c r="K147" i="17"/>
  <c r="K131" i="17"/>
  <c r="K115" i="17"/>
  <c r="K99" i="17"/>
  <c r="K83" i="17"/>
  <c r="K67" i="17"/>
  <c r="K51" i="17"/>
  <c r="K35" i="17"/>
  <c r="K19" i="17"/>
  <c r="H115" i="15"/>
  <c r="H83" i="15"/>
  <c r="H51" i="15"/>
  <c r="H19" i="15"/>
  <c r="A17" i="14"/>
  <c r="G231" i="12"/>
  <c r="D210" i="12"/>
  <c r="B189" i="12"/>
  <c r="G167" i="12"/>
  <c r="D146" i="12"/>
  <c r="B125" i="12"/>
  <c r="G103" i="12"/>
  <c r="D82" i="12"/>
  <c r="B61" i="12"/>
  <c r="G39" i="12"/>
  <c r="B21" i="12"/>
  <c r="D10" i="12"/>
  <c r="E241" i="11"/>
  <c r="H230" i="11"/>
  <c r="C220" i="11"/>
  <c r="E209" i="11"/>
  <c r="H198" i="11"/>
  <c r="C188" i="11"/>
  <c r="E177" i="11"/>
  <c r="H166" i="11"/>
  <c r="C156" i="11"/>
  <c r="E145" i="11"/>
  <c r="H134" i="11"/>
  <c r="C124" i="11"/>
  <c r="E113" i="11"/>
  <c r="H102" i="11"/>
  <c r="C92" i="11"/>
  <c r="E81" i="11"/>
  <c r="H70" i="11"/>
  <c r="C60" i="11"/>
  <c r="E49" i="11"/>
  <c r="H38" i="11"/>
  <c r="C28" i="11"/>
  <c r="E17" i="11"/>
  <c r="H6" i="11"/>
  <c r="G20" i="35"/>
  <c r="E24" i="26"/>
  <c r="F808" i="25"/>
  <c r="H694" i="25"/>
  <c r="E588" i="25"/>
  <c r="F512" i="25"/>
  <c r="G436" i="25"/>
  <c r="G365" i="25"/>
  <c r="H308" i="25"/>
  <c r="I251" i="25"/>
  <c r="A195" i="25"/>
  <c r="B138" i="25"/>
  <c r="C81" i="25"/>
  <c r="D24" i="25"/>
  <c r="B75" i="24"/>
  <c r="B11" i="24"/>
  <c r="B191" i="23"/>
  <c r="E148" i="23"/>
  <c r="G105" i="23"/>
  <c r="B63" i="23"/>
  <c r="E20" i="23"/>
  <c r="F214" i="22"/>
  <c r="H171" i="22"/>
  <c r="C129" i="22"/>
  <c r="F86" i="22"/>
  <c r="H43" i="22"/>
  <c r="C8" i="22"/>
  <c r="F275" i="19"/>
  <c r="F243" i="19"/>
  <c r="F211" i="19"/>
  <c r="F179" i="19"/>
  <c r="F147" i="19"/>
  <c r="F115" i="19"/>
  <c r="F83" i="19"/>
  <c r="A56" i="19"/>
  <c r="F34" i="19"/>
  <c r="A16" i="19"/>
  <c r="B18" i="18"/>
  <c r="B2" i="18"/>
  <c r="O373" i="17"/>
  <c r="O365" i="17"/>
  <c r="O357" i="17"/>
  <c r="O349" i="17"/>
  <c r="O341" i="17"/>
  <c r="O333" i="17"/>
  <c r="O325" i="17"/>
  <c r="O317" i="17"/>
  <c r="O309" i="17"/>
  <c r="O301" i="17"/>
  <c r="O293" i="17"/>
  <c r="O285" i="17"/>
  <c r="O277" i="17"/>
  <c r="O269" i="17"/>
  <c r="O261" i="17"/>
  <c r="O253" i="17"/>
  <c r="O245" i="17"/>
  <c r="O237" i="17"/>
  <c r="O229" i="17"/>
  <c r="O221" i="17"/>
  <c r="O213" i="17"/>
  <c r="O205" i="17"/>
  <c r="O197" i="17"/>
  <c r="O189" i="17"/>
  <c r="O181" i="17"/>
  <c r="O173" i="17"/>
  <c r="O165" i="17"/>
  <c r="O157" i="17"/>
  <c r="O149" i="17"/>
  <c r="O141" i="17"/>
  <c r="O133" i="17"/>
  <c r="O125" i="17"/>
  <c r="O117" i="17"/>
  <c r="O109" i="17"/>
  <c r="O101" i="17"/>
  <c r="O93" i="17"/>
  <c r="O85" i="17"/>
  <c r="O77" i="17"/>
  <c r="O69" i="17"/>
  <c r="O61" i="17"/>
  <c r="O53" i="17"/>
  <c r="O45" i="17"/>
  <c r="O37" i="17"/>
  <c r="O29" i="17"/>
  <c r="O21" i="17"/>
  <c r="O13" i="17"/>
  <c r="M5" i="17"/>
  <c r="D103" i="15"/>
  <c r="D87" i="15"/>
  <c r="D71" i="15"/>
  <c r="D55" i="15"/>
  <c r="D39" i="15"/>
  <c r="D23" i="15"/>
  <c r="D7" i="15"/>
  <c r="E21" i="14"/>
  <c r="E5" i="14"/>
  <c r="F4" i="13"/>
  <c r="B224" i="12"/>
  <c r="D213" i="12"/>
  <c r="G202" i="12"/>
  <c r="B192" i="12"/>
  <c r="D181" i="12"/>
  <c r="G170" i="12"/>
  <c r="B160" i="12"/>
  <c r="D149" i="12"/>
  <c r="G138" i="12"/>
  <c r="B128" i="12"/>
  <c r="D117" i="12"/>
  <c r="G106" i="12"/>
  <c r="B96" i="12"/>
  <c r="D85" i="12"/>
  <c r="G74" i="12"/>
  <c r="B64" i="12"/>
  <c r="D53" i="12"/>
  <c r="G42" i="12"/>
  <c r="B32" i="12"/>
  <c r="D21" i="12"/>
  <c r="G10" i="12"/>
  <c r="E242" i="11"/>
  <c r="H231" i="11"/>
  <c r="C221" i="11"/>
  <c r="E210" i="11"/>
  <c r="H199" i="11"/>
  <c r="C189" i="11"/>
  <c r="E178" i="11"/>
  <c r="H167" i="11"/>
  <c r="C157" i="11"/>
  <c r="E146" i="11"/>
  <c r="H135" i="11"/>
  <c r="C125" i="11"/>
  <c r="E114" i="11"/>
  <c r="H103" i="11"/>
  <c r="C93" i="11"/>
  <c r="E82" i="11"/>
  <c r="H71" i="11"/>
  <c r="C61" i="11"/>
  <c r="E50" i="11"/>
  <c r="H39" i="11"/>
  <c r="C29" i="11"/>
  <c r="E18" i="11"/>
  <c r="H7" i="11"/>
  <c r="M20" i="26"/>
  <c r="C695" i="25"/>
  <c r="I512" i="25"/>
  <c r="I365" i="25"/>
  <c r="B252" i="25"/>
  <c r="D138" i="25"/>
  <c r="F24" i="25"/>
  <c r="D11" i="24"/>
  <c r="C151" i="23"/>
  <c r="A66" i="23"/>
  <c r="B220" i="22"/>
  <c r="G134" i="22"/>
  <c r="D49" i="22"/>
  <c r="G279" i="19"/>
  <c r="G215" i="19"/>
  <c r="G151" i="19"/>
  <c r="G87" i="19"/>
  <c r="E37" i="19"/>
  <c r="B2" i="19"/>
  <c r="F374" i="17"/>
  <c r="F358" i="17"/>
  <c r="F342" i="17"/>
  <c r="F326" i="17"/>
  <c r="F310" i="17"/>
  <c r="F294" i="17"/>
  <c r="F278" i="17"/>
  <c r="F262" i="17"/>
  <c r="F246" i="17"/>
  <c r="F230" i="17"/>
  <c r="F214" i="17"/>
  <c r="F198" i="17"/>
  <c r="F182" i="17"/>
  <c r="F166" i="17"/>
  <c r="F150" i="17"/>
  <c r="F134" i="17"/>
  <c r="F118" i="17"/>
  <c r="F102" i="17"/>
  <c r="F86" i="17"/>
  <c r="F70" i="17"/>
  <c r="F54" i="17"/>
  <c r="F38" i="17"/>
  <c r="F22" i="17"/>
  <c r="E6" i="17"/>
  <c r="E88" i="15"/>
  <c r="E56" i="15"/>
  <c r="E24" i="15"/>
  <c r="F23" i="14"/>
  <c r="G5" i="13"/>
  <c r="F213" i="12"/>
  <c r="C192" i="12"/>
  <c r="H170" i="12"/>
  <c r="F149" i="12"/>
  <c r="C128" i="12"/>
  <c r="H106" i="12"/>
  <c r="F85" i="12"/>
  <c r="C64" i="12"/>
  <c r="H42" i="12"/>
  <c r="F21" i="12"/>
  <c r="A242" i="11"/>
  <c r="G220" i="11"/>
  <c r="D199" i="11"/>
  <c r="A178" i="11"/>
  <c r="G156" i="11"/>
  <c r="D135" i="11"/>
  <c r="A114" i="11"/>
  <c r="G92" i="11"/>
  <c r="D71" i="11"/>
  <c r="A50" i="11"/>
  <c r="G28" i="11"/>
  <c r="D7" i="11"/>
  <c r="E8" i="9"/>
  <c r="H37" i="8"/>
  <c r="H29" i="8"/>
  <c r="H21" i="8"/>
  <c r="H13" i="8"/>
  <c r="H5" i="8"/>
  <c r="E16" i="7"/>
  <c r="E8" i="7"/>
  <c r="F293" i="6"/>
  <c r="F285" i="6"/>
  <c r="F277" i="6"/>
  <c r="F269" i="6"/>
  <c r="F261" i="6"/>
  <c r="F253" i="6"/>
  <c r="F245" i="6"/>
  <c r="F237" i="6"/>
  <c r="F229" i="6"/>
  <c r="F221" i="6"/>
  <c r="F213" i="6"/>
  <c r="F205" i="6"/>
  <c r="F197" i="6"/>
  <c r="F189" i="6"/>
  <c r="F181" i="6"/>
  <c r="F173" i="6"/>
  <c r="F165" i="6"/>
  <c r="F157" i="6"/>
  <c r="F149" i="6"/>
  <c r="F141" i="6"/>
  <c r="F133" i="6"/>
  <c r="F125" i="6"/>
  <c r="F117" i="6"/>
  <c r="F109" i="6"/>
  <c r="F101" i="6"/>
  <c r="F93" i="6"/>
  <c r="F85" i="6"/>
  <c r="F77" i="6"/>
  <c r="F69" i="6"/>
  <c r="F61" i="6"/>
  <c r="F53" i="6"/>
  <c r="F45" i="6"/>
  <c r="F37" i="6"/>
  <c r="F29" i="6"/>
  <c r="F21" i="6"/>
  <c r="F13" i="6"/>
  <c r="F5" i="6"/>
  <c r="O412" i="5"/>
  <c r="K409" i="5"/>
  <c r="G406" i="5"/>
  <c r="C403" i="5"/>
  <c r="S399" i="5"/>
  <c r="O396" i="5"/>
  <c r="K393" i="5"/>
  <c r="G390" i="5"/>
  <c r="C387" i="5"/>
  <c r="S383" i="5"/>
  <c r="O380" i="5"/>
  <c r="K377" i="5"/>
  <c r="G374" i="5"/>
  <c r="C371" i="5"/>
  <c r="S367" i="5"/>
  <c r="O364" i="5"/>
  <c r="K361" i="5"/>
  <c r="G358" i="5"/>
  <c r="C355" i="5"/>
  <c r="S351" i="5"/>
  <c r="O348" i="5"/>
  <c r="K345" i="5"/>
  <c r="G342" i="5"/>
  <c r="C339" i="5"/>
  <c r="S335" i="5"/>
  <c r="O332" i="5"/>
  <c r="K329" i="5"/>
  <c r="G326" i="5"/>
  <c r="C323" i="5"/>
  <c r="S319" i="5"/>
  <c r="O316" i="5"/>
  <c r="K313" i="5"/>
  <c r="G310" i="5"/>
  <c r="C307" i="5"/>
  <c r="S303" i="5"/>
  <c r="O300" i="5"/>
  <c r="K297" i="5"/>
  <c r="G294" i="5"/>
  <c r="C291" i="5"/>
  <c r="S287" i="5"/>
  <c r="O284" i="5"/>
  <c r="K281" i="5"/>
  <c r="G278" i="5"/>
  <c r="C275" i="5"/>
  <c r="S271" i="5"/>
  <c r="O268" i="5"/>
  <c r="K265" i="5"/>
  <c r="G262" i="5"/>
  <c r="C259" i="5"/>
  <c r="S255" i="5"/>
  <c r="O252" i="5"/>
  <c r="K249" i="5"/>
  <c r="G246" i="5"/>
  <c r="C243" i="5"/>
  <c r="S239" i="5"/>
  <c r="O236" i="5"/>
  <c r="K233" i="5"/>
  <c r="G230" i="5"/>
  <c r="C227" i="5"/>
  <c r="S223" i="5"/>
  <c r="O220" i="5"/>
  <c r="K217" i="5"/>
  <c r="G214" i="5"/>
  <c r="C211" i="5"/>
  <c r="S207" i="5"/>
  <c r="O204" i="5"/>
  <c r="K201" i="5"/>
  <c r="G198" i="5"/>
  <c r="C195" i="5"/>
  <c r="S191" i="5"/>
  <c r="O188" i="5"/>
  <c r="K185" i="5"/>
  <c r="G182" i="5"/>
  <c r="C179" i="5"/>
  <c r="S175" i="5"/>
  <c r="O172" i="5"/>
  <c r="K169" i="5"/>
  <c r="G166" i="5"/>
  <c r="C163" i="5"/>
  <c r="S159" i="5"/>
  <c r="O156" i="5"/>
  <c r="K153" i="5"/>
  <c r="G150" i="5"/>
  <c r="C147" i="5"/>
  <c r="S143" i="5"/>
  <c r="O140" i="5"/>
  <c r="K137" i="5"/>
  <c r="G134" i="5"/>
  <c r="C131" i="5"/>
  <c r="S127" i="5"/>
  <c r="O124" i="5"/>
  <c r="K121" i="5"/>
  <c r="G118" i="5"/>
  <c r="C115" i="5"/>
  <c r="S111" i="5"/>
  <c r="O108" i="5"/>
  <c r="K105" i="5"/>
  <c r="G102" i="5"/>
  <c r="C99" i="5"/>
  <c r="S95" i="5"/>
  <c r="O92" i="5"/>
  <c r="K89" i="5"/>
  <c r="G86" i="5"/>
  <c r="C83" i="5"/>
  <c r="S79" i="5"/>
  <c r="O76" i="5"/>
  <c r="K73" i="5"/>
  <c r="G70" i="5"/>
  <c r="C67" i="5"/>
  <c r="S63" i="5"/>
  <c r="O60" i="5"/>
  <c r="K57" i="5"/>
  <c r="G54" i="5"/>
  <c r="C51" i="5"/>
  <c r="S47" i="5"/>
  <c r="O44" i="5"/>
  <c r="K41" i="5"/>
  <c r="G38" i="5"/>
  <c r="C35" i="5"/>
  <c r="S31" i="5"/>
  <c r="O28" i="5"/>
  <c r="K25" i="5"/>
  <c r="G22" i="5"/>
  <c r="C19" i="5"/>
  <c r="S15" i="5"/>
  <c r="N12" i="5"/>
  <c r="J9" i="5"/>
  <c r="F6" i="5"/>
  <c r="G409" i="3"/>
  <c r="J405" i="3"/>
  <c r="J401" i="3"/>
  <c r="AE397" i="3"/>
  <c r="AE393" i="3"/>
  <c r="AF389" i="3"/>
  <c r="AG385" i="3"/>
  <c r="AH381" i="3"/>
  <c r="AI377" i="3"/>
  <c r="A374" i="3"/>
  <c r="B370" i="3"/>
  <c r="B366" i="3"/>
  <c r="B362" i="3"/>
  <c r="B358" i="3"/>
  <c r="C354" i="3"/>
  <c r="D350" i="3"/>
  <c r="G346" i="3"/>
  <c r="G342" i="3"/>
  <c r="I338" i="3"/>
  <c r="AE334" i="3"/>
  <c r="AF330" i="3"/>
  <c r="AH326" i="3"/>
  <c r="AI322" i="3"/>
  <c r="AJ318" i="3"/>
  <c r="AJ314" i="3"/>
  <c r="A311" i="3"/>
  <c r="C307" i="3"/>
  <c r="C303" i="3"/>
  <c r="D299" i="3"/>
  <c r="D295" i="3"/>
  <c r="E291" i="3"/>
  <c r="F287" i="3"/>
  <c r="F283" i="3"/>
  <c r="F279" i="3"/>
  <c r="F275" i="3"/>
  <c r="F271" i="3"/>
  <c r="F267" i="3"/>
  <c r="G263" i="3"/>
  <c r="H259" i="3"/>
  <c r="I255" i="3"/>
  <c r="J251" i="3"/>
  <c r="AE247" i="3"/>
  <c r="AF243" i="3"/>
  <c r="AF239" i="3"/>
  <c r="AG235" i="3"/>
  <c r="AG231" i="3"/>
  <c r="AH227" i="3"/>
  <c r="AH223" i="3"/>
  <c r="AH219" i="3"/>
  <c r="AI215" i="3"/>
  <c r="AI211" i="3"/>
  <c r="AJ207" i="3"/>
  <c r="AJ203" i="3"/>
  <c r="AJ199" i="3"/>
  <c r="A196" i="3"/>
  <c r="E192" i="3"/>
  <c r="F188" i="3"/>
  <c r="G184" i="3"/>
  <c r="G180" i="3"/>
  <c r="I176" i="3"/>
  <c r="J172" i="3"/>
  <c r="J168" i="3"/>
  <c r="AE164" i="3"/>
  <c r="AE160" i="3"/>
  <c r="AG156" i="3"/>
  <c r="AH152" i="3"/>
  <c r="AH148" i="3"/>
  <c r="AI144" i="3"/>
  <c r="AI140" i="3"/>
  <c r="AJ136" i="3"/>
  <c r="AJ132" i="3"/>
  <c r="AJ128" i="3"/>
  <c r="A125" i="3"/>
  <c r="A121" i="3"/>
  <c r="B117" i="3"/>
  <c r="C113" i="3"/>
  <c r="D109" i="3"/>
  <c r="D105" i="3"/>
  <c r="D101" i="3"/>
  <c r="E97" i="3"/>
  <c r="G93" i="3"/>
  <c r="G89" i="3"/>
  <c r="H85" i="3"/>
  <c r="H81" i="3"/>
  <c r="I77" i="3"/>
  <c r="I73" i="3"/>
  <c r="J69" i="3"/>
  <c r="J65" i="3"/>
  <c r="AD61" i="3"/>
  <c r="AF57" i="3"/>
  <c r="AG53" i="3"/>
  <c r="AG49" i="3"/>
  <c r="AG45" i="3"/>
  <c r="AH41" i="3"/>
  <c r="AI37" i="3"/>
  <c r="AI33" i="3"/>
  <c r="AI29" i="3"/>
  <c r="AJ25" i="3"/>
  <c r="H858" i="25"/>
  <c r="C631" i="25"/>
  <c r="C470" i="25"/>
  <c r="I333" i="25"/>
  <c r="B220" i="25"/>
  <c r="D106" i="25"/>
  <c r="D103" i="24"/>
  <c r="C207" i="23"/>
  <c r="A122" i="23"/>
  <c r="F36" i="23"/>
  <c r="G190" i="22"/>
  <c r="D105" i="22"/>
  <c r="D22" i="22"/>
  <c r="G257" i="19"/>
  <c r="G193" i="19"/>
  <c r="G129" i="19"/>
  <c r="G65" i="19"/>
  <c r="B23" i="19"/>
  <c r="C8" i="18"/>
  <c r="N369" i="17"/>
  <c r="N353" i="17"/>
  <c r="N337" i="17"/>
  <c r="N321" i="17"/>
  <c r="N305" i="17"/>
  <c r="N289" i="17"/>
  <c r="N273" i="17"/>
  <c r="N257" i="17"/>
  <c r="N241" i="17"/>
  <c r="N225" i="17"/>
  <c r="N209" i="17"/>
  <c r="N193" i="17"/>
  <c r="N177" i="17"/>
  <c r="N161" i="17"/>
  <c r="N145" i="17"/>
  <c r="N129" i="17"/>
  <c r="N113" i="17"/>
  <c r="N97" i="17"/>
  <c r="N81" i="17"/>
  <c r="N65" i="17"/>
  <c r="N49" i="17"/>
  <c r="N33" i="17"/>
  <c r="N17" i="17"/>
  <c r="E111" i="15"/>
  <c r="E79" i="15"/>
  <c r="E47" i="15"/>
  <c r="E15" i="15"/>
  <c r="F12" i="14"/>
  <c r="C230" i="12"/>
  <c r="H208" i="12"/>
  <c r="F187" i="12"/>
  <c r="C166" i="12"/>
  <c r="H144" i="12"/>
  <c r="F123" i="12"/>
  <c r="C102" i="12"/>
  <c r="H80" i="12"/>
  <c r="F59" i="12"/>
  <c r="C38" i="12"/>
  <c r="H16" i="12"/>
  <c r="D237" i="11"/>
  <c r="A216" i="11"/>
  <c r="G194" i="11"/>
  <c r="D173" i="11"/>
  <c r="A152" i="11"/>
  <c r="G130" i="11"/>
  <c r="D109" i="11"/>
  <c r="A88" i="11"/>
  <c r="G66" i="11"/>
  <c r="D45" i="11"/>
  <c r="A24" i="11"/>
  <c r="G2" i="11"/>
  <c r="E5" i="9"/>
  <c r="F35" i="8"/>
  <c r="F27" i="8"/>
  <c r="F19" i="8"/>
  <c r="F11" i="8"/>
  <c r="F3" i="8"/>
  <c r="G14" i="7"/>
  <c r="G6" i="7"/>
  <c r="H291" i="6"/>
  <c r="H283" i="6"/>
  <c r="H275" i="6"/>
  <c r="H267" i="6"/>
  <c r="H259" i="6"/>
  <c r="H251" i="6"/>
  <c r="H243" i="6"/>
  <c r="H235" i="6"/>
  <c r="H227" i="6"/>
  <c r="H219" i="6"/>
  <c r="H211" i="6"/>
  <c r="H203" i="6"/>
  <c r="H195" i="6"/>
  <c r="H187" i="6"/>
  <c r="H179" i="6"/>
  <c r="H171" i="6"/>
  <c r="H163" i="6"/>
  <c r="H155" i="6"/>
  <c r="H147" i="6"/>
  <c r="H139" i="6"/>
  <c r="H28" i="36"/>
  <c r="B2" i="28"/>
  <c r="C829" i="25"/>
  <c r="G601" i="25"/>
  <c r="G102" i="33"/>
  <c r="I798" i="25"/>
  <c r="I47" i="26"/>
  <c r="C548" i="25"/>
  <c r="G390" i="25"/>
  <c r="C274" i="25"/>
  <c r="E160" i="25"/>
  <c r="G46" i="25"/>
  <c r="C36" i="24"/>
  <c r="D133" i="23"/>
  <c r="D5" i="23"/>
  <c r="A114" i="22"/>
  <c r="E45" i="22"/>
  <c r="O37" i="26"/>
  <c r="A836" i="25"/>
  <c r="C722" i="25"/>
  <c r="E608" i="25"/>
  <c r="H530" i="25"/>
  <c r="I454" i="25"/>
  <c r="D379" i="25"/>
  <c r="E322" i="25"/>
  <c r="F265" i="25"/>
  <c r="G208" i="25"/>
  <c r="H151" i="25"/>
  <c r="I94" i="25"/>
  <c r="A38" i="25"/>
  <c r="A90" i="24"/>
  <c r="A26" i="24"/>
  <c r="C5" i="26"/>
  <c r="I665" i="25"/>
  <c r="D493" i="25"/>
  <c r="C351" i="25"/>
  <c r="E237" i="25"/>
  <c r="G123" i="25"/>
  <c r="I9" i="25"/>
  <c r="F221" i="23"/>
  <c r="C136" i="23"/>
  <c r="A51" i="23"/>
  <c r="D202" i="22"/>
  <c r="B117" i="22"/>
  <c r="G31" i="22"/>
  <c r="A267" i="19"/>
  <c r="A203" i="19"/>
  <c r="A139" i="19"/>
  <c r="A75" i="19"/>
  <c r="I837" i="25"/>
  <c r="D610" i="25"/>
  <c r="C456" i="25"/>
  <c r="E323" i="25"/>
  <c r="G209" i="25"/>
  <c r="I95" i="25"/>
  <c r="F91" i="24"/>
  <c r="E201" i="23"/>
  <c r="B116" i="23"/>
  <c r="G30" i="23"/>
  <c r="H182" i="22"/>
  <c r="F97" i="22"/>
  <c r="E16" i="22"/>
  <c r="H252" i="19"/>
  <c r="D203" i="19"/>
  <c r="D178" i="19"/>
  <c r="H156" i="19"/>
  <c r="D135" i="19"/>
  <c r="D114" i="19"/>
  <c r="H92" i="19"/>
  <c r="D71" i="19"/>
  <c r="D50" i="19"/>
  <c r="H28" i="19"/>
  <c r="C14" i="26"/>
  <c r="A793" i="25"/>
  <c r="C679" i="25"/>
  <c r="A578" i="25"/>
  <c r="C502" i="25"/>
  <c r="D426" i="25"/>
  <c r="I357" i="25"/>
  <c r="A301" i="25"/>
  <c r="B244" i="25"/>
  <c r="C187" i="25"/>
  <c r="D130" i="25"/>
  <c r="E73" i="25"/>
  <c r="F16" i="25"/>
  <c r="D66" i="24"/>
  <c r="D2" i="24"/>
  <c r="C185" i="23"/>
  <c r="F142" i="23"/>
  <c r="A100" i="23"/>
  <c r="C57" i="23"/>
  <c r="F14" i="23"/>
  <c r="G208" i="22"/>
  <c r="B166" i="22"/>
  <c r="D123" i="22"/>
  <c r="G80" i="22"/>
  <c r="B38" i="22"/>
  <c r="H3" i="22"/>
  <c r="C271" i="19"/>
  <c r="C239" i="19"/>
  <c r="C207" i="19"/>
  <c r="C175" i="19"/>
  <c r="C143" i="19"/>
  <c r="C111" i="19"/>
  <c r="C79" i="19"/>
  <c r="B53" i="19"/>
  <c r="G31" i="19"/>
  <c r="H13" i="19"/>
  <c r="E15" i="18"/>
  <c r="E380" i="17"/>
  <c r="E372" i="17"/>
  <c r="E364" i="17"/>
  <c r="E356" i="17"/>
  <c r="E348" i="17"/>
  <c r="E340" i="17"/>
  <c r="E332" i="17"/>
  <c r="E324" i="17"/>
  <c r="E316" i="17"/>
  <c r="E308" i="17"/>
  <c r="E300" i="17"/>
  <c r="E292" i="17"/>
  <c r="E284" i="17"/>
  <c r="E276" i="17"/>
  <c r="E268" i="17"/>
  <c r="E260" i="17"/>
  <c r="E252" i="17"/>
  <c r="E244" i="17"/>
  <c r="E236" i="17"/>
  <c r="E228" i="17"/>
  <c r="E220" i="17"/>
  <c r="E212" i="17"/>
  <c r="E204" i="17"/>
  <c r="E196" i="17"/>
  <c r="E188" i="17"/>
  <c r="E180" i="17"/>
  <c r="E172" i="17"/>
  <c r="E164" i="17"/>
  <c r="E156" i="17"/>
  <c r="E148" i="17"/>
  <c r="E140" i="17"/>
  <c r="E132" i="17"/>
  <c r="E124" i="17"/>
  <c r="E116" i="17"/>
  <c r="E108" i="17"/>
  <c r="E100" i="17"/>
  <c r="E92" i="17"/>
  <c r="E84" i="17"/>
  <c r="E76" i="17"/>
  <c r="E68" i="17"/>
  <c r="E60" i="17"/>
  <c r="E52" i="17"/>
  <c r="E44" i="17"/>
  <c r="E36" i="17"/>
  <c r="E28" i="17"/>
  <c r="E20" i="17"/>
  <c r="E12" i="17"/>
  <c r="C114" i="15"/>
  <c r="C98" i="15"/>
  <c r="C82" i="15"/>
  <c r="C66" i="15"/>
  <c r="C50" i="15"/>
  <c r="C34" i="15"/>
  <c r="C18" i="15"/>
  <c r="C2" i="15"/>
  <c r="D16" i="14"/>
  <c r="A15" i="13"/>
  <c r="I57" i="33"/>
  <c r="A12" i="26"/>
  <c r="A789" i="25"/>
  <c r="C675" i="25"/>
  <c r="D575" i="25"/>
  <c r="F499" i="25"/>
  <c r="G423" i="25"/>
  <c r="I355" i="25"/>
  <c r="A299" i="25"/>
  <c r="B242" i="25"/>
  <c r="C185" i="25"/>
  <c r="D128" i="25"/>
  <c r="E71" i="25"/>
  <c r="F14" i="25"/>
  <c r="B62" i="24"/>
  <c r="B225" i="23"/>
  <c r="E182" i="23"/>
  <c r="G139" i="23"/>
  <c r="B97" i="23"/>
  <c r="E54" i="23"/>
  <c r="G11" i="23"/>
  <c r="H205" i="22"/>
  <c r="C163" i="22"/>
  <c r="F120" i="22"/>
  <c r="H77" i="22"/>
  <c r="C35" i="22"/>
  <c r="H1" i="22"/>
  <c r="B269" i="19"/>
  <c r="B237" i="19"/>
  <c r="B205" i="19"/>
  <c r="B173" i="19"/>
  <c r="B141" i="19"/>
  <c r="B109" i="19"/>
  <c r="B77" i="19"/>
  <c r="F51" i="19"/>
  <c r="C30" i="19"/>
  <c r="G12" i="19"/>
  <c r="H14" i="18"/>
  <c r="H379" i="17"/>
  <c r="L368" i="17"/>
  <c r="D358" i="17"/>
  <c r="H347" i="17"/>
  <c r="L336" i="17"/>
  <c r="D326" i="17"/>
  <c r="H315" i="17"/>
  <c r="L304" i="17"/>
  <c r="D294" i="17"/>
  <c r="H283" i="17"/>
  <c r="L272" i="17"/>
  <c r="D262" i="17"/>
  <c r="H251" i="17"/>
  <c r="L240" i="17"/>
  <c r="D230" i="17"/>
  <c r="H219" i="17"/>
  <c r="L208" i="17"/>
  <c r="D198" i="17"/>
  <c r="H187" i="17"/>
  <c r="L176" i="17"/>
  <c r="D166" i="17"/>
  <c r="H155" i="17"/>
  <c r="L144" i="17"/>
  <c r="D134" i="17"/>
  <c r="H123" i="17"/>
  <c r="L112" i="17"/>
  <c r="D102" i="17"/>
  <c r="H91" i="17"/>
  <c r="L80" i="17"/>
  <c r="D70" i="17"/>
  <c r="H59" i="17"/>
  <c r="L48" i="17"/>
  <c r="D38" i="17"/>
  <c r="H27" i="17"/>
  <c r="L16" i="17"/>
  <c r="C7" i="17"/>
  <c r="B106" i="15"/>
  <c r="B90" i="15"/>
  <c r="B74" i="15"/>
  <c r="B58" i="15"/>
  <c r="B42" i="15"/>
  <c r="B26" i="15"/>
  <c r="B10" i="15"/>
  <c r="C24" i="14"/>
  <c r="C8" i="14"/>
  <c r="D7" i="13"/>
  <c r="A222" i="12"/>
  <c r="A206" i="12"/>
  <c r="A190" i="12"/>
  <c r="A174" i="12"/>
  <c r="A158" i="12"/>
  <c r="E142" i="12"/>
  <c r="E134" i="12"/>
  <c r="E126" i="12"/>
  <c r="E118" i="12"/>
  <c r="E110" i="12"/>
  <c r="E102" i="12"/>
  <c r="E94" i="12"/>
  <c r="E86" i="12"/>
  <c r="E78" i="12"/>
  <c r="E70" i="12"/>
  <c r="E62" i="12"/>
  <c r="E54" i="12"/>
  <c r="E46" i="12"/>
  <c r="E38" i="12"/>
  <c r="E30" i="12"/>
  <c r="E22" i="12"/>
  <c r="E14" i="12"/>
  <c r="E6" i="12"/>
  <c r="F240" i="11"/>
  <c r="F232" i="11"/>
  <c r="F224" i="11"/>
  <c r="F216" i="11"/>
  <c r="F208" i="11"/>
  <c r="F200" i="11"/>
  <c r="F192" i="11"/>
  <c r="F184" i="11"/>
  <c r="F176" i="11"/>
  <c r="F168" i="11"/>
  <c r="F160" i="11"/>
  <c r="F152" i="11"/>
  <c r="F144" i="11"/>
  <c r="F136" i="11"/>
  <c r="F128" i="11"/>
  <c r="F120" i="11"/>
  <c r="F112" i="11"/>
  <c r="F104" i="11"/>
  <c r="F96" i="11"/>
  <c r="F88" i="11"/>
  <c r="F80" i="11"/>
  <c r="F72" i="11"/>
  <c r="F64" i="11"/>
  <c r="F56" i="11"/>
  <c r="F48" i="11"/>
  <c r="F40" i="11"/>
  <c r="F32" i="11"/>
  <c r="F24" i="11"/>
  <c r="F16" i="11"/>
  <c r="F8" i="11"/>
  <c r="G5" i="10"/>
  <c r="H7" i="9"/>
  <c r="E31" i="32"/>
  <c r="D890" i="25"/>
  <c r="F776" i="25"/>
  <c r="H662" i="25"/>
  <c r="B567" i="25"/>
  <c r="C491" i="25"/>
  <c r="D415" i="25"/>
  <c r="G349" i="25"/>
  <c r="H292" i="25"/>
  <c r="I235" i="25"/>
  <c r="A179" i="25"/>
  <c r="B122" i="25"/>
  <c r="C65" i="25"/>
  <c r="D8" i="25"/>
  <c r="B57" i="24"/>
  <c r="B219" i="23"/>
  <c r="E176" i="23"/>
  <c r="G133" i="23"/>
  <c r="B91" i="23"/>
  <c r="E48" i="23"/>
  <c r="G5" i="23"/>
  <c r="H199" i="22"/>
  <c r="C157" i="22"/>
  <c r="F114" i="22"/>
  <c r="H71" i="22"/>
  <c r="C29" i="22"/>
  <c r="D6" i="21"/>
  <c r="F266" i="19"/>
  <c r="F234" i="19"/>
  <c r="F202" i="19"/>
  <c r="F170" i="19"/>
  <c r="F138" i="19"/>
  <c r="F106" i="19"/>
  <c r="F74" i="19"/>
  <c r="A50" i="19"/>
  <c r="F28" i="19"/>
  <c r="E11" i="19"/>
  <c r="F13" i="18"/>
  <c r="C379" i="17"/>
  <c r="C371" i="17"/>
  <c r="C363" i="17"/>
  <c r="C355" i="17"/>
  <c r="C347" i="17"/>
  <c r="C339" i="17"/>
  <c r="C331" i="17"/>
  <c r="C323" i="17"/>
  <c r="C315" i="17"/>
  <c r="C307" i="17"/>
  <c r="C299" i="17"/>
  <c r="C291" i="17"/>
  <c r="C283" i="17"/>
  <c r="C275" i="17"/>
  <c r="C267" i="17"/>
  <c r="C259" i="17"/>
  <c r="C251" i="17"/>
  <c r="C243" i="17"/>
  <c r="C235" i="17"/>
  <c r="C227" i="17"/>
  <c r="C219" i="17"/>
  <c r="C211" i="17"/>
  <c r="C203" i="17"/>
  <c r="C195" i="17"/>
  <c r="C187" i="17"/>
  <c r="C179" i="17"/>
  <c r="C171" i="17"/>
  <c r="C163" i="17"/>
  <c r="C155" i="17"/>
  <c r="C147" i="17"/>
  <c r="C139" i="17"/>
  <c r="C131" i="17"/>
  <c r="C123" i="17"/>
  <c r="C115" i="17"/>
  <c r="C107" i="17"/>
  <c r="C99" i="17"/>
  <c r="C91" i="17"/>
  <c r="C83" i="17"/>
  <c r="C75" i="17"/>
  <c r="C67" i="17"/>
  <c r="C59" i="17"/>
  <c r="C51" i="17"/>
  <c r="C43" i="17"/>
  <c r="C35" i="17"/>
  <c r="C27" i="17"/>
  <c r="C19" i="17"/>
  <c r="C11" i="17"/>
  <c r="H114" i="15"/>
  <c r="H98" i="15"/>
  <c r="H82" i="15"/>
  <c r="H66" i="15"/>
  <c r="H50" i="15"/>
  <c r="H34" i="15"/>
  <c r="H18" i="15"/>
  <c r="H2" i="15"/>
  <c r="A16" i="14"/>
  <c r="B15" i="13"/>
  <c r="B231" i="12"/>
  <c r="D220" i="12"/>
  <c r="G209" i="12"/>
  <c r="B199" i="12"/>
  <c r="D188" i="12"/>
  <c r="G177" i="12"/>
  <c r="B167" i="12"/>
  <c r="D156" i="12"/>
  <c r="G145" i="12"/>
  <c r="B135" i="12"/>
  <c r="D124" i="12"/>
  <c r="G113" i="12"/>
  <c r="B103" i="12"/>
  <c r="D92" i="12"/>
  <c r="G81" i="12"/>
  <c r="B71" i="12"/>
  <c r="D60" i="12"/>
  <c r="G49" i="12"/>
  <c r="B39" i="12"/>
  <c r="D28" i="12"/>
  <c r="G17" i="12"/>
  <c r="B7" i="12"/>
  <c r="C238" i="11"/>
  <c r="E227" i="11"/>
  <c r="H216" i="11"/>
  <c r="C206" i="11"/>
  <c r="E195" i="11"/>
  <c r="H184" i="11"/>
  <c r="C174" i="11"/>
  <c r="E163" i="11"/>
  <c r="H152" i="11"/>
  <c r="C142" i="11"/>
  <c r="E131" i="11"/>
  <c r="H120" i="11"/>
  <c r="C110" i="11"/>
  <c r="E99" i="11"/>
  <c r="H88" i="11"/>
  <c r="C78" i="11"/>
  <c r="E67" i="11"/>
  <c r="H56" i="11"/>
  <c r="C46" i="11"/>
  <c r="E35" i="11"/>
  <c r="H24" i="11"/>
  <c r="C14" i="11"/>
  <c r="E3" i="11"/>
  <c r="G3" i="31"/>
  <c r="H886" i="25"/>
  <c r="A773" i="25"/>
  <c r="C659" i="25"/>
  <c r="G564" i="25"/>
  <c r="I488" i="25"/>
  <c r="A413" i="25"/>
  <c r="I347" i="25"/>
  <c r="A291" i="25"/>
  <c r="B234" i="25"/>
  <c r="C177" i="25"/>
  <c r="D120" i="25"/>
  <c r="E63" i="25"/>
  <c r="F6" i="25"/>
  <c r="B55" i="24"/>
  <c r="E220" i="23"/>
  <c r="G177" i="23"/>
  <c r="B135" i="23"/>
  <c r="E92" i="23"/>
  <c r="G49" i="23"/>
  <c r="B7" i="23"/>
  <c r="C201" i="22"/>
  <c r="F158" i="22"/>
  <c r="H115" i="22"/>
  <c r="C73" i="22"/>
  <c r="F30" i="22"/>
  <c r="D9" i="21"/>
  <c r="F265" i="19"/>
  <c r="F233" i="19"/>
  <c r="F201" i="19"/>
  <c r="F169" i="19"/>
  <c r="F137" i="19"/>
  <c r="F105" i="19"/>
  <c r="F73" i="19"/>
  <c r="C49" i="19"/>
  <c r="A28" i="19"/>
  <c r="A11" i="19"/>
  <c r="B13" i="18"/>
  <c r="G379" i="17"/>
  <c r="G371" i="17"/>
  <c r="G363" i="17"/>
  <c r="G355" i="17"/>
  <c r="G347" i="17"/>
  <c r="G339" i="17"/>
  <c r="G331" i="17"/>
  <c r="G323" i="17"/>
  <c r="G315" i="17"/>
  <c r="G307" i="17"/>
  <c r="G299" i="17"/>
  <c r="G291" i="17"/>
  <c r="G283" i="17"/>
  <c r="G275" i="17"/>
  <c r="G267" i="17"/>
  <c r="G259" i="17"/>
  <c r="G251" i="17"/>
  <c r="G243" i="17"/>
  <c r="G235" i="17"/>
  <c r="G227" i="17"/>
  <c r="G219" i="17"/>
  <c r="G211" i="17"/>
  <c r="G203" i="17"/>
  <c r="G195" i="17"/>
  <c r="G187" i="17"/>
  <c r="G179" i="17"/>
  <c r="G171" i="17"/>
  <c r="G163" i="17"/>
  <c r="G155" i="17"/>
  <c r="G147" i="17"/>
  <c r="G139" i="17"/>
  <c r="G131" i="17"/>
  <c r="G123" i="17"/>
  <c r="G115" i="17"/>
  <c r="G107" i="17"/>
  <c r="G99" i="17"/>
  <c r="G91" i="17"/>
  <c r="G83" i="17"/>
  <c r="G75" i="17"/>
  <c r="G67" i="17"/>
  <c r="G59" i="17"/>
  <c r="G51" i="17"/>
  <c r="G43" i="17"/>
  <c r="G35" i="17"/>
  <c r="G27" i="17"/>
  <c r="G19" i="17"/>
  <c r="G11" i="17"/>
  <c r="D114" i="15"/>
  <c r="D98" i="15"/>
  <c r="D82" i="15"/>
  <c r="D66" i="15"/>
  <c r="D50" i="15"/>
  <c r="C707" i="25"/>
  <c r="I520" i="25"/>
  <c r="I371" i="25"/>
  <c r="B258" i="25"/>
  <c r="D144" i="25"/>
  <c r="F30" i="25"/>
  <c r="B16" i="24"/>
  <c r="G151" i="23"/>
  <c r="E66" i="23"/>
  <c r="H217" i="22"/>
  <c r="F132" i="22"/>
  <c r="C47" i="22"/>
  <c r="B278" i="19"/>
  <c r="B214" i="19"/>
  <c r="B150" i="19"/>
  <c r="B86" i="19"/>
  <c r="C36" i="19"/>
  <c r="D1" i="19"/>
  <c r="L371" i="17"/>
  <c r="H350" i="17"/>
  <c r="D329" i="17"/>
  <c r="L307" i="17"/>
  <c r="H286" i="17"/>
  <c r="D265" i="17"/>
  <c r="L243" i="17"/>
  <c r="H222" i="17"/>
  <c r="D201" i="17"/>
  <c r="L179" i="17"/>
  <c r="H158" i="17"/>
  <c r="D137" i="17"/>
  <c r="L115" i="17"/>
  <c r="H94" i="17"/>
  <c r="D73" i="17"/>
  <c r="L51" i="17"/>
  <c r="H30" i="17"/>
  <c r="G9" i="17"/>
  <c r="F94" i="15"/>
  <c r="F62" i="15"/>
  <c r="F30" i="15"/>
  <c r="G28" i="14"/>
  <c r="H11" i="13"/>
  <c r="E210" i="12"/>
  <c r="E178" i="12"/>
  <c r="E146" i="12"/>
  <c r="D680" i="25"/>
  <c r="C670" i="25"/>
  <c r="C86" i="25"/>
  <c r="E158" i="22"/>
  <c r="C762" i="25"/>
  <c r="H405" i="25"/>
  <c r="H171" i="25"/>
  <c r="E48" i="24"/>
  <c r="I394" i="25"/>
  <c r="H39" i="24"/>
  <c r="B147" i="22"/>
  <c r="E161" i="19"/>
  <c r="F509" i="25"/>
  <c r="B22" i="25"/>
  <c r="H212" i="22"/>
  <c r="H218" i="19"/>
  <c r="D121" i="19"/>
  <c r="D36" i="19"/>
  <c r="F604" i="25"/>
  <c r="F320" i="25"/>
  <c r="A93" i="25"/>
  <c r="A200" i="23"/>
  <c r="C29" i="23"/>
  <c r="D95" i="22"/>
  <c r="C250" i="19"/>
  <c r="C122" i="19"/>
  <c r="D19" i="19"/>
  <c r="A367" i="17"/>
  <c r="A335" i="17"/>
  <c r="A303" i="17"/>
  <c r="A287" i="17"/>
  <c r="A271" i="17"/>
  <c r="A255" i="17"/>
  <c r="A239" i="17"/>
  <c r="A223" i="17"/>
  <c r="A207" i="17"/>
  <c r="A191" i="17"/>
  <c r="A175" i="17"/>
  <c r="A159" i="17"/>
  <c r="A143" i="17"/>
  <c r="A127" i="17"/>
  <c r="A111" i="17"/>
  <c r="A95" i="17"/>
  <c r="A79" i="17"/>
  <c r="A63" i="17"/>
  <c r="A47" i="17"/>
  <c r="A31" i="17"/>
  <c r="A15" i="17"/>
  <c r="G103" i="15"/>
  <c r="G71" i="15"/>
  <c r="G39" i="15"/>
  <c r="G7" i="15"/>
  <c r="H5" i="14"/>
  <c r="K34" i="26"/>
  <c r="D714" i="25"/>
  <c r="F525" i="25"/>
  <c r="E375" i="25"/>
  <c r="G261" i="25"/>
  <c r="I147" i="25"/>
  <c r="B34" i="25"/>
  <c r="B20" i="24"/>
  <c r="E154" i="23"/>
  <c r="B69" i="23"/>
  <c r="F220" i="22"/>
  <c r="C135" i="22"/>
  <c r="H49" i="22"/>
  <c r="B280" i="19"/>
  <c r="B216" i="19"/>
  <c r="B152" i="19"/>
  <c r="B88" i="19"/>
  <c r="F37" i="19"/>
  <c r="C2" i="19"/>
  <c r="H372" i="17"/>
  <c r="D351" i="17"/>
  <c r="L329" i="17"/>
  <c r="H308" i="17"/>
  <c r="D287" i="17"/>
  <c r="L265" i="17"/>
  <c r="H244" i="17"/>
  <c r="D223" i="17"/>
  <c r="L201" i="17"/>
  <c r="H180" i="17"/>
  <c r="D159" i="17"/>
  <c r="L137" i="17"/>
  <c r="H116" i="17"/>
  <c r="D95" i="17"/>
  <c r="L73" i="17"/>
  <c r="H52" i="17"/>
  <c r="D31" i="17"/>
  <c r="O9" i="17"/>
  <c r="F95" i="15"/>
  <c r="F63" i="15"/>
  <c r="F31" i="15"/>
  <c r="G29" i="14"/>
  <c r="H12" i="13"/>
  <c r="E211" i="12"/>
  <c r="E179" i="12"/>
  <c r="E147" i="12"/>
  <c r="A129" i="12"/>
  <c r="A113" i="12"/>
  <c r="A97" i="12"/>
  <c r="A81" i="12"/>
  <c r="A65" i="12"/>
  <c r="A49" i="12"/>
  <c r="A33" i="12"/>
  <c r="A17" i="12"/>
  <c r="B1" i="12"/>
  <c r="B227" i="11"/>
  <c r="B211" i="11"/>
  <c r="B195" i="11"/>
  <c r="B179" i="11"/>
  <c r="B163" i="11"/>
  <c r="B147" i="11"/>
  <c r="B131" i="11"/>
  <c r="B115" i="11"/>
  <c r="B99" i="11"/>
  <c r="B83" i="11"/>
  <c r="B67" i="11"/>
  <c r="B51" i="11"/>
  <c r="B35" i="11"/>
  <c r="B19" i="11"/>
  <c r="B3" i="11"/>
  <c r="D2" i="9"/>
  <c r="B812" i="25"/>
  <c r="H590" i="25"/>
  <c r="B439" i="25"/>
  <c r="F310" i="25"/>
  <c r="H196" i="25"/>
  <c r="A83" i="25"/>
  <c r="B77" i="24"/>
  <c r="G189" i="23"/>
  <c r="E104" i="23"/>
  <c r="B19" i="23"/>
  <c r="F170" i="22"/>
  <c r="C85" i="22"/>
  <c r="C7" i="22"/>
  <c r="F244" i="19"/>
  <c r="F180" i="19"/>
  <c r="F116" i="19"/>
  <c r="F56" i="19"/>
  <c r="E16" i="19"/>
  <c r="F2" i="18"/>
  <c r="K365" i="17"/>
  <c r="K349" i="17"/>
  <c r="K333" i="17"/>
  <c r="K317" i="17"/>
  <c r="K301" i="17"/>
  <c r="K285" i="17"/>
  <c r="K269" i="17"/>
  <c r="K253" i="17"/>
  <c r="K237" i="17"/>
  <c r="K221" i="17"/>
  <c r="K205" i="17"/>
  <c r="K189" i="17"/>
  <c r="K173" i="17"/>
  <c r="K157" i="17"/>
  <c r="K141" i="17"/>
  <c r="K125" i="17"/>
  <c r="K109" i="17"/>
  <c r="K93" i="17"/>
  <c r="K77" i="17"/>
  <c r="K61" i="17"/>
  <c r="K45" i="17"/>
  <c r="K29" i="17"/>
  <c r="K13" i="17"/>
  <c r="H103" i="15"/>
  <c r="H71" i="15"/>
  <c r="H39" i="15"/>
  <c r="H7" i="15"/>
  <c r="A5" i="14"/>
  <c r="G223" i="12"/>
  <c r="D202" i="12"/>
  <c r="B181" i="12"/>
  <c r="G159" i="12"/>
  <c r="D138" i="12"/>
  <c r="B117" i="12"/>
  <c r="G95" i="12"/>
  <c r="D74" i="12"/>
  <c r="B53" i="12"/>
  <c r="G31" i="12"/>
  <c r="D18" i="12"/>
  <c r="G7" i="12"/>
  <c r="H238" i="11"/>
  <c r="C228" i="11"/>
  <c r="E217" i="11"/>
  <c r="H206" i="11"/>
  <c r="C196" i="11"/>
  <c r="E185" i="11"/>
  <c r="H174" i="11"/>
  <c r="C164" i="11"/>
  <c r="E153" i="11"/>
  <c r="H142" i="11"/>
  <c r="C132" i="11"/>
  <c r="E121" i="11"/>
  <c r="H110" i="11"/>
  <c r="C100" i="11"/>
  <c r="E89" i="11"/>
  <c r="H78" i="11"/>
  <c r="C68" i="11"/>
  <c r="E57" i="11"/>
  <c r="H46" i="11"/>
  <c r="C36" i="11"/>
  <c r="E25" i="11"/>
  <c r="H14" i="11"/>
  <c r="C4" i="11"/>
  <c r="F12" i="32"/>
  <c r="G5" i="26"/>
  <c r="B780" i="25"/>
  <c r="D666" i="25"/>
  <c r="E569" i="25"/>
  <c r="F493" i="25"/>
  <c r="H417" i="25"/>
  <c r="E351" i="25"/>
  <c r="F294" i="25"/>
  <c r="G237" i="25"/>
  <c r="H180" i="25"/>
  <c r="I123" i="25"/>
  <c r="A67" i="25"/>
  <c r="B10" i="25"/>
  <c r="B59" i="24"/>
  <c r="B223" i="23"/>
  <c r="E180" i="23"/>
  <c r="G137" i="23"/>
  <c r="B95" i="23"/>
  <c r="E52" i="23"/>
  <c r="G9" i="23"/>
  <c r="H203" i="22"/>
  <c r="C161" i="22"/>
  <c r="F118" i="22"/>
  <c r="H75" i="22"/>
  <c r="C33" i="22"/>
  <c r="D1" i="22"/>
  <c r="F267" i="19"/>
  <c r="F235" i="19"/>
  <c r="F203" i="19"/>
  <c r="F171" i="19"/>
  <c r="F139" i="19"/>
  <c r="F107" i="19"/>
  <c r="F75" i="19"/>
  <c r="F50" i="19"/>
  <c r="C29" i="19"/>
  <c r="A12" i="19"/>
  <c r="B14" i="18"/>
  <c r="O379" i="17"/>
  <c r="O371" i="17"/>
  <c r="O363" i="17"/>
  <c r="O355" i="17"/>
  <c r="O347" i="17"/>
  <c r="O339" i="17"/>
  <c r="O331" i="17"/>
  <c r="O323" i="17"/>
  <c r="O315" i="17"/>
  <c r="O307" i="17"/>
  <c r="O299" i="17"/>
  <c r="O291" i="17"/>
  <c r="O283" i="17"/>
  <c r="O275" i="17"/>
  <c r="O267" i="17"/>
  <c r="O259" i="17"/>
  <c r="O251" i="17"/>
  <c r="O243" i="17"/>
  <c r="O235" i="17"/>
  <c r="O227" i="17"/>
  <c r="O219" i="17"/>
  <c r="O211" i="17"/>
  <c r="O203" i="17"/>
  <c r="O195" i="17"/>
  <c r="O187" i="17"/>
  <c r="O179" i="17"/>
  <c r="O171" i="17"/>
  <c r="O163" i="17"/>
  <c r="O155" i="17"/>
  <c r="O147" i="17"/>
  <c r="O139" i="17"/>
  <c r="O131" i="17"/>
  <c r="O123" i="17"/>
  <c r="O115" i="17"/>
  <c r="O107" i="17"/>
  <c r="O99" i="17"/>
  <c r="O91" i="17"/>
  <c r="O83" i="17"/>
  <c r="O75" i="17"/>
  <c r="O67" i="17"/>
  <c r="O59" i="17"/>
  <c r="O51" i="17"/>
  <c r="O43" i="17"/>
  <c r="O35" i="17"/>
  <c r="O27" i="17"/>
  <c r="O19" i="17"/>
  <c r="O11" i="17"/>
  <c r="D115" i="15"/>
  <c r="D99" i="15"/>
  <c r="D83" i="15"/>
  <c r="D67" i="15"/>
  <c r="D51" i="15"/>
  <c r="D35" i="15"/>
  <c r="D19" i="15"/>
  <c r="D3" i="15"/>
  <c r="E17" i="14"/>
  <c r="F1" i="14"/>
  <c r="B1" i="13"/>
  <c r="D221" i="12"/>
  <c r="G210" i="12"/>
  <c r="B200" i="12"/>
  <c r="D189" i="12"/>
  <c r="G178" i="12"/>
  <c r="B168" i="12"/>
  <c r="D157" i="12"/>
  <c r="G146" i="12"/>
  <c r="B136" i="12"/>
  <c r="D125" i="12"/>
  <c r="G114" i="12"/>
  <c r="B104" i="12"/>
  <c r="D93" i="12"/>
  <c r="G82" i="12"/>
  <c r="B72" i="12"/>
  <c r="D61" i="12"/>
  <c r="G50" i="12"/>
  <c r="B40" i="12"/>
  <c r="D29" i="12"/>
  <c r="G18" i="12"/>
  <c r="B8" i="12"/>
  <c r="H239" i="11"/>
  <c r="C229" i="11"/>
  <c r="E218" i="11"/>
  <c r="H207" i="11"/>
  <c r="C197" i="11"/>
  <c r="E186" i="11"/>
  <c r="H175" i="11"/>
  <c r="C165" i="11"/>
  <c r="E154" i="11"/>
  <c r="H143" i="11"/>
  <c r="C133" i="11"/>
  <c r="E122" i="11"/>
  <c r="H111" i="11"/>
  <c r="C101" i="11"/>
  <c r="E90" i="11"/>
  <c r="H79" i="11"/>
  <c r="C69" i="11"/>
  <c r="E58" i="11"/>
  <c r="H47" i="11"/>
  <c r="C37" i="11"/>
  <c r="E26" i="11"/>
  <c r="H15" i="11"/>
  <c r="C5" i="11"/>
  <c r="I865" i="25"/>
  <c r="D638" i="25"/>
  <c r="I474" i="25"/>
  <c r="E337" i="25"/>
  <c r="G223" i="25"/>
  <c r="I109" i="25"/>
  <c r="D107" i="24"/>
  <c r="C215" i="23"/>
  <c r="A130" i="23"/>
  <c r="F44" i="23"/>
  <c r="G198" i="22"/>
  <c r="D113" i="22"/>
  <c r="D28" i="22"/>
  <c r="G263" i="19"/>
  <c r="G199" i="19"/>
  <c r="G135" i="19"/>
  <c r="G71" i="19"/>
  <c r="G26" i="19"/>
  <c r="C13" i="18"/>
  <c r="F370" i="17"/>
  <c r="F354" i="17"/>
  <c r="F338" i="17"/>
  <c r="F322" i="17"/>
  <c r="F306" i="17"/>
  <c r="F290" i="17"/>
  <c r="F274" i="17"/>
  <c r="F258" i="17"/>
  <c r="F242" i="17"/>
  <c r="F226" i="17"/>
  <c r="F210" i="17"/>
  <c r="F194" i="17"/>
  <c r="F178" i="17"/>
  <c r="F162" i="17"/>
  <c r="F146" i="17"/>
  <c r="F130" i="17"/>
  <c r="F114" i="17"/>
  <c r="F98" i="17"/>
  <c r="F82" i="17"/>
  <c r="F66" i="17"/>
  <c r="F50" i="17"/>
  <c r="F34" i="17"/>
  <c r="F18" i="17"/>
  <c r="E112" i="15"/>
  <c r="E80" i="15"/>
  <c r="E48" i="15"/>
  <c r="E16" i="15"/>
  <c r="F15" i="14"/>
  <c r="F229" i="12"/>
  <c r="C208" i="12"/>
  <c r="H186" i="12"/>
  <c r="F165" i="12"/>
  <c r="C144" i="12"/>
  <c r="H122" i="12"/>
  <c r="F101" i="12"/>
  <c r="C80" i="12"/>
  <c r="H58" i="12"/>
  <c r="F37" i="12"/>
  <c r="C16" i="12"/>
  <c r="G236" i="11"/>
  <c r="D215" i="11"/>
  <c r="A194" i="11"/>
  <c r="G172" i="11"/>
  <c r="D151" i="11"/>
  <c r="A130" i="11"/>
  <c r="G108" i="11"/>
  <c r="D87" i="11"/>
  <c r="A66" i="11"/>
  <c r="G44" i="11"/>
  <c r="D23" i="11"/>
  <c r="A2" i="11"/>
  <c r="G5" i="9"/>
  <c r="H35" i="8"/>
  <c r="H27" i="8"/>
  <c r="H19" i="8"/>
  <c r="H11" i="8"/>
  <c r="H3" i="8"/>
  <c r="E14" i="7"/>
  <c r="E6" i="7"/>
  <c r="F291" i="6"/>
  <c r="F283" i="6"/>
  <c r="F275" i="6"/>
  <c r="F267" i="6"/>
  <c r="F259" i="6"/>
  <c r="F251" i="6"/>
  <c r="F243" i="6"/>
  <c r="F235" i="6"/>
  <c r="F227" i="6"/>
  <c r="F219" i="6"/>
  <c r="F211" i="6"/>
  <c r="F203" i="6"/>
  <c r="F195" i="6"/>
  <c r="F187" i="6"/>
  <c r="F179" i="6"/>
  <c r="F171" i="6"/>
  <c r="F163" i="6"/>
  <c r="F155" i="6"/>
  <c r="F147" i="6"/>
  <c r="F139" i="6"/>
  <c r="F131" i="6"/>
  <c r="F123" i="6"/>
  <c r="F115" i="6"/>
  <c r="F107" i="6"/>
  <c r="F99" i="6"/>
  <c r="F91" i="6"/>
  <c r="F83" i="6"/>
  <c r="F75" i="6"/>
  <c r="F67" i="6"/>
  <c r="F59" i="6"/>
  <c r="F51" i="6"/>
  <c r="F43" i="6"/>
  <c r="F35" i="6"/>
  <c r="F27" i="6"/>
  <c r="F19" i="6"/>
  <c r="F11" i="6"/>
  <c r="F3" i="6"/>
  <c r="S411" i="5"/>
  <c r="O408" i="5"/>
  <c r="K405" i="5"/>
  <c r="G402" i="5"/>
  <c r="C399" i="5"/>
  <c r="S395" i="5"/>
  <c r="O392" i="5"/>
  <c r="K389" i="5"/>
  <c r="G386" i="5"/>
  <c r="C383" i="5"/>
  <c r="S379" i="5"/>
  <c r="O376" i="5"/>
  <c r="K373" i="5"/>
  <c r="G370" i="5"/>
  <c r="C367" i="5"/>
  <c r="S363" i="5"/>
  <c r="O360" i="5"/>
  <c r="K357" i="5"/>
  <c r="G354" i="5"/>
  <c r="C351" i="5"/>
  <c r="S347" i="5"/>
  <c r="O344" i="5"/>
  <c r="K341" i="5"/>
  <c r="G338" i="5"/>
  <c r="C335" i="5"/>
  <c r="S331" i="5"/>
  <c r="O328" i="5"/>
  <c r="K325" i="5"/>
  <c r="G322" i="5"/>
  <c r="C319" i="5"/>
  <c r="S315" i="5"/>
  <c r="O312" i="5"/>
  <c r="K309" i="5"/>
  <c r="G306" i="5"/>
  <c r="C303" i="5"/>
  <c r="S299" i="5"/>
  <c r="O296" i="5"/>
  <c r="K293" i="5"/>
  <c r="G290" i="5"/>
  <c r="C287" i="5"/>
  <c r="S283" i="5"/>
  <c r="O280" i="5"/>
  <c r="K277" i="5"/>
  <c r="G274" i="5"/>
  <c r="C271" i="5"/>
  <c r="S267" i="5"/>
  <c r="O264" i="5"/>
  <c r="K261" i="5"/>
  <c r="G258" i="5"/>
  <c r="C255" i="5"/>
  <c r="S251" i="5"/>
  <c r="O248" i="5"/>
  <c r="K245" i="5"/>
  <c r="G242" i="5"/>
  <c r="C239" i="5"/>
  <c r="S235" i="5"/>
  <c r="O232" i="5"/>
  <c r="K229" i="5"/>
  <c r="G226" i="5"/>
  <c r="C223" i="5"/>
  <c r="S219" i="5"/>
  <c r="O216" i="5"/>
  <c r="K213" i="5"/>
  <c r="G210" i="5"/>
  <c r="C207" i="5"/>
  <c r="S203" i="5"/>
  <c r="O200" i="5"/>
  <c r="K197" i="5"/>
  <c r="G194" i="5"/>
  <c r="C191" i="5"/>
  <c r="S187" i="5"/>
  <c r="O184" i="5"/>
  <c r="K181" i="5"/>
  <c r="G178" i="5"/>
  <c r="C175" i="5"/>
  <c r="S171" i="5"/>
  <c r="O168" i="5"/>
  <c r="K165" i="5"/>
  <c r="G162" i="5"/>
  <c r="C159" i="5"/>
  <c r="S155" i="5"/>
  <c r="O152" i="5"/>
  <c r="K149" i="5"/>
  <c r="G146" i="5"/>
  <c r="C143" i="5"/>
  <c r="S139" i="5"/>
  <c r="O136" i="5"/>
  <c r="K133" i="5"/>
  <c r="G130" i="5"/>
  <c r="C127" i="5"/>
  <c r="S123" i="5"/>
  <c r="O120" i="5"/>
  <c r="K117" i="5"/>
  <c r="G114" i="5"/>
  <c r="C111" i="5"/>
  <c r="S107" i="5"/>
  <c r="O104" i="5"/>
  <c r="K101" i="5"/>
  <c r="G98" i="5"/>
  <c r="C95" i="5"/>
  <c r="S91" i="5"/>
  <c r="O88" i="5"/>
  <c r="K85" i="5"/>
  <c r="G82" i="5"/>
  <c r="C79" i="5"/>
  <c r="S75" i="5"/>
  <c r="O72" i="5"/>
  <c r="K69" i="5"/>
  <c r="G66" i="5"/>
  <c r="C63" i="5"/>
  <c r="S59" i="5"/>
  <c r="O56" i="5"/>
  <c r="K53" i="5"/>
  <c r="G50" i="5"/>
  <c r="C47" i="5"/>
  <c r="S43" i="5"/>
  <c r="O40" i="5"/>
  <c r="K37" i="5"/>
  <c r="G34" i="5"/>
  <c r="C31" i="5"/>
  <c r="S27" i="5"/>
  <c r="O24" i="5"/>
  <c r="K21" i="5"/>
  <c r="G18" i="5"/>
  <c r="C15" i="5"/>
  <c r="R11" i="5"/>
  <c r="N8" i="5"/>
  <c r="G412" i="3"/>
  <c r="H408" i="3"/>
  <c r="J404" i="3"/>
  <c r="J400" i="3"/>
  <c r="AE396" i="3"/>
  <c r="AF392" i="3"/>
  <c r="AG388" i="3"/>
  <c r="AG384" i="3"/>
  <c r="AH380" i="3"/>
  <c r="AJ376" i="3"/>
  <c r="B373" i="3"/>
  <c r="B369" i="3"/>
  <c r="B365" i="3"/>
  <c r="B361" i="3"/>
  <c r="C357" i="3"/>
  <c r="D353" i="3"/>
  <c r="E349" i="3"/>
  <c r="G345" i="3"/>
  <c r="G341" i="3"/>
  <c r="I337" i="3"/>
  <c r="AE333" i="3"/>
  <c r="AG329" i="3"/>
  <c r="AH325" i="3"/>
  <c r="AJ321" i="3"/>
  <c r="AJ317" i="3"/>
  <c r="AJ313" i="3"/>
  <c r="A310" i="3"/>
  <c r="C306" i="3"/>
  <c r="C302" i="3"/>
  <c r="D298" i="3"/>
  <c r="D294" i="3"/>
  <c r="E290" i="3"/>
  <c r="F286" i="3"/>
  <c r="F282" i="3"/>
  <c r="F278" i="3"/>
  <c r="F274" i="3"/>
  <c r="F270" i="3"/>
  <c r="G266" i="3"/>
  <c r="G262" i="3"/>
  <c r="H258" i="3"/>
  <c r="I254" i="3"/>
  <c r="J250" i="3"/>
  <c r="AE246" i="3"/>
  <c r="AF242" i="3"/>
  <c r="AF238" i="3"/>
  <c r="AG234" i="3"/>
  <c r="AG230" i="3"/>
  <c r="AH226" i="3"/>
  <c r="AH222" i="3"/>
  <c r="AI218" i="3"/>
  <c r="AI214" i="3"/>
  <c r="AI210" i="3"/>
  <c r="AJ206" i="3"/>
  <c r="AJ202" i="3"/>
  <c r="AJ198" i="3"/>
  <c r="B195" i="3"/>
  <c r="E191" i="3"/>
  <c r="F187" i="3"/>
  <c r="G183" i="3"/>
  <c r="H179" i="3"/>
  <c r="J175" i="3"/>
  <c r="J171" i="3"/>
  <c r="J167" i="3"/>
  <c r="AE163" i="3"/>
  <c r="AE159" i="3"/>
  <c r="AG155" i="3"/>
  <c r="AH151" i="3"/>
  <c r="AI147" i="3"/>
  <c r="AI143" i="3"/>
  <c r="AI139" i="3"/>
  <c r="AJ135" i="3"/>
  <c r="AJ131" i="3"/>
  <c r="AJ127" i="3"/>
  <c r="A124" i="3"/>
  <c r="B120" i="3"/>
  <c r="B116" i="3"/>
  <c r="D112" i="3"/>
  <c r="D108" i="3"/>
  <c r="D104" i="3"/>
  <c r="D100" i="3"/>
  <c r="F96" i="3"/>
  <c r="G92" i="3"/>
  <c r="H88" i="3"/>
  <c r="H84" i="3"/>
  <c r="H80" i="3"/>
  <c r="I76" i="3"/>
  <c r="I72" i="3"/>
  <c r="J68" i="3"/>
  <c r="J64" i="3"/>
  <c r="AE60" i="3"/>
  <c r="AG56" i="3"/>
  <c r="AG52" i="3"/>
  <c r="AG48" i="3"/>
  <c r="AG44" i="3"/>
  <c r="AH40" i="3"/>
  <c r="AI36" i="3"/>
  <c r="AI32" i="3"/>
  <c r="AJ28" i="3"/>
  <c r="C26" i="35"/>
  <c r="I801" i="25"/>
  <c r="A584" i="25"/>
  <c r="C432" i="25"/>
  <c r="E305" i="25"/>
  <c r="G191" i="25"/>
  <c r="I77" i="25"/>
  <c r="D71" i="24"/>
  <c r="A186" i="23"/>
  <c r="F100" i="23"/>
  <c r="C15" i="23"/>
  <c r="D169" i="22"/>
  <c r="B84" i="22"/>
  <c r="D6" i="22"/>
  <c r="G241" i="19"/>
  <c r="G177" i="19"/>
  <c r="G113" i="19"/>
  <c r="G54" i="19"/>
  <c r="B15" i="19"/>
  <c r="D1" i="18"/>
  <c r="N365" i="17"/>
  <c r="N349" i="17"/>
  <c r="N333" i="17"/>
  <c r="N317" i="17"/>
  <c r="N301" i="17"/>
  <c r="N285" i="17"/>
  <c r="N269" i="17"/>
  <c r="N253" i="17"/>
  <c r="N237" i="17"/>
  <c r="N221" i="17"/>
  <c r="N205" i="17"/>
  <c r="N189" i="17"/>
  <c r="N173" i="17"/>
  <c r="N157" i="17"/>
  <c r="N141" i="17"/>
  <c r="N125" i="17"/>
  <c r="N109" i="17"/>
  <c r="N93" i="17"/>
  <c r="N77" i="17"/>
  <c r="N61" i="17"/>
  <c r="N45" i="17"/>
  <c r="N29" i="17"/>
  <c r="N13" i="17"/>
  <c r="E103" i="15"/>
  <c r="E71" i="15"/>
  <c r="E39" i="15"/>
  <c r="E7" i="15"/>
  <c r="F4" i="14"/>
  <c r="H224" i="12"/>
  <c r="F203" i="12"/>
  <c r="C182" i="12"/>
  <c r="H160" i="12"/>
  <c r="F139" i="12"/>
  <c r="C118" i="12"/>
  <c r="H96" i="12"/>
  <c r="F75" i="12"/>
  <c r="C54" i="12"/>
  <c r="H32" i="12"/>
  <c r="F11" i="12"/>
  <c r="A232" i="11"/>
  <c r="G210" i="11"/>
  <c r="D189" i="11"/>
  <c r="A168" i="11"/>
  <c r="G146" i="11"/>
  <c r="D125" i="11"/>
  <c r="A104" i="11"/>
  <c r="G82" i="11"/>
  <c r="D61" i="11"/>
  <c r="A40" i="11"/>
  <c r="G18" i="11"/>
  <c r="B4" i="10"/>
  <c r="G2" i="9"/>
  <c r="F33" i="8"/>
  <c r="F25" i="8"/>
  <c r="F17" i="8"/>
  <c r="F9" i="8"/>
  <c r="G1" i="8"/>
  <c r="G12" i="7"/>
  <c r="G4" i="7"/>
  <c r="H289" i="6"/>
  <c r="H281" i="6"/>
  <c r="H273" i="6"/>
  <c r="H265" i="6"/>
  <c r="H257" i="6"/>
  <c r="H249" i="6"/>
  <c r="H241" i="6"/>
  <c r="H233" i="6"/>
  <c r="H225" i="6"/>
  <c r="H217" i="6"/>
  <c r="H209" i="6"/>
  <c r="H201" i="6"/>
  <c r="H193" i="6"/>
  <c r="H185" i="6"/>
  <c r="H177" i="6"/>
  <c r="H169" i="6"/>
  <c r="H161" i="6"/>
  <c r="H153" i="6"/>
  <c r="H145" i="6"/>
  <c r="C44" i="43"/>
  <c r="B28" i="36"/>
  <c r="F6" i="32"/>
  <c r="D772" i="25"/>
  <c r="H544" i="25"/>
  <c r="K48" i="26"/>
  <c r="A742" i="25"/>
  <c r="C854" i="25"/>
  <c r="E504" i="25"/>
  <c r="F359" i="25"/>
  <c r="H245" i="25"/>
  <c r="A132" i="25"/>
  <c r="C18" i="25"/>
  <c r="C4" i="24"/>
  <c r="D101" i="23"/>
  <c r="A210" i="22"/>
  <c r="E93" i="22"/>
  <c r="E29" i="22"/>
  <c r="O21" i="26"/>
  <c r="F807" i="25"/>
  <c r="H693" i="25"/>
  <c r="G587" i="25"/>
  <c r="H511" i="25"/>
  <c r="A436" i="25"/>
  <c r="B365" i="25"/>
  <c r="C308" i="25"/>
  <c r="D251" i="25"/>
  <c r="E194" i="25"/>
  <c r="F137" i="25"/>
  <c r="G80" i="25"/>
  <c r="H23" i="25"/>
  <c r="A74" i="24"/>
  <c r="A10" i="24"/>
  <c r="F836" i="25"/>
  <c r="A609" i="25"/>
  <c r="D455" i="25"/>
  <c r="H322" i="25"/>
  <c r="A209" i="25"/>
  <c r="C95" i="25"/>
  <c r="H90" i="24"/>
  <c r="C200" i="23"/>
  <c r="A115" i="23"/>
  <c r="F29" i="23"/>
  <c r="B181" i="22"/>
  <c r="G95" i="22"/>
  <c r="B15" i="22"/>
  <c r="A251" i="19"/>
  <c r="A187" i="19"/>
  <c r="A123" i="19"/>
  <c r="E28" i="33"/>
  <c r="A781" i="25"/>
  <c r="A570" i="25"/>
  <c r="D418" i="25"/>
  <c r="A295" i="25"/>
  <c r="C181" i="25"/>
  <c r="E67" i="25"/>
  <c r="F59" i="24"/>
  <c r="B180" i="23"/>
  <c r="G94" i="23"/>
  <c r="E9" i="23"/>
  <c r="F161" i="22"/>
  <c r="C76" i="22"/>
  <c r="F10" i="21"/>
  <c r="H236" i="19"/>
  <c r="H196" i="19"/>
  <c r="H172" i="19"/>
  <c r="D151" i="19"/>
  <c r="D130" i="19"/>
  <c r="H108" i="19"/>
  <c r="D87" i="19"/>
  <c r="D66" i="19"/>
  <c r="H44" i="19"/>
  <c r="E9" i="34"/>
  <c r="D878" i="25"/>
  <c r="F764" i="25"/>
  <c r="H650" i="25"/>
  <c r="B559" i="25"/>
  <c r="C483" i="25"/>
  <c r="D407" i="25"/>
  <c r="G343" i="25"/>
  <c r="H286" i="25"/>
  <c r="I229" i="25"/>
  <c r="A173" i="25"/>
  <c r="B116" i="25"/>
  <c r="C59" i="25"/>
  <c r="D114" i="24"/>
  <c r="D50" i="24"/>
  <c r="C217" i="23"/>
  <c r="F174" i="23"/>
  <c r="A132" i="23"/>
  <c r="C89" i="23"/>
  <c r="F46" i="23"/>
  <c r="A4" i="23"/>
  <c r="B198" i="22"/>
  <c r="D155" i="22"/>
  <c r="G112" i="22"/>
  <c r="B70" i="22"/>
  <c r="H27" i="22"/>
  <c r="A5" i="21"/>
  <c r="C263" i="19"/>
  <c r="C231" i="19"/>
  <c r="C199" i="19"/>
  <c r="C167" i="19"/>
  <c r="C135" i="19"/>
  <c r="C103" i="19"/>
  <c r="C71" i="19"/>
  <c r="G47" i="19"/>
  <c r="E26" i="19"/>
  <c r="H9" i="19"/>
  <c r="E11" i="18"/>
  <c r="E378" i="17"/>
  <c r="E370" i="17"/>
  <c r="E362" i="17"/>
  <c r="E354" i="17"/>
  <c r="E346" i="17"/>
  <c r="E338" i="17"/>
  <c r="E330" i="17"/>
  <c r="E322" i="17"/>
  <c r="E314" i="17"/>
  <c r="E306" i="17"/>
  <c r="E298" i="17"/>
  <c r="E290" i="17"/>
  <c r="E282" i="17"/>
  <c r="E274" i="17"/>
  <c r="E266" i="17"/>
  <c r="E258" i="17"/>
  <c r="E250" i="17"/>
  <c r="E242" i="17"/>
  <c r="E234" i="17"/>
  <c r="E226" i="17"/>
  <c r="E218" i="17"/>
  <c r="E210" i="17"/>
  <c r="E202" i="17"/>
  <c r="E194" i="17"/>
  <c r="E186" i="17"/>
  <c r="E178" i="17"/>
  <c r="E170" i="17"/>
  <c r="E162" i="17"/>
  <c r="E154" i="17"/>
  <c r="E146" i="17"/>
  <c r="E138" i="17"/>
  <c r="E130" i="17"/>
  <c r="E122" i="17"/>
  <c r="E114" i="17"/>
  <c r="E106" i="17"/>
  <c r="E98" i="17"/>
  <c r="E90" i="17"/>
  <c r="E82" i="17"/>
  <c r="E74" i="17"/>
  <c r="E66" i="17"/>
  <c r="E58" i="17"/>
  <c r="E50" i="17"/>
  <c r="E42" i="17"/>
  <c r="E34" i="17"/>
  <c r="E26" i="17"/>
  <c r="E18" i="17"/>
  <c r="D10" i="17"/>
  <c r="C110" i="15"/>
  <c r="C94" i="15"/>
  <c r="C78" i="15"/>
  <c r="C62" i="15"/>
  <c r="C46" i="15"/>
  <c r="C30" i="15"/>
  <c r="C14" i="15"/>
  <c r="D28" i="14"/>
  <c r="D12" i="14"/>
  <c r="A11" i="13"/>
  <c r="A4" i="28"/>
  <c r="D874" i="25"/>
  <c r="F760" i="25"/>
  <c r="H646" i="25"/>
  <c r="E556" i="25"/>
  <c r="F480" i="25"/>
  <c r="G404" i="25"/>
  <c r="G341" i="25"/>
  <c r="H284" i="25"/>
  <c r="I227" i="25"/>
  <c r="A171" i="25"/>
  <c r="B114" i="25"/>
  <c r="C57" i="25"/>
  <c r="B110" i="24"/>
  <c r="B46" i="24"/>
  <c r="E214" i="23"/>
  <c r="G171" i="23"/>
  <c r="B129" i="23"/>
  <c r="E86" i="23"/>
  <c r="G43" i="23"/>
  <c r="H237" i="22"/>
  <c r="C195" i="22"/>
  <c r="F152" i="22"/>
  <c r="H109" i="22"/>
  <c r="C67" i="22"/>
  <c r="G25" i="22"/>
  <c r="H3" i="21"/>
  <c r="B261" i="19"/>
  <c r="B229" i="19"/>
  <c r="B197" i="19"/>
  <c r="B69" i="19"/>
  <c r="H10" i="18"/>
  <c r="L344" i="17"/>
  <c r="D302" i="17"/>
  <c r="H259" i="17"/>
  <c r="L216" i="17"/>
  <c r="D174" i="17"/>
  <c r="H131" i="17"/>
  <c r="L88" i="17"/>
  <c r="D46" i="17"/>
  <c r="B5" i="17"/>
  <c r="B54" i="15"/>
  <c r="C20" i="14"/>
  <c r="A202" i="12"/>
  <c r="E140" i="12"/>
  <c r="E108" i="12"/>
  <c r="E76" i="12"/>
  <c r="E44" i="12"/>
  <c r="E12" i="12"/>
  <c r="F222" i="11"/>
  <c r="F190" i="11"/>
  <c r="F158" i="11"/>
  <c r="F126" i="11"/>
  <c r="F94" i="11"/>
  <c r="F62" i="11"/>
  <c r="F30" i="11"/>
  <c r="G3" i="10"/>
  <c r="B748" i="25"/>
  <c r="E396" i="25"/>
  <c r="H164" i="25"/>
  <c r="B41" i="24"/>
  <c r="E80" i="23"/>
  <c r="F146" i="22"/>
  <c r="E4" i="20"/>
  <c r="F162" i="19"/>
  <c r="F44" i="19"/>
  <c r="C377" i="17"/>
  <c r="C345" i="17"/>
  <c r="C313" i="17"/>
  <c r="C281" i="17"/>
  <c r="C249" i="17"/>
  <c r="C217" i="17"/>
  <c r="C185" i="17"/>
  <c r="C153" i="17"/>
  <c r="C121" i="17"/>
  <c r="C89" i="17"/>
  <c r="C57" i="17"/>
  <c r="C25" i="17"/>
  <c r="H94" i="15"/>
  <c r="H30" i="15"/>
  <c r="B11" i="13"/>
  <c r="D196" i="12"/>
  <c r="G153" i="12"/>
  <c r="B111" i="12"/>
  <c r="D68" i="12"/>
  <c r="G25" i="12"/>
  <c r="H224" i="11"/>
  <c r="C182" i="11"/>
  <c r="E139" i="11"/>
  <c r="H96" i="11"/>
  <c r="C54" i="11"/>
  <c r="E11" i="11"/>
  <c r="F744" i="25"/>
  <c r="A394" i="25"/>
  <c r="A163" i="25"/>
  <c r="B39" i="24"/>
  <c r="G81" i="23"/>
  <c r="H147" i="22"/>
  <c r="E5" i="20"/>
  <c r="F161" i="19"/>
  <c r="A44" i="19"/>
  <c r="G377" i="17"/>
  <c r="G345" i="17"/>
  <c r="G313" i="17"/>
  <c r="G281" i="17"/>
  <c r="G249" i="17"/>
  <c r="G217" i="17"/>
  <c r="G185" i="17"/>
  <c r="G153" i="17"/>
  <c r="G121" i="17"/>
  <c r="G89" i="17"/>
  <c r="G57" i="17"/>
  <c r="G25" i="17"/>
  <c r="F7" i="17"/>
  <c r="D94" i="15"/>
  <c r="D74" i="15"/>
  <c r="D54" i="15"/>
  <c r="D34" i="15"/>
  <c r="D18" i="15"/>
  <c r="D2" i="15"/>
  <c r="E16" i="14"/>
  <c r="F15" i="13"/>
  <c r="D231" i="12"/>
  <c r="G220" i="12"/>
  <c r="B210" i="12"/>
  <c r="D199" i="12"/>
  <c r="G188" i="12"/>
  <c r="B178" i="12"/>
  <c r="D167" i="12"/>
  <c r="G156" i="12"/>
  <c r="B146" i="12"/>
  <c r="D135" i="12"/>
  <c r="G124" i="12"/>
  <c r="B114" i="12"/>
  <c r="D103" i="12"/>
  <c r="G92" i="12"/>
  <c r="B82" i="12"/>
  <c r="D71" i="12"/>
  <c r="G60" i="12"/>
  <c r="B50" i="12"/>
  <c r="D39" i="12"/>
  <c r="G28" i="12"/>
  <c r="B18" i="12"/>
  <c r="D7" i="12"/>
  <c r="C239" i="11"/>
  <c r="E228" i="11"/>
  <c r="H217" i="11"/>
  <c r="C207" i="11"/>
  <c r="E196" i="11"/>
  <c r="H185" i="11"/>
  <c r="C175" i="11"/>
  <c r="E164" i="11"/>
  <c r="H153" i="11"/>
  <c r="C143" i="11"/>
  <c r="E132" i="11"/>
  <c r="H121" i="11"/>
  <c r="C111" i="11"/>
  <c r="E100" i="11"/>
  <c r="H89" i="11"/>
  <c r="C79" i="11"/>
  <c r="E68" i="11"/>
  <c r="H57" i="11"/>
  <c r="C47" i="11"/>
  <c r="E36" i="11"/>
  <c r="H25" i="11"/>
  <c r="C15" i="11"/>
  <c r="E4" i="11"/>
  <c r="G851" i="25"/>
  <c r="B624" i="25"/>
  <c r="E465" i="25"/>
  <c r="D330" i="25"/>
  <c r="F216" i="25"/>
  <c r="H102" i="25"/>
  <c r="D99" i="24"/>
  <c r="A210" i="23"/>
  <c r="F124" i="23"/>
  <c r="C39" i="23"/>
  <c r="D193" i="22"/>
  <c r="B108" i="22"/>
  <c r="D24" i="22"/>
  <c r="G259" i="19"/>
  <c r="G195" i="19"/>
  <c r="G131" i="19"/>
  <c r="G67" i="19"/>
  <c r="B24" i="19"/>
  <c r="C11" i="18"/>
  <c r="F369" i="17"/>
  <c r="F353" i="17"/>
  <c r="F337" i="17"/>
  <c r="F321" i="17"/>
  <c r="F305" i="17"/>
  <c r="F289" i="17"/>
  <c r="F273" i="17"/>
  <c r="F257" i="17"/>
  <c r="F241" i="17"/>
  <c r="F225" i="17"/>
  <c r="F209" i="17"/>
  <c r="F193" i="17"/>
  <c r="F177" i="17"/>
  <c r="F161" i="17"/>
  <c r="F145" i="17"/>
  <c r="F129" i="17"/>
  <c r="F113" i="17"/>
  <c r="F97" i="17"/>
  <c r="F81" i="17"/>
  <c r="F65" i="17"/>
  <c r="F49" i="17"/>
  <c r="F33" i="17"/>
  <c r="F17" i="17"/>
  <c r="E110" i="15"/>
  <c r="E78" i="15"/>
  <c r="E46" i="15"/>
  <c r="E14" i="15"/>
  <c r="F13" i="14"/>
  <c r="C228" i="12"/>
  <c r="H206" i="12"/>
  <c r="F185" i="12"/>
  <c r="C164" i="12"/>
  <c r="H142" i="12"/>
  <c r="F121" i="12"/>
  <c r="C100" i="12"/>
  <c r="H78" i="12"/>
  <c r="F57" i="12"/>
  <c r="C36" i="12"/>
  <c r="H14" i="12"/>
  <c r="D235" i="11"/>
  <c r="A214" i="11"/>
  <c r="G192" i="11"/>
  <c r="D171" i="11"/>
  <c r="A150" i="11"/>
  <c r="G128" i="11"/>
  <c r="D107" i="11"/>
  <c r="A86" i="11"/>
  <c r="G64" i="11"/>
  <c r="D43" i="11"/>
  <c r="A22" i="11"/>
  <c r="E1" i="11"/>
  <c r="B5" i="9"/>
  <c r="D35" i="8"/>
  <c r="D27" i="8"/>
  <c r="D19" i="8"/>
  <c r="D11" i="8"/>
  <c r="D3" i="8"/>
  <c r="A14" i="7"/>
  <c r="A6" i="7"/>
  <c r="B291" i="6"/>
  <c r="B283" i="6"/>
  <c r="B275" i="6"/>
  <c r="B267" i="6"/>
  <c r="B259" i="6"/>
  <c r="B251" i="6"/>
  <c r="B243" i="6"/>
  <c r="B235" i="6"/>
  <c r="B227" i="6"/>
  <c r="B219" i="6"/>
  <c r="B211" i="6"/>
  <c r="B203" i="6"/>
  <c r="B195" i="6"/>
  <c r="B187" i="6"/>
  <c r="B179" i="6"/>
  <c r="B171" i="6"/>
  <c r="B163" i="6"/>
  <c r="B155" i="6"/>
  <c r="B147" i="6"/>
  <c r="B139" i="6"/>
  <c r="B131" i="6"/>
  <c r="B123" i="6"/>
  <c r="B115" i="6"/>
  <c r="B107" i="6"/>
  <c r="B99" i="6"/>
  <c r="B91" i="6"/>
  <c r="B83" i="6"/>
  <c r="B75" i="6"/>
  <c r="B67" i="6"/>
  <c r="B59" i="6"/>
  <c r="B51" i="6"/>
  <c r="B43" i="6"/>
  <c r="B35" i="6"/>
  <c r="B27" i="6"/>
  <c r="B19" i="6"/>
  <c r="B11" i="6"/>
  <c r="B3" i="6"/>
  <c r="O411" i="5"/>
  <c r="K408" i="5"/>
  <c r="G405" i="5"/>
  <c r="C402" i="5"/>
  <c r="S398" i="5"/>
  <c r="O395" i="5"/>
  <c r="K392" i="5"/>
  <c r="G389" i="5"/>
  <c r="C386" i="5"/>
  <c r="S382" i="5"/>
  <c r="O379" i="5"/>
  <c r="K376" i="5"/>
  <c r="G373" i="5"/>
  <c r="C370" i="5"/>
  <c r="S366" i="5"/>
  <c r="O363" i="5"/>
  <c r="K360" i="5"/>
  <c r="G357" i="5"/>
  <c r="C354" i="5"/>
  <c r="S350" i="5"/>
  <c r="O347" i="5"/>
  <c r="K344" i="5"/>
  <c r="G341" i="5"/>
  <c r="C338" i="5"/>
  <c r="S334" i="5"/>
  <c r="O331" i="5"/>
  <c r="K328" i="5"/>
  <c r="G325" i="5"/>
  <c r="C322" i="5"/>
  <c r="S318" i="5"/>
  <c r="O315" i="5"/>
  <c r="K312" i="5"/>
  <c r="G309" i="5"/>
  <c r="C306" i="5"/>
  <c r="S302" i="5"/>
  <c r="O299" i="5"/>
  <c r="K296" i="5"/>
  <c r="G293" i="5"/>
  <c r="C290" i="5"/>
  <c r="S286" i="5"/>
  <c r="O283" i="5"/>
  <c r="K280" i="5"/>
  <c r="G277" i="5"/>
  <c r="C274" i="5"/>
  <c r="S270" i="5"/>
  <c r="O267" i="5"/>
  <c r="K264" i="5"/>
  <c r="G261" i="5"/>
  <c r="C258" i="5"/>
  <c r="S254" i="5"/>
  <c r="O251" i="5"/>
  <c r="K248" i="5"/>
  <c r="G245" i="5"/>
  <c r="C242" i="5"/>
  <c r="S238" i="5"/>
  <c r="O235" i="5"/>
  <c r="K232" i="5"/>
  <c r="G229" i="5"/>
  <c r="C226" i="5"/>
  <c r="S222" i="5"/>
  <c r="O219" i="5"/>
  <c r="K216" i="5"/>
  <c r="G213" i="5"/>
  <c r="C210" i="5"/>
  <c r="S206" i="5"/>
  <c r="O203" i="5"/>
  <c r="K200" i="5"/>
  <c r="G197" i="5"/>
  <c r="C194" i="5"/>
  <c r="S190" i="5"/>
  <c r="O187" i="5"/>
  <c r="K184" i="5"/>
  <c r="G181" i="5"/>
  <c r="C178" i="5"/>
  <c r="S174" i="5"/>
  <c r="O171" i="5"/>
  <c r="K168" i="5"/>
  <c r="G165" i="5"/>
  <c r="C162" i="5"/>
  <c r="S158" i="5"/>
  <c r="O155" i="5"/>
  <c r="K152" i="5"/>
  <c r="G149" i="5"/>
  <c r="C146" i="5"/>
  <c r="S142" i="5"/>
  <c r="O139" i="5"/>
  <c r="K136" i="5"/>
  <c r="G133" i="5"/>
  <c r="C130" i="5"/>
  <c r="S126" i="5"/>
  <c r="O123" i="5"/>
  <c r="K120" i="5"/>
  <c r="G117" i="5"/>
  <c r="C114" i="5"/>
  <c r="S110" i="5"/>
  <c r="O107" i="5"/>
  <c r="K104" i="5"/>
  <c r="G101" i="5"/>
  <c r="C98" i="5"/>
  <c r="S94" i="5"/>
  <c r="O91" i="5"/>
  <c r="K88" i="5"/>
  <c r="G85" i="5"/>
  <c r="C82" i="5"/>
  <c r="S78" i="5"/>
  <c r="O75" i="5"/>
  <c r="K72" i="5"/>
  <c r="G69" i="5"/>
  <c r="C66" i="5"/>
  <c r="S62" i="5"/>
  <c r="O59" i="5"/>
  <c r="K56" i="5"/>
  <c r="G53" i="5"/>
  <c r="C50" i="5"/>
  <c r="S46" i="5"/>
  <c r="O43" i="5"/>
  <c r="K40" i="5"/>
  <c r="G37" i="5"/>
  <c r="C34" i="5"/>
  <c r="S30" i="5"/>
  <c r="O27" i="5"/>
  <c r="K24" i="5"/>
  <c r="G21" i="5"/>
  <c r="C18" i="5"/>
  <c r="R14" i="5"/>
  <c r="N11" i="5"/>
  <c r="J8" i="5"/>
  <c r="C412" i="3"/>
  <c r="D408" i="3"/>
  <c r="F404" i="3"/>
  <c r="F400" i="3"/>
  <c r="G396" i="3"/>
  <c r="H392" i="3"/>
  <c r="I388" i="3"/>
  <c r="I384" i="3"/>
  <c r="AD380" i="3"/>
  <c r="AF376" i="3"/>
  <c r="AH372" i="3"/>
  <c r="AH368" i="3"/>
  <c r="AH364" i="3"/>
  <c r="AH360" i="3"/>
  <c r="AI356" i="3"/>
  <c r="AJ352" i="3"/>
  <c r="A349" i="3"/>
  <c r="C345" i="3"/>
  <c r="C341" i="3"/>
  <c r="E337" i="3"/>
  <c r="G333" i="3"/>
  <c r="I329" i="3"/>
  <c r="J325" i="3"/>
  <c r="AF321" i="3"/>
  <c r="AF317" i="3"/>
  <c r="AF313" i="3"/>
  <c r="AG309" i="3"/>
  <c r="AI305" i="3"/>
  <c r="AI301" i="3"/>
  <c r="AJ297" i="3"/>
  <c r="AJ293" i="3"/>
  <c r="A290" i="3"/>
  <c r="B286" i="3"/>
  <c r="B282" i="3"/>
  <c r="B278" i="3"/>
  <c r="B274" i="3"/>
  <c r="B270" i="3"/>
  <c r="C266" i="3"/>
  <c r="C262" i="3"/>
  <c r="D258" i="3"/>
  <c r="E254" i="3"/>
  <c r="F250" i="3"/>
  <c r="G246" i="3"/>
  <c r="H242" i="3"/>
  <c r="H238" i="3"/>
  <c r="I234" i="3"/>
  <c r="I230" i="3"/>
  <c r="J226" i="3"/>
  <c r="J222" i="3"/>
  <c r="AE218" i="3"/>
  <c r="AE214" i="3"/>
  <c r="AE210" i="3"/>
  <c r="AF206" i="3"/>
  <c r="AF202" i="3"/>
  <c r="AF198" i="3"/>
  <c r="AH194" i="3"/>
  <c r="A191" i="3"/>
  <c r="B187" i="3"/>
  <c r="C183" i="3"/>
  <c r="D179" i="3"/>
  <c r="F175" i="3"/>
  <c r="F171" i="3"/>
  <c r="F167" i="3"/>
  <c r="G163" i="3"/>
  <c r="H159" i="3"/>
  <c r="I155" i="3"/>
  <c r="J151" i="3"/>
  <c r="AE147" i="3"/>
  <c r="AE143" i="3"/>
  <c r="AE139" i="3"/>
  <c r="AF135" i="3"/>
  <c r="AF131" i="3"/>
  <c r="AF127" i="3"/>
  <c r="AG123" i="3"/>
  <c r="AH119" i="3"/>
  <c r="AH115" i="3"/>
  <c r="AJ111" i="3"/>
  <c r="AJ107" i="3"/>
  <c r="AJ103" i="3"/>
  <c r="AJ99" i="3"/>
  <c r="B96" i="3"/>
  <c r="C92" i="3"/>
  <c r="D88" i="3"/>
  <c r="D84" i="3"/>
  <c r="D80" i="3"/>
  <c r="E76" i="3"/>
  <c r="E72" i="3"/>
  <c r="F68" i="3"/>
  <c r="F64" i="3"/>
  <c r="G60" i="3"/>
  <c r="I56" i="3"/>
  <c r="I52" i="3"/>
  <c r="I48" i="3"/>
  <c r="J44" i="3"/>
  <c r="AD40" i="3"/>
  <c r="AE36" i="3"/>
  <c r="AE32" i="3"/>
  <c r="AF28" i="3"/>
  <c r="F51" i="33"/>
  <c r="G787" i="25"/>
  <c r="E574" i="25"/>
  <c r="H422" i="25"/>
  <c r="D298" i="25"/>
  <c r="F184" i="25"/>
  <c r="H70" i="25"/>
  <c r="D63" i="24"/>
  <c r="F180" i="23"/>
  <c r="C95" i="23"/>
  <c r="A10" i="23"/>
  <c r="B164" i="22"/>
  <c r="G78" i="22"/>
  <c r="D2" i="22"/>
  <c r="G237" i="19"/>
  <c r="G173" i="19"/>
  <c r="G109" i="19"/>
  <c r="B52" i="19"/>
  <c r="B13" i="19"/>
  <c r="N380" i="17"/>
  <c r="N364" i="17"/>
  <c r="N348" i="17"/>
  <c r="N332" i="17"/>
  <c r="N316" i="17"/>
  <c r="N300" i="17"/>
  <c r="N284" i="17"/>
  <c r="N268" i="17"/>
  <c r="N252" i="17"/>
  <c r="N236" i="17"/>
  <c r="N220" i="17"/>
  <c r="N204" i="17"/>
  <c r="N188" i="17"/>
  <c r="N172" i="17"/>
  <c r="N156" i="17"/>
  <c r="N140" i="17"/>
  <c r="N124" i="17"/>
  <c r="N108" i="17"/>
  <c r="N92" i="17"/>
  <c r="N76" i="17"/>
  <c r="N60" i="17"/>
  <c r="N44" i="17"/>
  <c r="N28" i="17"/>
  <c r="N12" i="17"/>
  <c r="E101" i="15"/>
  <c r="E69" i="15"/>
  <c r="E37" i="15"/>
  <c r="E5" i="15"/>
  <c r="F2" i="14"/>
  <c r="F223" i="12"/>
  <c r="C202" i="12"/>
  <c r="H180" i="12"/>
  <c r="F159" i="12"/>
  <c r="C138" i="12"/>
  <c r="H116" i="12"/>
  <c r="F95" i="12"/>
  <c r="C74" i="12"/>
  <c r="H52" i="12"/>
  <c r="F31" i="12"/>
  <c r="C10" i="12"/>
  <c r="G230" i="11"/>
  <c r="D209" i="11"/>
  <c r="A188" i="11"/>
  <c r="G166" i="11"/>
  <c r="D145" i="11"/>
  <c r="A124" i="11"/>
  <c r="G102" i="11"/>
  <c r="D81" i="11"/>
  <c r="A60" i="11"/>
  <c r="G38" i="11"/>
  <c r="D17" i="11"/>
  <c r="D3" i="10"/>
  <c r="B2" i="9"/>
  <c r="I19" i="35"/>
  <c r="H708" i="25"/>
  <c r="N12" i="26"/>
  <c r="B727" i="25"/>
  <c r="A328" i="25"/>
  <c r="E100" i="25"/>
  <c r="H193" i="23"/>
  <c r="E174" i="22"/>
  <c r="F35" i="32"/>
  <c r="E776" i="25"/>
  <c r="I566" i="25"/>
  <c r="C415" i="25"/>
  <c r="G292" i="25"/>
  <c r="I178" i="25"/>
  <c r="B65" i="25"/>
  <c r="E56" i="24"/>
  <c r="D774" i="25"/>
  <c r="I413" i="25"/>
  <c r="I177" i="25"/>
  <c r="H55" i="24"/>
  <c r="F91" i="23"/>
  <c r="G157" i="22"/>
  <c r="G7" i="21"/>
  <c r="E169" i="19"/>
  <c r="B35" i="26"/>
  <c r="F528" i="25"/>
  <c r="I263" i="25"/>
  <c r="D36" i="25"/>
  <c r="G156" i="23"/>
  <c r="F223" i="22"/>
  <c r="H52" i="22"/>
  <c r="H223" i="19"/>
  <c r="H166" i="19"/>
  <c r="D124" i="19"/>
  <c r="D81" i="19"/>
  <c r="H38" i="19"/>
  <c r="D846" i="25"/>
  <c r="H618" i="25"/>
  <c r="I461" i="25"/>
  <c r="G327" i="25"/>
  <c r="I213" i="25"/>
  <c r="B100" i="25"/>
  <c r="D96" i="24"/>
  <c r="C205" i="23"/>
  <c r="A120" i="23"/>
  <c r="F34" i="23"/>
  <c r="B186" i="22"/>
  <c r="G100" i="22"/>
  <c r="H18" i="22"/>
  <c r="C254" i="19"/>
  <c r="C190" i="19"/>
  <c r="C126" i="19"/>
  <c r="B63" i="19"/>
  <c r="D21" i="19"/>
  <c r="A7" i="18"/>
  <c r="A368" i="17"/>
  <c r="A352" i="17"/>
  <c r="A336" i="17"/>
  <c r="A320" i="17"/>
  <c r="A304" i="17"/>
  <c r="A288" i="17"/>
  <c r="A272" i="17"/>
  <c r="A256" i="17"/>
  <c r="A240" i="17"/>
  <c r="A224" i="17"/>
  <c r="A208" i="17"/>
  <c r="A192" i="17"/>
  <c r="A176" i="17"/>
  <c r="A160" i="17"/>
  <c r="A144" i="17"/>
  <c r="A128" i="17"/>
  <c r="A112" i="17"/>
  <c r="A96" i="17"/>
  <c r="A80" i="17"/>
  <c r="A64" i="17"/>
  <c r="A48" i="17"/>
  <c r="A32" i="17"/>
  <c r="A16" i="17"/>
  <c r="G105" i="15"/>
  <c r="G73" i="15"/>
  <c r="G41" i="15"/>
  <c r="G9" i="15"/>
  <c r="H7" i="14"/>
  <c r="C42" i="26"/>
  <c r="F728" i="25"/>
  <c r="B535" i="25"/>
  <c r="D383" i="25"/>
  <c r="H268" i="25"/>
  <c r="A155" i="25"/>
  <c r="C41" i="25"/>
  <c r="B28" i="24"/>
  <c r="G159" i="23"/>
  <c r="E74" i="23"/>
  <c r="H225" i="22"/>
  <c r="F140" i="22"/>
  <c r="C55" i="22"/>
  <c r="B284" i="19"/>
  <c r="B220" i="19"/>
  <c r="B156" i="19"/>
  <c r="B92" i="19"/>
  <c r="C40" i="19"/>
  <c r="C4" i="19"/>
  <c r="L373" i="17"/>
  <c r="H352" i="17"/>
  <c r="D331" i="17"/>
  <c r="L309" i="17"/>
  <c r="H288" i="17"/>
  <c r="D267" i="17"/>
  <c r="L245" i="17"/>
  <c r="H224" i="17"/>
  <c r="D203" i="17"/>
  <c r="L181" i="17"/>
  <c r="H160" i="17"/>
  <c r="D139" i="17"/>
  <c r="L117" i="17"/>
  <c r="H96" i="17"/>
  <c r="D75" i="17"/>
  <c r="L53" i="17"/>
  <c r="H32" i="17"/>
  <c r="D11" i="17"/>
  <c r="F97" i="15"/>
  <c r="F65" i="15"/>
  <c r="F33" i="15"/>
  <c r="G1" i="15"/>
  <c r="H14" i="13"/>
  <c r="E213" i="12"/>
  <c r="E181" i="12"/>
  <c r="E149" i="12"/>
  <c r="A130" i="12"/>
  <c r="A114" i="12"/>
  <c r="A98" i="12"/>
  <c r="A82" i="12"/>
  <c r="A66" i="12"/>
  <c r="A50" i="12"/>
  <c r="A34" i="12"/>
  <c r="A18" i="12"/>
  <c r="A2" i="12"/>
  <c r="B228" i="11"/>
  <c r="B212" i="11"/>
  <c r="B196" i="11"/>
  <c r="B180" i="11"/>
  <c r="B164" i="11"/>
  <c r="B148" i="11"/>
  <c r="B132" i="11"/>
  <c r="B116" i="11"/>
  <c r="B100" i="11"/>
  <c r="B84" i="11"/>
  <c r="B68" i="11"/>
  <c r="B52" i="11"/>
  <c r="B36" i="11"/>
  <c r="B20" i="11"/>
  <c r="B4" i="11"/>
  <c r="D3" i="9"/>
  <c r="D826" i="25"/>
  <c r="C600" i="25"/>
  <c r="F448" i="25"/>
  <c r="G317" i="25"/>
  <c r="I203" i="25"/>
  <c r="B90" i="25"/>
  <c r="B85" i="24"/>
  <c r="B195" i="23"/>
  <c r="G109" i="23"/>
  <c r="E24" i="23"/>
  <c r="H175" i="22"/>
  <c r="F90" i="22"/>
  <c r="C11" i="22"/>
  <c r="F248" i="19"/>
  <c r="F184" i="19"/>
  <c r="F120" i="19"/>
  <c r="C59" i="19"/>
  <c r="E18" i="19"/>
  <c r="F4" i="18"/>
  <c r="K366" i="17"/>
  <c r="K350" i="17"/>
  <c r="K334" i="17"/>
  <c r="K318" i="17"/>
  <c r="K302" i="17"/>
  <c r="K286" i="17"/>
  <c r="K270" i="17"/>
  <c r="K254" i="17"/>
  <c r="K238" i="17"/>
  <c r="K222" i="17"/>
  <c r="K206" i="17"/>
  <c r="K190" i="17"/>
  <c r="K174" i="17"/>
  <c r="K158" i="17"/>
  <c r="K142" i="17"/>
  <c r="K126" i="17"/>
  <c r="K110" i="17"/>
  <c r="K94" i="17"/>
  <c r="K78" i="17"/>
  <c r="K62" i="17"/>
  <c r="K46" i="17"/>
  <c r="K30" i="17"/>
  <c r="K14" i="17"/>
  <c r="H105" i="15"/>
  <c r="H73" i="15"/>
  <c r="H41" i="15"/>
  <c r="H9" i="15"/>
  <c r="A7" i="14"/>
  <c r="B225" i="12"/>
  <c r="G203" i="12"/>
  <c r="D182" i="12"/>
  <c r="B161" i="12"/>
  <c r="G139" i="12"/>
  <c r="D118" i="12"/>
  <c r="B97" i="12"/>
  <c r="G75" i="12"/>
  <c r="D54" i="12"/>
  <c r="B33" i="12"/>
  <c r="G11" i="12"/>
  <c r="C232" i="11"/>
  <c r="H210" i="11"/>
  <c r="E189" i="11"/>
  <c r="C168" i="11"/>
  <c r="H146" i="11"/>
  <c r="E125" i="11"/>
  <c r="C104" i="11"/>
  <c r="H82" i="11"/>
  <c r="E61" i="11"/>
  <c r="C40" i="11"/>
  <c r="H18" i="11"/>
  <c r="D2" i="10"/>
  <c r="H822" i="25"/>
  <c r="I597" i="25"/>
  <c r="C446" i="25"/>
  <c r="I315" i="25"/>
  <c r="B202" i="25"/>
  <c r="D88" i="25"/>
  <c r="B83" i="24"/>
  <c r="E196" i="23"/>
  <c r="B111" i="23"/>
  <c r="G25" i="23"/>
  <c r="C177" i="22"/>
  <c r="H91" i="22"/>
  <c r="C12" i="22"/>
  <c r="F247" i="19"/>
  <c r="F183" i="19"/>
  <c r="F119" i="19"/>
  <c r="F58" i="19"/>
  <c r="A18" i="19"/>
  <c r="B4" i="18"/>
  <c r="O366" i="17"/>
  <c r="O350" i="17"/>
  <c r="O334" i="17"/>
  <c r="O318" i="17"/>
  <c r="O302" i="17"/>
  <c r="O286" i="17"/>
  <c r="O270" i="17"/>
  <c r="O254" i="17"/>
  <c r="O238" i="17"/>
  <c r="O222" i="17"/>
  <c r="O206" i="17"/>
  <c r="O190" i="17"/>
  <c r="O174" i="17"/>
  <c r="O158" i="17"/>
  <c r="O142" i="17"/>
  <c r="O126" i="17"/>
  <c r="O110" i="17"/>
  <c r="O94" i="17"/>
  <c r="O78" i="17"/>
  <c r="O62" i="17"/>
  <c r="O46" i="17"/>
  <c r="O30" i="17"/>
  <c r="O14" i="17"/>
  <c r="D105" i="15"/>
  <c r="D73" i="15"/>
  <c r="D41" i="15"/>
  <c r="D9" i="15"/>
  <c r="E7" i="14"/>
  <c r="D225" i="12"/>
  <c r="B204" i="12"/>
  <c r="G182" i="12"/>
  <c r="D161" i="12"/>
  <c r="B140" i="12"/>
  <c r="G118" i="12"/>
  <c r="D97" i="12"/>
  <c r="B76" i="12"/>
  <c r="G54" i="12"/>
  <c r="D33" i="12"/>
  <c r="B12" i="12"/>
  <c r="C233" i="11"/>
  <c r="H211" i="11"/>
  <c r="E190" i="11"/>
  <c r="C169" i="11"/>
  <c r="H147" i="11"/>
  <c r="E126" i="11"/>
  <c r="C105" i="11"/>
  <c r="H83" i="11"/>
  <c r="E62" i="11"/>
  <c r="C41" i="11"/>
  <c r="H19" i="11"/>
  <c r="N35" i="26"/>
  <c r="H531" i="25"/>
  <c r="D266" i="25"/>
  <c r="H38" i="25"/>
  <c r="A162" i="23"/>
  <c r="G230" i="22"/>
  <c r="B60" i="22"/>
  <c r="G223" i="19"/>
  <c r="G95" i="19"/>
  <c r="B6" i="19"/>
  <c r="F360" i="17"/>
  <c r="F328" i="17"/>
  <c r="F296" i="17"/>
  <c r="F264" i="17"/>
  <c r="F232" i="17"/>
  <c r="F200" i="17"/>
  <c r="F168" i="17"/>
  <c r="F136" i="17"/>
  <c r="F104" i="17"/>
  <c r="F72" i="17"/>
  <c r="F40" i="17"/>
  <c r="E8" i="17"/>
  <c r="E60" i="15"/>
  <c r="F27" i="14"/>
  <c r="C216" i="12"/>
  <c r="F173" i="12"/>
  <c r="H130" i="12"/>
  <c r="C88" i="12"/>
  <c r="F45" i="12"/>
  <c r="H2" i="12"/>
  <c r="A202" i="11"/>
  <c r="D159" i="11"/>
  <c r="G116" i="11"/>
  <c r="A74" i="11"/>
  <c r="D31" i="11"/>
  <c r="G9" i="9"/>
  <c r="H30" i="8"/>
  <c r="H14" i="8"/>
  <c r="E17" i="7"/>
  <c r="F1" i="7"/>
  <c r="F278" i="6"/>
  <c r="F262" i="6"/>
  <c r="F246" i="6"/>
  <c r="F230" i="6"/>
  <c r="F214" i="6"/>
  <c r="F198" i="6"/>
  <c r="F182" i="6"/>
  <c r="F166" i="6"/>
  <c r="F150" i="6"/>
  <c r="F134" i="6"/>
  <c r="F118" i="6"/>
  <c r="F102" i="6"/>
  <c r="F86" i="6"/>
  <c r="F70" i="6"/>
  <c r="F54" i="6"/>
  <c r="F38" i="6"/>
  <c r="F22" i="6"/>
  <c r="F6" i="6"/>
  <c r="S409" i="5"/>
  <c r="K403" i="5"/>
  <c r="C397" i="5"/>
  <c r="O390" i="5"/>
  <c r="G384" i="5"/>
  <c r="S377" i="5"/>
  <c r="K371" i="5"/>
  <c r="C365" i="5"/>
  <c r="O358" i="5"/>
  <c r="G352" i="5"/>
  <c r="S345" i="5"/>
  <c r="K339" i="5"/>
  <c r="C333" i="5"/>
  <c r="O326" i="5"/>
  <c r="G320" i="5"/>
  <c r="S313" i="5"/>
  <c r="K307" i="5"/>
  <c r="C301" i="5"/>
  <c r="O294" i="5"/>
  <c r="G288" i="5"/>
  <c r="S281" i="5"/>
  <c r="K275" i="5"/>
  <c r="C269" i="5"/>
  <c r="O262" i="5"/>
  <c r="G256" i="5"/>
  <c r="S249" i="5"/>
  <c r="K243" i="5"/>
  <c r="C237" i="5"/>
  <c r="O230" i="5"/>
  <c r="G224" i="5"/>
  <c r="S217" i="5"/>
  <c r="K211" i="5"/>
  <c r="C205" i="5"/>
  <c r="O198" i="5"/>
  <c r="G192" i="5"/>
  <c r="S185" i="5"/>
  <c r="K179" i="5"/>
  <c r="C173" i="5"/>
  <c r="O166" i="5"/>
  <c r="G160" i="5"/>
  <c r="S153" i="5"/>
  <c r="K147" i="5"/>
  <c r="C141" i="5"/>
  <c r="O134" i="5"/>
  <c r="G128" i="5"/>
  <c r="S121" i="5"/>
  <c r="K115" i="5"/>
  <c r="C109" i="5"/>
  <c r="O102" i="5"/>
  <c r="G96" i="5"/>
  <c r="S89" i="5"/>
  <c r="K83" i="5"/>
  <c r="C77" i="5"/>
  <c r="O70" i="5"/>
  <c r="G64" i="5"/>
  <c r="S57" i="5"/>
  <c r="K51" i="5"/>
  <c r="C45" i="5"/>
  <c r="O38" i="5"/>
  <c r="G32" i="5"/>
  <c r="S25" i="5"/>
  <c r="K19" i="5"/>
  <c r="B13" i="5"/>
  <c r="N6" i="5"/>
  <c r="B406" i="3"/>
  <c r="C398" i="3"/>
  <c r="D390" i="3"/>
  <c r="F382" i="3"/>
  <c r="I374" i="3"/>
  <c r="J366" i="3"/>
  <c r="J358" i="3"/>
  <c r="AF350" i="3"/>
  <c r="AI342" i="3"/>
  <c r="C335" i="3"/>
  <c r="F327" i="3"/>
  <c r="H319" i="3"/>
  <c r="I311" i="3"/>
  <c r="AE303" i="3"/>
  <c r="AF295" i="3"/>
  <c r="AG287" i="3"/>
  <c r="AH279" i="3"/>
  <c r="AH271" i="3"/>
  <c r="AI263" i="3"/>
  <c r="AJ255" i="3"/>
  <c r="C248" i="3"/>
  <c r="D240" i="3"/>
  <c r="E232" i="3"/>
  <c r="F224" i="3"/>
  <c r="G216" i="3"/>
  <c r="H208" i="3"/>
  <c r="H200" i="3"/>
  <c r="AF192" i="3"/>
  <c r="AI184" i="3"/>
  <c r="A177" i="3"/>
  <c r="B169" i="3"/>
  <c r="C161" i="3"/>
  <c r="F153" i="3"/>
  <c r="G145" i="3"/>
  <c r="H137" i="3"/>
  <c r="H129" i="3"/>
  <c r="I121" i="3"/>
  <c r="AE113" i="3"/>
  <c r="AF105" i="3"/>
  <c r="AF97" i="3"/>
  <c r="AI89" i="3"/>
  <c r="AJ81" i="3"/>
  <c r="A74" i="3"/>
  <c r="B66" i="3"/>
  <c r="D58" i="3"/>
  <c r="E50" i="3"/>
  <c r="F42" i="3"/>
  <c r="G34" i="3"/>
  <c r="H26" i="3"/>
  <c r="G659" i="25"/>
  <c r="B348" i="25"/>
  <c r="F120" i="25"/>
  <c r="A218" i="23"/>
  <c r="C47" i="23"/>
  <c r="B116" i="22"/>
  <c r="G265" i="19"/>
  <c r="G137" i="19"/>
  <c r="B28" i="19"/>
  <c r="N371" i="17"/>
  <c r="N339" i="17"/>
  <c r="N307" i="17"/>
  <c r="N275" i="17"/>
  <c r="N243" i="17"/>
  <c r="N211" i="17"/>
  <c r="N179" i="17"/>
  <c r="N147" i="17"/>
  <c r="N115" i="17"/>
  <c r="N83" i="17"/>
  <c r="N51" i="17"/>
  <c r="N19" i="17"/>
  <c r="E83" i="15"/>
  <c r="E19" i="15"/>
  <c r="H1" i="13"/>
  <c r="C190" i="12"/>
  <c r="F147" i="12"/>
  <c r="H104" i="12"/>
  <c r="C62" i="12"/>
  <c r="F19" i="12"/>
  <c r="G218" i="11"/>
  <c r="A176" i="11"/>
  <c r="D133" i="11"/>
  <c r="G90" i="11"/>
  <c r="A48" i="11"/>
  <c r="D5" i="11"/>
  <c r="B37" i="8"/>
  <c r="F26" i="8"/>
  <c r="B16" i="8"/>
  <c r="B5" i="8"/>
  <c r="G13" i="7"/>
  <c r="C3" i="7"/>
  <c r="D285" i="6"/>
  <c r="H274" i="6"/>
  <c r="D264" i="6"/>
  <c r="D253" i="6"/>
  <c r="H242" i="6"/>
  <c r="D232" i="6"/>
  <c r="D221" i="6"/>
  <c r="H210" i="6"/>
  <c r="D200" i="6"/>
  <c r="D189" i="6"/>
  <c r="H178" i="6"/>
  <c r="D168" i="6"/>
  <c r="D157" i="6"/>
  <c r="H146" i="6"/>
  <c r="H136" i="6"/>
  <c r="H128" i="6"/>
  <c r="H120" i="6"/>
  <c r="H112" i="6"/>
  <c r="H104" i="6"/>
  <c r="H96" i="6"/>
  <c r="H88" i="6"/>
  <c r="H80" i="6"/>
  <c r="H72" i="6"/>
  <c r="H64" i="6"/>
  <c r="H56" i="6"/>
  <c r="H48" i="6"/>
  <c r="H40" i="6"/>
  <c r="H32" i="6"/>
  <c r="H24" i="6"/>
  <c r="H16" i="6"/>
  <c r="H8" i="6"/>
  <c r="Q413" i="5"/>
  <c r="M410" i="5"/>
  <c r="I407" i="5"/>
  <c r="E404" i="5"/>
  <c r="A401" i="5"/>
  <c r="Q397" i="5"/>
  <c r="M394" i="5"/>
  <c r="I391" i="5"/>
  <c r="E388" i="5"/>
  <c r="A385" i="5"/>
  <c r="Q381" i="5"/>
  <c r="M378" i="5"/>
  <c r="I375" i="5"/>
  <c r="E372" i="5"/>
  <c r="A369" i="5"/>
  <c r="Q365" i="5"/>
  <c r="M362" i="5"/>
  <c r="I359" i="5"/>
  <c r="E356" i="5"/>
  <c r="A353" i="5"/>
  <c r="Q349" i="5"/>
  <c r="M346" i="5"/>
  <c r="I343" i="5"/>
  <c r="E340" i="5"/>
  <c r="A337" i="5"/>
  <c r="Q333" i="5"/>
  <c r="M330" i="5"/>
  <c r="I327" i="5"/>
  <c r="E324" i="5"/>
  <c r="A321" i="5"/>
  <c r="Q317" i="5"/>
  <c r="M314" i="5"/>
  <c r="I311" i="5"/>
  <c r="E308" i="5"/>
  <c r="A305" i="5"/>
  <c r="Q301" i="5"/>
  <c r="M298" i="5"/>
  <c r="I295" i="5"/>
  <c r="E292" i="5"/>
  <c r="A289" i="5"/>
  <c r="Q285" i="5"/>
  <c r="M282" i="5"/>
  <c r="I279" i="5"/>
  <c r="E276" i="5"/>
  <c r="A273" i="5"/>
  <c r="Q269" i="5"/>
  <c r="M266" i="5"/>
  <c r="I263" i="5"/>
  <c r="E260" i="5"/>
  <c r="A257" i="5"/>
  <c r="Q253" i="5"/>
  <c r="M250" i="5"/>
  <c r="I247" i="5"/>
  <c r="E244" i="5"/>
  <c r="A241" i="5"/>
  <c r="Q237" i="5"/>
  <c r="M234" i="5"/>
  <c r="I231" i="5"/>
  <c r="E228" i="5"/>
  <c r="A225" i="5"/>
  <c r="Q221" i="5"/>
  <c r="M218" i="5"/>
  <c r="I215" i="5"/>
  <c r="E212" i="5"/>
  <c r="A209" i="5"/>
  <c r="Q205" i="5"/>
  <c r="M202" i="5"/>
  <c r="I199" i="5"/>
  <c r="E196" i="5"/>
  <c r="A193" i="5"/>
  <c r="Q189" i="5"/>
  <c r="M186" i="5"/>
  <c r="I183" i="5"/>
  <c r="E180" i="5"/>
  <c r="A177" i="5"/>
  <c r="Q173" i="5"/>
  <c r="M170" i="5"/>
  <c r="I167" i="5"/>
  <c r="E164" i="5"/>
  <c r="A161" i="5"/>
  <c r="Q157" i="5"/>
  <c r="M154" i="5"/>
  <c r="I151" i="5"/>
  <c r="E148" i="5"/>
  <c r="A145" i="5"/>
  <c r="Q141" i="5"/>
  <c r="M138" i="5"/>
  <c r="I135" i="5"/>
  <c r="E132" i="5"/>
  <c r="A129" i="5"/>
  <c r="Q125" i="5"/>
  <c r="M122" i="5"/>
  <c r="I119" i="5"/>
  <c r="E116" i="5"/>
  <c r="A113" i="5"/>
  <c r="Q109" i="5"/>
  <c r="M106" i="5"/>
  <c r="I103" i="5"/>
  <c r="E100" i="5"/>
  <c r="A97" i="5"/>
  <c r="Q93" i="5"/>
  <c r="M90" i="5"/>
  <c r="I87" i="5"/>
  <c r="E84" i="5"/>
  <c r="A81" i="5"/>
  <c r="Q77" i="5"/>
  <c r="M74" i="5"/>
  <c r="I71" i="5"/>
  <c r="E68" i="5"/>
  <c r="A65" i="5"/>
  <c r="Q61" i="5"/>
  <c r="M58" i="5"/>
  <c r="I55" i="5"/>
  <c r="E52" i="5"/>
  <c r="A49" i="5"/>
  <c r="Q45" i="5"/>
  <c r="M42" i="5"/>
  <c r="I39" i="5"/>
  <c r="E36" i="5"/>
  <c r="A33" i="5"/>
  <c r="Q29" i="5"/>
  <c r="M26" i="5"/>
  <c r="I23" i="5"/>
  <c r="E20" i="5"/>
  <c r="A17" i="5"/>
  <c r="P13" i="5"/>
  <c r="L10" i="5"/>
  <c r="H7" i="5"/>
  <c r="AG410" i="3"/>
  <c r="AI406" i="3"/>
  <c r="AJ402" i="3"/>
  <c r="A399" i="3"/>
  <c r="A395" i="3"/>
  <c r="B391" i="3"/>
  <c r="C387" i="3"/>
  <c r="C383" i="3"/>
  <c r="E379" i="3"/>
  <c r="F375" i="3"/>
  <c r="H371" i="3"/>
  <c r="H367" i="3"/>
  <c r="H363" i="3"/>
  <c r="H359" i="3"/>
  <c r="I355" i="3"/>
  <c r="J351" i="3"/>
  <c r="AF347" i="3"/>
  <c r="AG343" i="3"/>
  <c r="AH339" i="3"/>
  <c r="AJ335" i="3"/>
  <c r="B332" i="3"/>
  <c r="C328" i="3"/>
  <c r="E324" i="3"/>
  <c r="F320" i="3"/>
  <c r="F316" i="3"/>
  <c r="G312" i="3"/>
  <c r="I308" i="3"/>
  <c r="I304" i="3"/>
  <c r="J300" i="3"/>
  <c r="J296" i="3"/>
  <c r="AE292" i="3"/>
  <c r="AE288" i="3"/>
  <c r="AF284" i="3"/>
  <c r="AF280" i="3"/>
  <c r="AF276" i="3"/>
  <c r="AF272" i="3"/>
  <c r="AF268" i="3"/>
  <c r="AG264" i="3"/>
  <c r="AG260" i="3"/>
  <c r="AH256" i="3"/>
  <c r="AJ252" i="3"/>
  <c r="A249" i="3"/>
  <c r="B245" i="3"/>
  <c r="B241" i="3"/>
  <c r="C237" i="3"/>
  <c r="C233" i="3"/>
  <c r="C229" i="3"/>
  <c r="D225" i="3"/>
  <c r="D221" i="3"/>
  <c r="E217" i="3"/>
  <c r="E213" i="3"/>
  <c r="F209" i="3"/>
  <c r="F205" i="3"/>
  <c r="F201" i="3"/>
  <c r="G197" i="3"/>
  <c r="J193" i="3"/>
  <c r="AE189" i="3"/>
  <c r="AF185" i="3"/>
  <c r="AG181" i="3"/>
  <c r="AI177" i="3"/>
  <c r="AJ173" i="3"/>
  <c r="AJ169" i="3"/>
  <c r="A166" i="3"/>
  <c r="A162" i="3"/>
  <c r="B158" i="3"/>
  <c r="D154" i="3"/>
  <c r="D150" i="3"/>
  <c r="E146" i="3"/>
  <c r="E142" i="3"/>
  <c r="F138" i="3"/>
  <c r="F134" i="3"/>
  <c r="F130" i="3"/>
  <c r="G126" i="3"/>
  <c r="G122" i="3"/>
  <c r="H118" i="3"/>
  <c r="I114" i="3"/>
  <c r="J110" i="3"/>
  <c r="J106" i="3"/>
  <c r="J102" i="3"/>
  <c r="J98" i="3"/>
  <c r="AG94" i="3"/>
  <c r="AG90" i="3"/>
  <c r="AH86" i="3"/>
  <c r="AH82" i="3"/>
  <c r="AI78" i="3"/>
  <c r="AI74" i="3"/>
  <c r="AI70" i="3"/>
  <c r="AJ66" i="3"/>
  <c r="AJ62" i="3"/>
  <c r="A59" i="3"/>
  <c r="C55" i="3"/>
  <c r="C51" i="3"/>
  <c r="C47" i="3"/>
  <c r="D43" i="3"/>
  <c r="E39" i="3"/>
  <c r="E35" i="3"/>
  <c r="E31" i="3"/>
  <c r="F27" i="3"/>
  <c r="F23" i="3"/>
  <c r="B15" i="26"/>
  <c r="H505" i="25"/>
  <c r="H246" i="25"/>
  <c r="C19" i="25"/>
  <c r="A142" i="23"/>
  <c r="B216" i="22"/>
  <c r="D45" i="22"/>
  <c r="G212" i="19"/>
  <c r="G84" i="19"/>
  <c r="G1" i="19"/>
  <c r="B358" i="17"/>
  <c r="B326" i="17"/>
  <c r="B294" i="17"/>
  <c r="B262" i="17"/>
  <c r="B230" i="17"/>
  <c r="B198" i="17"/>
  <c r="B166" i="17"/>
  <c r="B134" i="17"/>
  <c r="B102" i="17"/>
  <c r="B70" i="17"/>
  <c r="B38" i="17"/>
  <c r="A6" i="17"/>
  <c r="A55" i="15"/>
  <c r="B22" i="14"/>
  <c r="C215" i="12"/>
  <c r="F172" i="12"/>
  <c r="H129" i="12"/>
  <c r="C87" i="12"/>
  <c r="F44" i="12"/>
  <c r="G1" i="12"/>
  <c r="A201" i="11"/>
  <c r="D158" i="11"/>
  <c r="G115" i="11"/>
  <c r="A73" i="11"/>
  <c r="D30" i="11"/>
  <c r="F8" i="9"/>
  <c r="A30" i="8"/>
  <c r="A14" i="8"/>
  <c r="B17" i="7"/>
  <c r="C1" i="7"/>
  <c r="C278" i="6"/>
  <c r="C262" i="6"/>
  <c r="C246" i="6"/>
  <c r="C230" i="6"/>
  <c r="C214" i="6"/>
  <c r="C198" i="6"/>
  <c r="C182" i="6"/>
  <c r="C166" i="6"/>
  <c r="C150" i="6"/>
  <c r="C134" i="6"/>
  <c r="C118" i="6"/>
  <c r="C102" i="6"/>
  <c r="C86" i="6"/>
  <c r="C70" i="6"/>
  <c r="C54" i="6"/>
  <c r="C38" i="6"/>
  <c r="C22" i="6"/>
  <c r="C6" i="6"/>
  <c r="P409" i="5"/>
  <c r="H403" i="5"/>
  <c r="T396" i="5"/>
  <c r="L390" i="5"/>
  <c r="D384" i="5"/>
  <c r="P377" i="5"/>
  <c r="H371" i="5"/>
  <c r="T364" i="5"/>
  <c r="L358" i="5"/>
  <c r="D352" i="5"/>
  <c r="P345" i="5"/>
  <c r="H339" i="5"/>
  <c r="T332" i="5"/>
  <c r="L326" i="5"/>
  <c r="D320" i="5"/>
  <c r="P313" i="5"/>
  <c r="H307" i="5"/>
  <c r="T300" i="5"/>
  <c r="L294" i="5"/>
  <c r="D288" i="5"/>
  <c r="P281" i="5"/>
  <c r="H275" i="5"/>
  <c r="T268" i="5"/>
  <c r="L262" i="5"/>
  <c r="D256" i="5"/>
  <c r="P249" i="5"/>
  <c r="H243" i="5"/>
  <c r="T236" i="5"/>
  <c r="L230" i="5"/>
  <c r="D224" i="5"/>
  <c r="P217" i="5"/>
  <c r="H211" i="5"/>
  <c r="T204" i="5"/>
  <c r="L198" i="5"/>
  <c r="D192" i="5"/>
  <c r="P185" i="5"/>
  <c r="H179" i="5"/>
  <c r="T172" i="5"/>
  <c r="L166" i="5"/>
  <c r="D160" i="5"/>
  <c r="P153" i="5"/>
  <c r="H147" i="5"/>
  <c r="T140" i="5"/>
  <c r="L134" i="5"/>
  <c r="D128" i="5"/>
  <c r="P121" i="5"/>
  <c r="H115" i="5"/>
  <c r="T108" i="5"/>
  <c r="L102" i="5"/>
  <c r="D96" i="5"/>
  <c r="P89" i="5"/>
  <c r="H83" i="5"/>
  <c r="T76" i="5"/>
  <c r="L70" i="5"/>
  <c r="D64" i="5"/>
  <c r="P57" i="5"/>
  <c r="H51" i="5"/>
  <c r="T44" i="5"/>
  <c r="L38" i="5"/>
  <c r="D32" i="5"/>
  <c r="P25" i="5"/>
  <c r="H19" i="5"/>
  <c r="S12" i="5"/>
  <c r="K6" i="5"/>
  <c r="AG405" i="3"/>
  <c r="AH397" i="3"/>
  <c r="AI389" i="3"/>
  <c r="A382" i="3"/>
  <c r="D374" i="3"/>
  <c r="E366" i="3"/>
  <c r="E358" i="3"/>
  <c r="G350" i="3"/>
  <c r="J342" i="3"/>
  <c r="AH334" i="3"/>
  <c r="A327" i="3"/>
  <c r="C319" i="3"/>
  <c r="D311" i="3"/>
  <c r="F303" i="3"/>
  <c r="G295" i="3"/>
  <c r="I287" i="3"/>
  <c r="I279" i="3"/>
  <c r="I271" i="3"/>
  <c r="J263" i="3"/>
  <c r="AE255" i="3"/>
  <c r="AH247" i="3"/>
  <c r="AI239" i="3"/>
  <c r="AJ231" i="3"/>
  <c r="A224" i="3"/>
  <c r="B216" i="3"/>
  <c r="C208" i="3"/>
  <c r="C200" i="3"/>
  <c r="H192" i="3"/>
  <c r="J184" i="3"/>
  <c r="AF176" i="3"/>
  <c r="AG168" i="3"/>
  <c r="AH160" i="3"/>
  <c r="A153" i="3"/>
  <c r="B145" i="3"/>
  <c r="C137" i="3"/>
  <c r="C129" i="3"/>
  <c r="D121" i="3"/>
  <c r="F113" i="3"/>
  <c r="G105" i="3"/>
  <c r="H97" i="3"/>
  <c r="J89" i="3"/>
  <c r="AE81" i="3"/>
  <c r="AF73" i="3"/>
  <c r="AG65" i="3"/>
  <c r="AI57" i="3"/>
  <c r="AJ49" i="3"/>
  <c r="A42" i="3"/>
  <c r="B34" i="3"/>
  <c r="C26" i="3"/>
  <c r="I20" i="3"/>
  <c r="I16" i="3"/>
  <c r="I12" i="3"/>
  <c r="I8" i="3"/>
  <c r="G755" i="25"/>
  <c r="E401" i="25"/>
  <c r="F168" i="25"/>
  <c r="D45" i="24"/>
  <c r="C83" i="23"/>
  <c r="G146" i="22"/>
  <c r="F1" i="21"/>
  <c r="G160" i="19"/>
  <c r="E43" i="19"/>
  <c r="B375" i="17"/>
  <c r="B343" i="17"/>
  <c r="B311" i="17"/>
  <c r="B279" i="17"/>
  <c r="B247" i="17"/>
  <c r="B215" i="17"/>
  <c r="B183" i="17"/>
  <c r="B151" i="17"/>
  <c r="B119" i="17"/>
  <c r="B87" i="17"/>
  <c r="B55" i="17"/>
  <c r="B23" i="17"/>
  <c r="A89" i="15"/>
  <c r="A25" i="15"/>
  <c r="C4" i="13"/>
  <c r="F192" i="12"/>
  <c r="H149" i="12"/>
  <c r="C107" i="12"/>
  <c r="F64" i="12"/>
  <c r="H21" i="12"/>
  <c r="A221" i="11"/>
  <c r="D178" i="11"/>
  <c r="G135" i="11"/>
  <c r="A93" i="11"/>
  <c r="D50" i="11"/>
  <c r="G7" i="11"/>
  <c r="E37" i="8"/>
  <c r="E21" i="8"/>
  <c r="E5" i="8"/>
  <c r="F8" i="7"/>
  <c r="G285" i="6"/>
  <c r="G269" i="6"/>
  <c r="G253" i="6"/>
  <c r="G237" i="6"/>
  <c r="G221" i="6"/>
  <c r="G205" i="6"/>
  <c r="G189" i="6"/>
  <c r="G173" i="6"/>
  <c r="G157" i="6"/>
  <c r="G141" i="6"/>
  <c r="G125" i="6"/>
  <c r="G109" i="6"/>
  <c r="G93" i="6"/>
  <c r="G77" i="6"/>
  <c r="G61" i="6"/>
  <c r="G45" i="6"/>
  <c r="G29" i="6"/>
  <c r="G13" i="6"/>
  <c r="P412" i="5"/>
  <c r="H406" i="5"/>
  <c r="T399" i="5"/>
  <c r="L393" i="5"/>
  <c r="D387" i="5"/>
  <c r="P380" i="5"/>
  <c r="H374" i="5"/>
  <c r="T367" i="5"/>
  <c r="L361" i="5"/>
  <c r="D355" i="5"/>
  <c r="P348" i="5"/>
  <c r="H342" i="5"/>
  <c r="T335" i="5"/>
  <c r="L329" i="5"/>
  <c r="D323" i="5"/>
  <c r="P316" i="5"/>
  <c r="H310" i="5"/>
  <c r="T303" i="5"/>
  <c r="L297" i="5"/>
  <c r="D291" i="5"/>
  <c r="P284" i="5"/>
  <c r="H278" i="5"/>
  <c r="T271" i="5"/>
  <c r="L265" i="5"/>
  <c r="D259" i="5"/>
  <c r="P252" i="5"/>
  <c r="H246" i="5"/>
  <c r="T239" i="5"/>
  <c r="L233" i="5"/>
  <c r="D227" i="5"/>
  <c r="P220" i="5"/>
  <c r="H214" i="5"/>
  <c r="T207" i="5"/>
  <c r="L201" i="5"/>
  <c r="G47" i="33"/>
  <c r="H800" i="25"/>
  <c r="G7" i="31"/>
  <c r="I15" i="26"/>
  <c r="H373" i="25"/>
  <c r="C146" i="25"/>
  <c r="C20" i="24"/>
  <c r="A226" i="22"/>
  <c r="E37" i="22"/>
  <c r="H821" i="25"/>
  <c r="B597" i="25"/>
  <c r="E445" i="25"/>
  <c r="D315" i="25"/>
  <c r="F201" i="25"/>
  <c r="H87" i="25"/>
  <c r="A82" i="24"/>
  <c r="A865" i="25"/>
  <c r="D474" i="25"/>
  <c r="C223" i="25"/>
  <c r="H106" i="24"/>
  <c r="F125" i="23"/>
  <c r="G191" i="22"/>
  <c r="B23" i="22"/>
  <c r="A195" i="19"/>
  <c r="A67" i="19"/>
  <c r="A589" i="25"/>
  <c r="C309" i="25"/>
  <c r="G81" i="25"/>
  <c r="G190" i="23"/>
  <c r="B20" i="23"/>
  <c r="H86" i="22"/>
  <c r="H244" i="19"/>
  <c r="D175" i="19"/>
  <c r="H132" i="19"/>
  <c r="D90" i="19"/>
  <c r="D47" i="19"/>
  <c r="K6" i="26"/>
  <c r="A665" i="25"/>
  <c r="G492" i="25"/>
  <c r="H350" i="25"/>
  <c r="A237" i="25"/>
  <c r="C123" i="25"/>
  <c r="E9" i="25"/>
  <c r="F222" i="23"/>
  <c r="C137" i="23"/>
  <c r="A52" i="23"/>
  <c r="D203" i="22"/>
  <c r="B118" i="22"/>
  <c r="G32" i="22"/>
  <c r="C267" i="19"/>
  <c r="C203" i="19"/>
  <c r="C139" i="19"/>
  <c r="C75" i="19"/>
  <c r="B29" i="19"/>
  <c r="E13" i="18"/>
  <c r="E371" i="17"/>
  <c r="E355" i="17"/>
  <c r="E339" i="17"/>
  <c r="E323" i="17"/>
  <c r="E307" i="17"/>
  <c r="E291" i="17"/>
  <c r="E275" i="17"/>
  <c r="E259" i="17"/>
  <c r="E243" i="17"/>
  <c r="E227" i="17"/>
  <c r="E211" i="17"/>
  <c r="E195" i="17"/>
  <c r="E179" i="17"/>
  <c r="E163" i="17"/>
  <c r="E147" i="17"/>
  <c r="E131" i="17"/>
  <c r="E115" i="17"/>
  <c r="E99" i="17"/>
  <c r="E83" i="17"/>
  <c r="E67" i="17"/>
  <c r="E51" i="17"/>
  <c r="E35" i="17"/>
  <c r="E19" i="17"/>
  <c r="C112" i="15"/>
  <c r="C80" i="15"/>
  <c r="C48" i="15"/>
  <c r="C16" i="15"/>
  <c r="D14" i="14"/>
  <c r="B22" i="32"/>
  <c r="H774" i="25"/>
  <c r="I565" i="25"/>
  <c r="C414" i="25"/>
  <c r="I291" i="25"/>
  <c r="B178" i="25"/>
  <c r="D64" i="25"/>
  <c r="B54" i="24"/>
  <c r="B177" i="23"/>
  <c r="G91" i="23"/>
  <c r="E6" i="23"/>
  <c r="H157" i="22"/>
  <c r="F72" i="22"/>
  <c r="H7" i="21"/>
  <c r="B233" i="19"/>
  <c r="B169" i="19"/>
  <c r="B105" i="19"/>
  <c r="A49" i="19"/>
  <c r="G10" i="19"/>
  <c r="D378" i="17"/>
  <c r="L356" i="17"/>
  <c r="H335" i="17"/>
  <c r="D314" i="17"/>
  <c r="L292" i="17"/>
  <c r="H271" i="17"/>
  <c r="D250" i="17"/>
  <c r="L228" i="17"/>
  <c r="H207" i="17"/>
  <c r="D186" i="17"/>
  <c r="L164" i="17"/>
  <c r="H143" i="17"/>
  <c r="D122" i="17"/>
  <c r="L100" i="17"/>
  <c r="H79" i="17"/>
  <c r="D58" i="17"/>
  <c r="L36" i="17"/>
  <c r="H15" i="17"/>
  <c r="B104" i="15"/>
  <c r="B72" i="15"/>
  <c r="B40" i="15"/>
  <c r="B8" i="15"/>
  <c r="C6" i="14"/>
  <c r="A220" i="12"/>
  <c r="A188" i="12"/>
  <c r="A156" i="12"/>
  <c r="E133" i="12"/>
  <c r="E117" i="12"/>
  <c r="E101" i="12"/>
  <c r="E85" i="12"/>
  <c r="E69" i="12"/>
  <c r="E53" i="12"/>
  <c r="E37" i="12"/>
  <c r="E21" i="12"/>
  <c r="E5" i="12"/>
  <c r="F231" i="11"/>
  <c r="F215" i="11"/>
  <c r="F199" i="11"/>
  <c r="F183" i="11"/>
  <c r="F167" i="11"/>
  <c r="F151" i="11"/>
  <c r="F135" i="11"/>
  <c r="F119" i="11"/>
  <c r="F103" i="11"/>
  <c r="F87" i="11"/>
  <c r="F71" i="11"/>
  <c r="F55" i="11"/>
  <c r="F39" i="11"/>
  <c r="F23" i="11"/>
  <c r="F7" i="11"/>
  <c r="H6" i="9"/>
  <c r="B876" i="25"/>
  <c r="F648" i="25"/>
  <c r="H481" i="25"/>
  <c r="F342" i="25"/>
  <c r="H228" i="25"/>
  <c r="A115" i="25"/>
  <c r="B113" i="24"/>
  <c r="G213" i="23"/>
  <c r="E128" i="23"/>
  <c r="B43" i="23"/>
  <c r="F194" i="22"/>
  <c r="C109" i="22"/>
  <c r="C25" i="22"/>
  <c r="F262" i="19"/>
  <c r="F198" i="19"/>
  <c r="F134" i="19"/>
  <c r="F70" i="19"/>
  <c r="A26" i="19"/>
  <c r="F11" i="18"/>
  <c r="C370" i="17"/>
  <c r="C354" i="17"/>
  <c r="C338" i="17"/>
  <c r="C322" i="17"/>
  <c r="C306" i="17"/>
  <c r="C290" i="17"/>
  <c r="C274" i="17"/>
  <c r="C258" i="17"/>
  <c r="C242" i="17"/>
  <c r="C226" i="17"/>
  <c r="C210" i="17"/>
  <c r="C194" i="17"/>
  <c r="C178" i="17"/>
  <c r="C162" i="17"/>
  <c r="C146" i="17"/>
  <c r="C130" i="17"/>
  <c r="C114" i="17"/>
  <c r="C98" i="17"/>
  <c r="C82" i="17"/>
  <c r="C66" i="17"/>
  <c r="C50" i="17"/>
  <c r="C34" i="17"/>
  <c r="C18" i="17"/>
  <c r="H112" i="15"/>
  <c r="H80" i="15"/>
  <c r="H48" i="15"/>
  <c r="H16" i="15"/>
  <c r="A14" i="14"/>
  <c r="G229" i="12"/>
  <c r="D208" i="12"/>
  <c r="B187" i="12"/>
  <c r="G165" i="12"/>
  <c r="D144" i="12"/>
  <c r="B123" i="12"/>
  <c r="G101" i="12"/>
  <c r="D80" i="12"/>
  <c r="B59" i="12"/>
  <c r="G37" i="12"/>
  <c r="D16" i="12"/>
  <c r="H236" i="11"/>
  <c r="E215" i="11"/>
  <c r="C194" i="11"/>
  <c r="H172" i="11"/>
  <c r="E151" i="11"/>
  <c r="C130" i="11"/>
  <c r="H108" i="11"/>
  <c r="E87" i="11"/>
  <c r="C66" i="11"/>
  <c r="H44" i="11"/>
  <c r="E23" i="11"/>
  <c r="C2" i="11"/>
  <c r="F872" i="25"/>
  <c r="A645" i="25"/>
  <c r="D479" i="25"/>
  <c r="H340" i="25"/>
  <c r="A227" i="25"/>
  <c r="C113" i="25"/>
  <c r="B111" i="24"/>
  <c r="B215" i="23"/>
  <c r="G129" i="23"/>
  <c r="E44" i="23"/>
  <c r="H195" i="22"/>
  <c r="F110" i="22"/>
  <c r="C26" i="22"/>
  <c r="F261" i="19"/>
  <c r="F197" i="19"/>
  <c r="F133" i="19"/>
  <c r="F69" i="19"/>
  <c r="C25" i="19"/>
  <c r="B11" i="18"/>
  <c r="G370" i="17"/>
  <c r="G354" i="17"/>
  <c r="G338" i="17"/>
  <c r="G322" i="17"/>
  <c r="G306" i="17"/>
  <c r="G290" i="17"/>
  <c r="G274" i="17"/>
  <c r="G258" i="17"/>
  <c r="G242" i="17"/>
  <c r="G226" i="17"/>
  <c r="G210" i="17"/>
  <c r="G194" i="17"/>
  <c r="G178" i="17"/>
  <c r="G162" i="17"/>
  <c r="G146" i="17"/>
  <c r="G130" i="17"/>
  <c r="G114" i="17"/>
  <c r="G98" i="17"/>
  <c r="G82" i="17"/>
  <c r="G66" i="17"/>
  <c r="G50" i="17"/>
  <c r="G34" i="17"/>
  <c r="G18" i="17"/>
  <c r="D112" i="15"/>
  <c r="D80" i="15"/>
  <c r="D48" i="15"/>
  <c r="D16" i="15"/>
  <c r="E14" i="14"/>
  <c r="B230" i="12"/>
  <c r="G208" i="12"/>
  <c r="D187" i="12"/>
  <c r="B166" i="12"/>
  <c r="G144" i="12"/>
  <c r="D123" i="12"/>
  <c r="B102" i="12"/>
  <c r="G80" i="12"/>
  <c r="D59" i="12"/>
  <c r="B38" i="12"/>
  <c r="G16" i="12"/>
  <c r="H237" i="11"/>
  <c r="E216" i="11"/>
  <c r="C195" i="11"/>
  <c r="H173" i="11"/>
  <c r="E152" i="11"/>
  <c r="C131" i="11"/>
  <c r="H109" i="11"/>
  <c r="E88" i="11"/>
  <c r="C67" i="11"/>
  <c r="H45" i="11"/>
  <c r="E24" i="11"/>
  <c r="C3" i="11"/>
  <c r="C598" i="25"/>
  <c r="B316" i="25"/>
  <c r="F88" i="25"/>
  <c r="C199" i="23"/>
  <c r="F28" i="23"/>
  <c r="D97" i="22"/>
  <c r="G251" i="19"/>
  <c r="G123" i="19"/>
  <c r="B20" i="19"/>
  <c r="F367" i="17"/>
  <c r="F335" i="17"/>
  <c r="F303" i="17"/>
  <c r="F271" i="17"/>
  <c r="F239" i="17"/>
  <c r="F207" i="17"/>
  <c r="F175" i="17"/>
  <c r="F143" i="17"/>
  <c r="F111" i="17"/>
  <c r="F79" i="17"/>
  <c r="F47" i="17"/>
  <c r="F15" i="17"/>
  <c r="E74" i="15"/>
  <c r="E10" i="15"/>
  <c r="F225" i="12"/>
  <c r="H182" i="12"/>
  <c r="C140" i="12"/>
  <c r="F97" i="12"/>
  <c r="H54" i="12"/>
  <c r="C12" i="12"/>
  <c r="D211" i="11"/>
  <c r="G168" i="11"/>
  <c r="A126" i="11"/>
  <c r="D83" i="11"/>
  <c r="G40" i="11"/>
  <c r="F4" i="10"/>
  <c r="D34" i="8"/>
  <c r="D18" i="8"/>
  <c r="D2" i="8"/>
  <c r="A5" i="7"/>
  <c r="B282" i="6"/>
  <c r="B266" i="6"/>
  <c r="B250" i="6"/>
  <c r="B234" i="6"/>
  <c r="B218" i="6"/>
  <c r="B202" i="6"/>
  <c r="B186" i="6"/>
  <c r="B170" i="6"/>
  <c r="B154" i="6"/>
  <c r="B138" i="6"/>
  <c r="B122" i="6"/>
  <c r="B106" i="6"/>
  <c r="B90" i="6"/>
  <c r="B74" i="6"/>
  <c r="B58" i="6"/>
  <c r="B42" i="6"/>
  <c r="B26" i="6"/>
  <c r="B10" i="6"/>
  <c r="G411" i="5"/>
  <c r="S404" i="5"/>
  <c r="K398" i="5"/>
  <c r="C392" i="5"/>
  <c r="O385" i="5"/>
  <c r="G379" i="5"/>
  <c r="S372" i="5"/>
  <c r="K366" i="5"/>
  <c r="C360" i="5"/>
  <c r="O353" i="5"/>
  <c r="G347" i="5"/>
  <c r="S340" i="5"/>
  <c r="K334" i="5"/>
  <c r="C328" i="5"/>
  <c r="O321" i="5"/>
  <c r="G315" i="5"/>
  <c r="S308" i="5"/>
  <c r="K302" i="5"/>
  <c r="C296" i="5"/>
  <c r="O289" i="5"/>
  <c r="G283" i="5"/>
  <c r="S276" i="5"/>
  <c r="K270" i="5"/>
  <c r="C264" i="5"/>
  <c r="O257" i="5"/>
  <c r="G251" i="5"/>
  <c r="S244" i="5"/>
  <c r="K238" i="5"/>
  <c r="C232" i="5"/>
  <c r="O225" i="5"/>
  <c r="G219" i="5"/>
  <c r="S212" i="5"/>
  <c r="K206" i="5"/>
  <c r="C200" i="5"/>
  <c r="O193" i="5"/>
  <c r="G187" i="5"/>
  <c r="S180" i="5"/>
  <c r="K174" i="5"/>
  <c r="C168" i="5"/>
  <c r="O161" i="5"/>
  <c r="G155" i="5"/>
  <c r="S148" i="5"/>
  <c r="K142" i="5"/>
  <c r="C136" i="5"/>
  <c r="O129" i="5"/>
  <c r="G123" i="5"/>
  <c r="S116" i="5"/>
  <c r="K110" i="5"/>
  <c r="C104" i="5"/>
  <c r="O97" i="5"/>
  <c r="G91" i="5"/>
  <c r="S84" i="5"/>
  <c r="K78" i="5"/>
  <c r="C72" i="5"/>
  <c r="O65" i="5"/>
  <c r="G59" i="5"/>
  <c r="S52" i="5"/>
  <c r="K46" i="5"/>
  <c r="C40" i="5"/>
  <c r="O33" i="5"/>
  <c r="G27" i="5"/>
  <c r="S20" i="5"/>
  <c r="J14" i="5"/>
  <c r="B8" i="5"/>
  <c r="AF407" i="3"/>
  <c r="AH399" i="3"/>
  <c r="AJ391" i="3"/>
  <c r="A384" i="3"/>
  <c r="D376" i="3"/>
  <c r="F368" i="3"/>
  <c r="F360" i="3"/>
  <c r="H352" i="3"/>
  <c r="AE344" i="3"/>
  <c r="AG336" i="3"/>
  <c r="A329" i="3"/>
  <c r="D321" i="3"/>
  <c r="E313" i="3"/>
  <c r="G305" i="3"/>
  <c r="H297" i="3"/>
  <c r="I289" i="3"/>
  <c r="J281" i="3"/>
  <c r="J273" i="3"/>
  <c r="AE265" i="3"/>
  <c r="AF257" i="3"/>
  <c r="AH249" i="3"/>
  <c r="AJ241" i="3"/>
  <c r="A234" i="3"/>
  <c r="B226" i="3"/>
  <c r="C218" i="3"/>
  <c r="D210" i="3"/>
  <c r="D202" i="3"/>
  <c r="G194" i="3"/>
  <c r="J186" i="3"/>
  <c r="AF178" i="3"/>
  <c r="AH170" i="3"/>
  <c r="AI162" i="3"/>
  <c r="A155" i="3"/>
  <c r="C147" i="3"/>
  <c r="D139" i="3"/>
  <c r="D131" i="3"/>
  <c r="E123" i="3"/>
  <c r="G115" i="3"/>
  <c r="H107" i="3"/>
  <c r="H99" i="3"/>
  <c r="AE91" i="3"/>
  <c r="AF83" i="3"/>
  <c r="AG75" i="3"/>
  <c r="AH67" i="3"/>
  <c r="AI59" i="3"/>
  <c r="A52" i="3"/>
  <c r="B44" i="3"/>
  <c r="C36" i="3"/>
  <c r="D28" i="3"/>
  <c r="C759" i="25"/>
  <c r="H403" i="25"/>
  <c r="D170" i="25"/>
  <c r="D47" i="24"/>
  <c r="F84" i="23"/>
  <c r="D153" i="22"/>
  <c r="B165" i="19"/>
  <c r="C46" i="19"/>
  <c r="L376" i="17"/>
  <c r="D334" i="17"/>
  <c r="H291" i="17"/>
  <c r="L248" i="17"/>
  <c r="D206" i="17"/>
  <c r="H163" i="17"/>
  <c r="L120" i="17"/>
  <c r="D78" i="17"/>
  <c r="H35" i="17"/>
  <c r="B102" i="15"/>
  <c r="B38" i="15"/>
  <c r="C4" i="14"/>
  <c r="A186" i="12"/>
  <c r="E132" i="12"/>
  <c r="E100" i="12"/>
  <c r="E68" i="12"/>
  <c r="E36" i="12"/>
  <c r="E4" i="12"/>
  <c r="F214" i="11"/>
  <c r="F182" i="11"/>
  <c r="F150" i="11"/>
  <c r="F118" i="11"/>
  <c r="F86" i="11"/>
  <c r="F54" i="11"/>
  <c r="F22" i="11"/>
  <c r="H5" i="9"/>
  <c r="D634" i="25"/>
  <c r="E335" i="25"/>
  <c r="I107" i="25"/>
  <c r="E208" i="23"/>
  <c r="G37" i="23"/>
  <c r="H103" i="22"/>
  <c r="F258" i="19"/>
  <c r="F130" i="19"/>
  <c r="E23" i="19"/>
  <c r="C369" i="17"/>
  <c r="C337" i="17"/>
  <c r="C305" i="17"/>
  <c r="C273" i="17"/>
  <c r="C241" i="17"/>
  <c r="C209" i="17"/>
  <c r="C177" i="17"/>
  <c r="C145" i="17"/>
  <c r="C113" i="17"/>
  <c r="C81" i="17"/>
  <c r="C49" i="17"/>
  <c r="C17" i="17"/>
  <c r="H78" i="15"/>
  <c r="H14" i="15"/>
  <c r="D228" i="12"/>
  <c r="G185" i="12"/>
  <c r="B143" i="12"/>
  <c r="D100" i="12"/>
  <c r="G57" i="12"/>
  <c r="B15" i="12"/>
  <c r="C214" i="11"/>
  <c r="E171" i="11"/>
  <c r="H128" i="11"/>
  <c r="C86" i="11"/>
  <c r="E43" i="11"/>
  <c r="F5" i="10"/>
  <c r="H630" i="25"/>
  <c r="G333" i="25"/>
  <c r="B106" i="25"/>
  <c r="G209" i="23"/>
  <c r="B39" i="23"/>
  <c r="C105" i="22"/>
  <c r="F257" i="19"/>
  <c r="F129" i="19"/>
  <c r="A23" i="19"/>
  <c r="G369" i="17"/>
  <c r="G337" i="17"/>
  <c r="G305" i="17"/>
  <c r="G273" i="17"/>
  <c r="G241" i="17"/>
  <c r="G209" i="17"/>
  <c r="G177" i="17"/>
  <c r="G145" i="17"/>
  <c r="G113" i="17"/>
  <c r="G81" i="17"/>
  <c r="G49" i="17"/>
  <c r="G17" i="17"/>
  <c r="D110" i="15"/>
  <c r="D90" i="15"/>
  <c r="D70" i="15"/>
  <c r="D46" i="15"/>
  <c r="D30" i="15"/>
  <c r="D14" i="15"/>
  <c r="E28" i="14"/>
  <c r="E12" i="14"/>
  <c r="F11" i="13"/>
  <c r="G228" i="12"/>
  <c r="B218" i="12"/>
  <c r="D207" i="12"/>
  <c r="G196" i="12"/>
  <c r="B186" i="12"/>
  <c r="D175" i="12"/>
  <c r="G164" i="12"/>
  <c r="B154" i="12"/>
  <c r="D143" i="12"/>
  <c r="G132" i="12"/>
  <c r="B122" i="12"/>
  <c r="D111" i="12"/>
  <c r="G100" i="12"/>
  <c r="B90" i="12"/>
  <c r="D79" i="12"/>
  <c r="G68" i="12"/>
  <c r="B58" i="12"/>
  <c r="D47" i="12"/>
  <c r="G36" i="12"/>
  <c r="B26" i="12"/>
  <c r="D15" i="12"/>
  <c r="G4" i="12"/>
  <c r="E236" i="11"/>
  <c r="H225" i="11"/>
  <c r="C215" i="11"/>
  <c r="E204" i="11"/>
  <c r="H193" i="11"/>
  <c r="C183" i="11"/>
  <c r="E172" i="11"/>
  <c r="H161" i="11"/>
  <c r="C151" i="11"/>
  <c r="E140" i="11"/>
  <c r="H129" i="11"/>
  <c r="C119" i="11"/>
  <c r="E108" i="11"/>
  <c r="H97" i="11"/>
  <c r="C87" i="11"/>
  <c r="E76" i="11"/>
  <c r="H65" i="11"/>
  <c r="C55" i="11"/>
  <c r="E44" i="11"/>
  <c r="H33" i="11"/>
  <c r="C23" i="11"/>
  <c r="E12" i="11"/>
  <c r="D85" i="33"/>
  <c r="H794" i="25"/>
  <c r="C579" i="25"/>
  <c r="F427" i="25"/>
  <c r="I301" i="25"/>
  <c r="B188" i="25"/>
  <c r="D74" i="25"/>
  <c r="D67" i="24"/>
  <c r="F188" i="23"/>
  <c r="C103" i="23"/>
  <c r="A18" i="23"/>
  <c r="B172" i="22"/>
  <c r="G86" i="22"/>
  <c r="D8" i="22"/>
  <c r="G243" i="19"/>
  <c r="G179" i="19"/>
  <c r="G115" i="19"/>
  <c r="B56" i="19"/>
  <c r="B16" i="19"/>
  <c r="C3" i="18"/>
  <c r="F365" i="17"/>
  <c r="F349" i="17"/>
  <c r="F333" i="17"/>
  <c r="F317" i="17"/>
  <c r="F301" i="17"/>
  <c r="F285" i="17"/>
  <c r="F269" i="17"/>
  <c r="F253" i="17"/>
  <c r="F237" i="17"/>
  <c r="F221" i="17"/>
  <c r="F205" i="17"/>
  <c r="F189" i="17"/>
  <c r="F173" i="17"/>
  <c r="F157" i="17"/>
  <c r="F141" i="17"/>
  <c r="F125" i="17"/>
  <c r="F109" i="17"/>
  <c r="F93" i="17"/>
  <c r="F77" i="17"/>
  <c r="F61" i="17"/>
  <c r="F45" i="17"/>
  <c r="F29" i="17"/>
  <c r="F13" i="17"/>
  <c r="E102" i="15"/>
  <c r="E70" i="15"/>
  <c r="E38" i="15"/>
  <c r="E6" i="15"/>
  <c r="F5" i="14"/>
  <c r="H222" i="12"/>
  <c r="F201" i="12"/>
  <c r="C180" i="12"/>
  <c r="H158" i="12"/>
  <c r="F137" i="12"/>
  <c r="C116" i="12"/>
  <c r="H94" i="12"/>
  <c r="F73" i="12"/>
  <c r="C52" i="12"/>
  <c r="H30" i="12"/>
  <c r="F9" i="12"/>
  <c r="A230" i="11"/>
  <c r="G208" i="11"/>
  <c r="D187" i="11"/>
  <c r="A166" i="11"/>
  <c r="G144" i="11"/>
  <c r="D123" i="11"/>
  <c r="A102" i="11"/>
  <c r="G80" i="11"/>
  <c r="D59" i="11"/>
  <c r="A38" i="11"/>
  <c r="G16" i="11"/>
  <c r="H2" i="10"/>
  <c r="E2" i="9"/>
  <c r="D33" i="8"/>
  <c r="D25" i="8"/>
  <c r="D17" i="8"/>
  <c r="D9" i="8"/>
  <c r="A1" i="8"/>
  <c r="A12" i="7"/>
  <c r="A4" i="7"/>
  <c r="B289" i="6"/>
  <c r="B281" i="6"/>
  <c r="B273" i="6"/>
  <c r="B265" i="6"/>
  <c r="B257" i="6"/>
  <c r="B249" i="6"/>
  <c r="B241" i="6"/>
  <c r="B233" i="6"/>
  <c r="B225" i="6"/>
  <c r="B217" i="6"/>
  <c r="B209" i="6"/>
  <c r="B201" i="6"/>
  <c r="B193" i="6"/>
  <c r="B185" i="6"/>
  <c r="B177" i="6"/>
  <c r="B169" i="6"/>
  <c r="B161" i="6"/>
  <c r="B153" i="6"/>
  <c r="B145" i="6"/>
  <c r="B137" i="6"/>
  <c r="B129" i="6"/>
  <c r="B121" i="6"/>
  <c r="B113" i="6"/>
  <c r="B105" i="6"/>
  <c r="B97" i="6"/>
  <c r="B89" i="6"/>
  <c r="B81" i="6"/>
  <c r="B73" i="6"/>
  <c r="B65" i="6"/>
  <c r="B57" i="6"/>
  <c r="B49" i="6"/>
  <c r="B41" i="6"/>
  <c r="B33" i="6"/>
  <c r="B25" i="6"/>
  <c r="B17" i="6"/>
  <c r="B9" i="6"/>
  <c r="C1" i="6"/>
  <c r="S410" i="5"/>
  <c r="O407" i="5"/>
  <c r="K404" i="5"/>
  <c r="G401" i="5"/>
  <c r="C398" i="5"/>
  <c r="S394" i="5"/>
  <c r="O391" i="5"/>
  <c r="K388" i="5"/>
  <c r="G385" i="5"/>
  <c r="C382" i="5"/>
  <c r="S378" i="5"/>
  <c r="O375" i="5"/>
  <c r="K372" i="5"/>
  <c r="G369" i="5"/>
  <c r="C366" i="5"/>
  <c r="S362" i="5"/>
  <c r="O359" i="5"/>
  <c r="K356" i="5"/>
  <c r="G353" i="5"/>
  <c r="C350" i="5"/>
  <c r="S346" i="5"/>
  <c r="O343" i="5"/>
  <c r="K340" i="5"/>
  <c r="G337" i="5"/>
  <c r="C334" i="5"/>
  <c r="S330" i="5"/>
  <c r="O327" i="5"/>
  <c r="K324" i="5"/>
  <c r="G321" i="5"/>
  <c r="C318" i="5"/>
  <c r="S314" i="5"/>
  <c r="O311" i="5"/>
  <c r="K308" i="5"/>
  <c r="G305" i="5"/>
  <c r="C302" i="5"/>
  <c r="S298" i="5"/>
  <c r="O295" i="5"/>
  <c r="K292" i="5"/>
  <c r="G289" i="5"/>
  <c r="C286" i="5"/>
  <c r="S282" i="5"/>
  <c r="O279" i="5"/>
  <c r="K276" i="5"/>
  <c r="G273" i="5"/>
  <c r="C270" i="5"/>
  <c r="S266" i="5"/>
  <c r="O263" i="5"/>
  <c r="K260" i="5"/>
  <c r="G257" i="5"/>
  <c r="C254" i="5"/>
  <c r="S250" i="5"/>
  <c r="O247" i="5"/>
  <c r="K244" i="5"/>
  <c r="G241" i="5"/>
  <c r="C238" i="5"/>
  <c r="S234" i="5"/>
  <c r="O231" i="5"/>
  <c r="K228" i="5"/>
  <c r="G225" i="5"/>
  <c r="C222" i="5"/>
  <c r="S218" i="5"/>
  <c r="O215" i="5"/>
  <c r="K212" i="5"/>
  <c r="G209" i="5"/>
  <c r="C206" i="5"/>
  <c r="S202" i="5"/>
  <c r="O199" i="5"/>
  <c r="K196" i="5"/>
  <c r="G193" i="5"/>
  <c r="C190" i="5"/>
  <c r="S186" i="5"/>
  <c r="O183" i="5"/>
  <c r="K180" i="5"/>
  <c r="G177" i="5"/>
  <c r="C174" i="5"/>
  <c r="S170" i="5"/>
  <c r="O167" i="5"/>
  <c r="K164" i="5"/>
  <c r="G161" i="5"/>
  <c r="C158" i="5"/>
  <c r="S154" i="5"/>
  <c r="O151" i="5"/>
  <c r="K148" i="5"/>
  <c r="G145" i="5"/>
  <c r="C142" i="5"/>
  <c r="S138" i="5"/>
  <c r="O135" i="5"/>
  <c r="K132" i="5"/>
  <c r="G129" i="5"/>
  <c r="C126" i="5"/>
  <c r="S122" i="5"/>
  <c r="O119" i="5"/>
  <c r="K116" i="5"/>
  <c r="G113" i="5"/>
  <c r="C110" i="5"/>
  <c r="S106" i="5"/>
  <c r="O103" i="5"/>
  <c r="K100" i="5"/>
  <c r="G97" i="5"/>
  <c r="C94" i="5"/>
  <c r="S90" i="5"/>
  <c r="O87" i="5"/>
  <c r="K84" i="5"/>
  <c r="G81" i="5"/>
  <c r="C78" i="5"/>
  <c r="S74" i="5"/>
  <c r="O71" i="5"/>
  <c r="K68" i="5"/>
  <c r="G65" i="5"/>
  <c r="C62" i="5"/>
  <c r="S58" i="5"/>
  <c r="O55" i="5"/>
  <c r="K52" i="5"/>
  <c r="G49" i="5"/>
  <c r="C46" i="5"/>
  <c r="S42" i="5"/>
  <c r="O39" i="5"/>
  <c r="K36" i="5"/>
  <c r="G33" i="5"/>
  <c r="C30" i="5"/>
  <c r="S26" i="5"/>
  <c r="O23" i="5"/>
  <c r="K20" i="5"/>
  <c r="G17" i="5"/>
  <c r="B14" i="5"/>
  <c r="R10" i="5"/>
  <c r="N7" i="5"/>
  <c r="C411" i="3"/>
  <c r="E407" i="3"/>
  <c r="F403" i="3"/>
  <c r="G399" i="3"/>
  <c r="G395" i="3"/>
  <c r="H391" i="3"/>
  <c r="I387" i="3"/>
  <c r="I383" i="3"/>
  <c r="AE379" i="3"/>
  <c r="AF375" i="3"/>
  <c r="AH371" i="3"/>
  <c r="AH367" i="3"/>
  <c r="AH363" i="3"/>
  <c r="AH359" i="3"/>
  <c r="AI355" i="3"/>
  <c r="AJ351" i="3"/>
  <c r="B348" i="3"/>
  <c r="C344" i="3"/>
  <c r="D340" i="3"/>
  <c r="F336" i="3"/>
  <c r="H332" i="3"/>
  <c r="I328" i="3"/>
  <c r="AD324" i="3"/>
  <c r="AF320" i="3"/>
  <c r="AF316" i="3"/>
  <c r="AG312" i="3"/>
  <c r="AH308" i="3"/>
  <c r="AI304" i="3"/>
  <c r="AJ300" i="3"/>
  <c r="AJ296" i="3"/>
  <c r="A293" i="3"/>
  <c r="A289" i="3"/>
  <c r="B285" i="3"/>
  <c r="B281" i="3"/>
  <c r="B277" i="3"/>
  <c r="B273" i="3"/>
  <c r="B269" i="3"/>
  <c r="C265" i="3"/>
  <c r="C261" i="3"/>
  <c r="D257" i="3"/>
  <c r="F253" i="3"/>
  <c r="G249" i="3"/>
  <c r="H245" i="3"/>
  <c r="H241" i="3"/>
  <c r="I237" i="3"/>
  <c r="I233" i="3"/>
  <c r="I229" i="3"/>
  <c r="J225" i="3"/>
  <c r="J221" i="3"/>
  <c r="AE217" i="3"/>
  <c r="AE213" i="3"/>
  <c r="AF209" i="3"/>
  <c r="AF205" i="3"/>
  <c r="AF201" i="3"/>
  <c r="AG197" i="3"/>
  <c r="AI193" i="3"/>
  <c r="A190" i="3"/>
  <c r="B186" i="3"/>
  <c r="C182" i="3"/>
  <c r="E178" i="3"/>
  <c r="F174" i="3"/>
  <c r="F170" i="3"/>
  <c r="G166" i="3"/>
  <c r="G162" i="3"/>
  <c r="H158" i="3"/>
  <c r="J154" i="3"/>
  <c r="J150" i="3"/>
  <c r="AE146" i="3"/>
  <c r="AE142" i="3"/>
  <c r="AF138" i="3"/>
  <c r="AF134" i="3"/>
  <c r="AF130" i="3"/>
  <c r="AF126" i="3"/>
  <c r="AG122" i="3"/>
  <c r="AH118" i="3"/>
  <c r="AI114" i="3"/>
  <c r="AJ110" i="3"/>
  <c r="AJ106" i="3"/>
  <c r="AJ102" i="3"/>
  <c r="AJ98" i="3"/>
  <c r="C95" i="3"/>
  <c r="C91" i="3"/>
  <c r="D87" i="3"/>
  <c r="D83" i="3"/>
  <c r="E79" i="3"/>
  <c r="E75" i="3"/>
  <c r="E71" i="3"/>
  <c r="F67" i="3"/>
  <c r="F63" i="3"/>
  <c r="G59" i="3"/>
  <c r="I55" i="3"/>
  <c r="I51" i="3"/>
  <c r="I47" i="3"/>
  <c r="J43" i="3"/>
  <c r="AE39" i="3"/>
  <c r="AE35" i="3"/>
  <c r="AE31" i="3"/>
  <c r="AF27" i="3"/>
  <c r="B47" i="26"/>
  <c r="H730" i="25"/>
  <c r="F536" i="25"/>
  <c r="I384" i="25"/>
  <c r="I269" i="25"/>
  <c r="B156" i="25"/>
  <c r="D42" i="25"/>
  <c r="D31" i="24"/>
  <c r="C159" i="23"/>
  <c r="A74" i="23"/>
  <c r="B228" i="22"/>
  <c r="G142" i="22"/>
  <c r="D57" i="22"/>
  <c r="G285" i="19"/>
  <c r="G221" i="19"/>
  <c r="G157" i="19"/>
  <c r="G93" i="19"/>
  <c r="E41" i="19"/>
  <c r="B5" i="19"/>
  <c r="N376" i="17"/>
  <c r="N360" i="17"/>
  <c r="N344" i="17"/>
  <c r="N328" i="17"/>
  <c r="N312" i="17"/>
  <c r="N296" i="17"/>
  <c r="N280" i="17"/>
  <c r="N264" i="17"/>
  <c r="N248" i="17"/>
  <c r="N232" i="17"/>
  <c r="N216" i="17"/>
  <c r="N200" i="17"/>
  <c r="N184" i="17"/>
  <c r="N168" i="17"/>
  <c r="N152" i="17"/>
  <c r="N136" i="17"/>
  <c r="N120" i="17"/>
  <c r="N104" i="17"/>
  <c r="N88" i="17"/>
  <c r="N72" i="17"/>
  <c r="N56" i="17"/>
  <c r="N40" i="17"/>
  <c r="N24" i="17"/>
  <c r="M8" i="17"/>
  <c r="E93" i="15"/>
  <c r="E61" i="15"/>
  <c r="E29" i="15"/>
  <c r="F26" i="14"/>
  <c r="G10" i="13"/>
  <c r="C218" i="12"/>
  <c r="H196" i="12"/>
  <c r="F175" i="12"/>
  <c r="C154" i="12"/>
  <c r="H132" i="12"/>
  <c r="F111" i="12"/>
  <c r="C90" i="12"/>
  <c r="H68" i="12"/>
  <c r="F47" i="12"/>
  <c r="C26" i="12"/>
  <c r="H4" i="12"/>
  <c r="D225" i="11"/>
  <c r="A204" i="11"/>
  <c r="G182" i="11"/>
  <c r="D161" i="11"/>
  <c r="A140" i="11"/>
  <c r="G118" i="11"/>
  <c r="D97" i="11"/>
  <c r="A76" i="11"/>
  <c r="G54" i="11"/>
  <c r="D33" i="11"/>
  <c r="A12" i="11"/>
  <c r="B10" i="9"/>
  <c r="B39" i="8"/>
  <c r="C30" i="27"/>
  <c r="A595" i="25"/>
  <c r="C792" i="25"/>
  <c r="I542" i="25"/>
  <c r="B271" i="25"/>
  <c r="F43" i="25"/>
  <c r="H129" i="23"/>
  <c r="E110" i="22"/>
  <c r="H36" i="26"/>
  <c r="F719" i="25"/>
  <c r="A529" i="25"/>
  <c r="A378" i="25"/>
  <c r="C264" i="25"/>
  <c r="E150" i="25"/>
  <c r="G36" i="25"/>
  <c r="E24" i="24"/>
  <c r="F660" i="25"/>
  <c r="F348" i="25"/>
  <c r="A121" i="25"/>
  <c r="F219" i="23"/>
  <c r="A49" i="23"/>
  <c r="B115" i="22"/>
  <c r="E265" i="19"/>
  <c r="E137" i="19"/>
  <c r="F832" i="25"/>
  <c r="G452" i="25"/>
  <c r="A207" i="25"/>
  <c r="F88" i="24"/>
  <c r="B114" i="23"/>
  <c r="H180" i="22"/>
  <c r="A15" i="22"/>
  <c r="H202" i="19"/>
  <c r="D156" i="19"/>
  <c r="D113" i="19"/>
  <c r="H70" i="19"/>
  <c r="D28" i="19"/>
  <c r="E789" i="25"/>
  <c r="G575" i="25"/>
  <c r="A424" i="25"/>
  <c r="C299" i="25"/>
  <c r="E185" i="25"/>
  <c r="G71" i="25"/>
  <c r="D64" i="24"/>
  <c r="A184" i="23"/>
  <c r="F98" i="23"/>
  <c r="C13" i="23"/>
  <c r="G164" i="22"/>
  <c r="D79" i="22"/>
  <c r="H2" i="22"/>
  <c r="C238" i="19"/>
  <c r="C174" i="19"/>
  <c r="C110" i="19"/>
  <c r="E52" i="19"/>
  <c r="D13" i="19"/>
  <c r="A380" i="17"/>
  <c r="A364" i="17"/>
  <c r="A348" i="17"/>
  <c r="A332" i="17"/>
  <c r="A316" i="17"/>
  <c r="A300" i="17"/>
  <c r="A284" i="17"/>
  <c r="A268" i="17"/>
  <c r="A252" i="17"/>
  <c r="A236" i="17"/>
  <c r="A220" i="17"/>
  <c r="A204" i="17"/>
  <c r="A188" i="17"/>
  <c r="A172" i="17"/>
  <c r="A156" i="17"/>
  <c r="A140" i="17"/>
  <c r="A124" i="17"/>
  <c r="A108" i="17"/>
  <c r="A92" i="17"/>
  <c r="A76" i="17"/>
  <c r="A60" i="17"/>
  <c r="A44" i="17"/>
  <c r="A28" i="17"/>
  <c r="A12" i="17"/>
  <c r="G97" i="15"/>
  <c r="G65" i="15"/>
  <c r="G33" i="15"/>
  <c r="H1" i="15"/>
  <c r="E14" i="13"/>
  <c r="C10" i="26"/>
  <c r="G671" i="25"/>
  <c r="B497" i="25"/>
  <c r="B354" i="25"/>
  <c r="D240" i="25"/>
  <c r="F126" i="25"/>
  <c r="H12" i="25"/>
  <c r="G223" i="23"/>
  <c r="E138" i="23"/>
  <c r="B53" i="23"/>
  <c r="F204" i="22"/>
  <c r="C119" i="22"/>
  <c r="H33" i="22"/>
  <c r="B268" i="19"/>
  <c r="B204" i="19"/>
  <c r="B140" i="19"/>
  <c r="B76" i="19"/>
  <c r="F29" i="19"/>
  <c r="D14" i="18"/>
  <c r="H368" i="17"/>
  <c r="D347" i="17"/>
  <c r="L325" i="17"/>
  <c r="H304" i="17"/>
  <c r="D283" i="17"/>
  <c r="L261" i="17"/>
  <c r="H240" i="17"/>
  <c r="D219" i="17"/>
  <c r="L197" i="17"/>
  <c r="H176" i="17"/>
  <c r="D155" i="17"/>
  <c r="L133" i="17"/>
  <c r="H112" i="17"/>
  <c r="D91" i="17"/>
  <c r="L69" i="17"/>
  <c r="H48" i="17"/>
  <c r="D27" i="17"/>
  <c r="O6" i="17"/>
  <c r="F89" i="15"/>
  <c r="F57" i="15"/>
  <c r="F25" i="15"/>
  <c r="G23" i="14"/>
  <c r="H6" i="13"/>
  <c r="E205" i="12"/>
  <c r="E173" i="12"/>
  <c r="A142" i="12"/>
  <c r="A126" i="12"/>
  <c r="A110" i="12"/>
  <c r="A94" i="12"/>
  <c r="A78" i="12"/>
  <c r="A62" i="12"/>
  <c r="A46" i="12"/>
  <c r="A30" i="12"/>
  <c r="A14" i="12"/>
  <c r="B240" i="11"/>
  <c r="B224" i="11"/>
  <c r="B208" i="11"/>
  <c r="B192" i="11"/>
  <c r="B176" i="11"/>
  <c r="B160" i="11"/>
  <c r="B144" i="11"/>
  <c r="B128" i="11"/>
  <c r="B112" i="11"/>
  <c r="B96" i="11"/>
  <c r="B80" i="11"/>
  <c r="B64" i="11"/>
  <c r="B48" i="11"/>
  <c r="B32" i="11"/>
  <c r="B16" i="11"/>
  <c r="C5" i="10"/>
  <c r="F1" i="31"/>
  <c r="E769" i="25"/>
  <c r="D562" i="25"/>
  <c r="G410" i="25"/>
  <c r="C289" i="25"/>
  <c r="E175" i="25"/>
  <c r="G61" i="25"/>
  <c r="B53" i="24"/>
  <c r="G173" i="23"/>
  <c r="E88" i="23"/>
  <c r="B3" i="23"/>
  <c r="F154" i="22"/>
  <c r="C69" i="22"/>
  <c r="D4" i="21"/>
  <c r="F232" i="19"/>
  <c r="F168" i="19"/>
  <c r="F104" i="19"/>
  <c r="F48" i="19"/>
  <c r="E10" i="19"/>
  <c r="K378" i="17"/>
  <c r="K362" i="17"/>
  <c r="K346" i="17"/>
  <c r="K330" i="17"/>
  <c r="K314" i="17"/>
  <c r="K298" i="17"/>
  <c r="K282" i="17"/>
  <c r="K266" i="17"/>
  <c r="K250" i="17"/>
  <c r="K234" i="17"/>
  <c r="K218" i="17"/>
  <c r="K202" i="17"/>
  <c r="K186" i="17"/>
  <c r="K170" i="17"/>
  <c r="K154" i="17"/>
  <c r="K138" i="17"/>
  <c r="K122" i="17"/>
  <c r="K106" i="17"/>
  <c r="K90" i="17"/>
  <c r="K74" i="17"/>
  <c r="K58" i="17"/>
  <c r="K42" i="17"/>
  <c r="K26" i="17"/>
  <c r="J10" i="17"/>
  <c r="H97" i="15"/>
  <c r="H65" i="15"/>
  <c r="H33" i="15"/>
  <c r="A1" i="15"/>
  <c r="B14" i="13"/>
  <c r="G219" i="12"/>
  <c r="D198" i="12"/>
  <c r="B177" i="12"/>
  <c r="G155" i="12"/>
  <c r="D134" i="12"/>
  <c r="B113" i="12"/>
  <c r="G91" i="12"/>
  <c r="D70" i="12"/>
  <c r="B49" i="12"/>
  <c r="G27" i="12"/>
  <c r="D6" i="12"/>
  <c r="H226" i="11"/>
  <c r="E205" i="11"/>
  <c r="C184" i="11"/>
  <c r="H162" i="11"/>
  <c r="E141" i="11"/>
  <c r="C120" i="11"/>
  <c r="H98" i="11"/>
  <c r="E77" i="11"/>
  <c r="C56" i="11"/>
  <c r="H34" i="11"/>
  <c r="E13" i="11"/>
  <c r="A1" i="29"/>
  <c r="I765" i="25"/>
  <c r="A560" i="25"/>
  <c r="C408" i="25"/>
  <c r="E287" i="25"/>
  <c r="G173" i="25"/>
  <c r="I59" i="25"/>
  <c r="B51" i="24"/>
  <c r="B175" i="23"/>
  <c r="G89" i="23"/>
  <c r="E4" i="23"/>
  <c r="H155" i="22"/>
  <c r="F70" i="22"/>
  <c r="D7" i="21"/>
  <c r="F231" i="19"/>
  <c r="F167" i="19"/>
  <c r="F103" i="19"/>
  <c r="A48" i="19"/>
  <c r="A10" i="19"/>
  <c r="O378" i="17"/>
  <c r="O362" i="17"/>
  <c r="O346" i="17"/>
  <c r="O330" i="17"/>
  <c r="O314" i="17"/>
  <c r="O298" i="17"/>
  <c r="O282" i="17"/>
  <c r="O266" i="17"/>
  <c r="O250" i="17"/>
  <c r="O234" i="17"/>
  <c r="O218" i="17"/>
  <c r="O202" i="17"/>
  <c r="O186" i="17"/>
  <c r="O170" i="17"/>
  <c r="O154" i="17"/>
  <c r="O138" i="17"/>
  <c r="O122" i="17"/>
  <c r="O106" i="17"/>
  <c r="O90" i="17"/>
  <c r="O74" i="17"/>
  <c r="O58" i="17"/>
  <c r="O42" i="17"/>
  <c r="O26" i="17"/>
  <c r="N10" i="17"/>
  <c r="D97" i="15"/>
  <c r="D65" i="15"/>
  <c r="D33" i="15"/>
  <c r="E1" i="15"/>
  <c r="F14" i="13"/>
  <c r="B220" i="12"/>
  <c r="G198" i="12"/>
  <c r="D177" i="12"/>
  <c r="B156" i="12"/>
  <c r="G134" i="12"/>
  <c r="D113" i="12"/>
  <c r="B92" i="12"/>
  <c r="G70" i="12"/>
  <c r="D49" i="12"/>
  <c r="B28" i="12"/>
  <c r="G6" i="12"/>
  <c r="H227" i="11"/>
  <c r="E206" i="11"/>
  <c r="C185" i="11"/>
  <c r="H163" i="11"/>
  <c r="E142" i="11"/>
  <c r="C121" i="11"/>
  <c r="H99" i="11"/>
  <c r="E78" i="11"/>
  <c r="C57" i="11"/>
  <c r="H35" i="11"/>
  <c r="E14" i="11"/>
  <c r="E837" i="25"/>
  <c r="A456" i="25"/>
  <c r="E209" i="25"/>
  <c r="D91" i="24"/>
  <c r="C119" i="23"/>
  <c r="B188" i="22"/>
  <c r="D20" i="22"/>
  <c r="G191" i="19"/>
  <c r="B64" i="19"/>
  <c r="C9" i="18"/>
  <c r="F352" i="17"/>
  <c r="F320" i="17"/>
  <c r="F288" i="17"/>
  <c r="F256" i="17"/>
  <c r="F224" i="17"/>
  <c r="F192" i="17"/>
  <c r="F160" i="17"/>
  <c r="F128" i="17"/>
  <c r="F96" i="17"/>
  <c r="F64" i="17"/>
  <c r="F32" i="17"/>
  <c r="E108" i="15"/>
  <c r="E44" i="15"/>
  <c r="F11" i="14"/>
  <c r="F205" i="12"/>
  <c r="H162" i="12"/>
  <c r="C120" i="12"/>
  <c r="F77" i="12"/>
  <c r="H34" i="12"/>
  <c r="A234" i="11"/>
  <c r="D191" i="11"/>
  <c r="G148" i="11"/>
  <c r="A106" i="11"/>
  <c r="D63" i="11"/>
  <c r="G20" i="11"/>
  <c r="E4" i="9"/>
  <c r="H26" i="8"/>
  <c r="H10" i="8"/>
  <c r="E13" i="7"/>
  <c r="F290" i="6"/>
  <c r="F274" i="6"/>
  <c r="F258" i="6"/>
  <c r="F242" i="6"/>
  <c r="F226" i="6"/>
  <c r="F210" i="6"/>
  <c r="F194" i="6"/>
  <c r="F178" i="6"/>
  <c r="F162" i="6"/>
  <c r="F146" i="6"/>
  <c r="F130" i="6"/>
  <c r="F114" i="6"/>
  <c r="F98" i="6"/>
  <c r="F82" i="6"/>
  <c r="F66" i="6"/>
  <c r="F50" i="6"/>
  <c r="F34" i="6"/>
  <c r="F18" i="6"/>
  <c r="F2" i="6"/>
  <c r="G408" i="5"/>
  <c r="S401" i="5"/>
  <c r="K395" i="5"/>
  <c r="C389" i="5"/>
  <c r="O382" i="5"/>
  <c r="G376" i="5"/>
  <c r="S369" i="5"/>
  <c r="K363" i="5"/>
  <c r="C357" i="5"/>
  <c r="O350" i="5"/>
  <c r="G344" i="5"/>
  <c r="S337" i="5"/>
  <c r="K331" i="5"/>
  <c r="C325" i="5"/>
  <c r="O318" i="5"/>
  <c r="G312" i="5"/>
  <c r="S305" i="5"/>
  <c r="K299" i="5"/>
  <c r="C293" i="5"/>
  <c r="O286" i="5"/>
  <c r="G280" i="5"/>
  <c r="S273" i="5"/>
  <c r="K267" i="5"/>
  <c r="C261" i="5"/>
  <c r="O254" i="5"/>
  <c r="G248" i="5"/>
  <c r="S241" i="5"/>
  <c r="K235" i="5"/>
  <c r="C229" i="5"/>
  <c r="O222" i="5"/>
  <c r="G216" i="5"/>
  <c r="S209" i="5"/>
  <c r="K203" i="5"/>
  <c r="C197" i="5"/>
  <c r="O190" i="5"/>
  <c r="G184" i="5"/>
  <c r="S177" i="5"/>
  <c r="K171" i="5"/>
  <c r="C165" i="5"/>
  <c r="O158" i="5"/>
  <c r="G152" i="5"/>
  <c r="S145" i="5"/>
  <c r="K139" i="5"/>
  <c r="C133" i="5"/>
  <c r="O126" i="5"/>
  <c r="G120" i="5"/>
  <c r="S113" i="5"/>
  <c r="K107" i="5"/>
  <c r="C101" i="5"/>
  <c r="O94" i="5"/>
  <c r="G88" i="5"/>
  <c r="S81" i="5"/>
  <c r="K75" i="5"/>
  <c r="C69" i="5"/>
  <c r="O62" i="5"/>
  <c r="G56" i="5"/>
  <c r="S49" i="5"/>
  <c r="K43" i="5"/>
  <c r="C37" i="5"/>
  <c r="O30" i="5"/>
  <c r="G24" i="5"/>
  <c r="S17" i="5"/>
  <c r="J11" i="5"/>
  <c r="AI411" i="3"/>
  <c r="B404" i="3"/>
  <c r="C396" i="3"/>
  <c r="E388" i="3"/>
  <c r="G380" i="3"/>
  <c r="J372" i="3"/>
  <c r="J364" i="3"/>
  <c r="AE356" i="3"/>
  <c r="AG348" i="3"/>
  <c r="AI340" i="3"/>
  <c r="C333" i="3"/>
  <c r="F325" i="3"/>
  <c r="H317" i="3"/>
  <c r="J309" i="3"/>
  <c r="AE301" i="3"/>
  <c r="AF293" i="3"/>
  <c r="AH285" i="3"/>
  <c r="AH277" i="3"/>
  <c r="AH269" i="3"/>
  <c r="AI261" i="3"/>
  <c r="A254" i="3"/>
  <c r="C246" i="3"/>
  <c r="D238" i="3"/>
  <c r="E230" i="3"/>
  <c r="F222" i="3"/>
  <c r="G214" i="3"/>
  <c r="H206" i="3"/>
  <c r="I198" i="3"/>
  <c r="AG190" i="3"/>
  <c r="AI182" i="3"/>
  <c r="B175" i="3"/>
  <c r="B167" i="3"/>
  <c r="D159" i="3"/>
  <c r="F151" i="3"/>
  <c r="G143" i="3"/>
  <c r="H135" i="3"/>
  <c r="H127" i="3"/>
  <c r="J119" i="3"/>
  <c r="AF111" i="3"/>
  <c r="AF103" i="3"/>
  <c r="AH95" i="3"/>
  <c r="AJ87" i="3"/>
  <c r="AJ79" i="3"/>
  <c r="A72" i="3"/>
  <c r="B64" i="3"/>
  <c r="E56" i="3"/>
  <c r="E48" i="3"/>
  <c r="G40" i="3"/>
  <c r="G32" i="3"/>
  <c r="A15" i="32"/>
  <c r="A565" i="25"/>
  <c r="C291" i="25"/>
  <c r="G63" i="25"/>
  <c r="C175" i="23"/>
  <c r="F4" i="23"/>
  <c r="D73" i="22"/>
  <c r="G233" i="19"/>
  <c r="G105" i="19"/>
  <c r="B11" i="19"/>
  <c r="N363" i="17"/>
  <c r="N331" i="17"/>
  <c r="N299" i="17"/>
  <c r="N267" i="17"/>
  <c r="N235" i="17"/>
  <c r="N203" i="17"/>
  <c r="N171" i="17"/>
  <c r="N139" i="17"/>
  <c r="N107" i="17"/>
  <c r="N75" i="17"/>
  <c r="N43" i="17"/>
  <c r="N11" i="17"/>
  <c r="E67" i="15"/>
  <c r="E3" i="15"/>
  <c r="C222" i="12"/>
  <c r="F179" i="12"/>
  <c r="H136" i="12"/>
  <c r="C94" i="12"/>
  <c r="F51" i="12"/>
  <c r="H8" i="12"/>
  <c r="A208" i="11"/>
  <c r="D165" i="11"/>
  <c r="G122" i="11"/>
  <c r="A80" i="11"/>
  <c r="D37" i="11"/>
  <c r="E2" i="10"/>
  <c r="F34" i="8"/>
  <c r="B24" i="8"/>
  <c r="B13" i="8"/>
  <c r="F2" i="8"/>
  <c r="C11" i="7"/>
  <c r="D293" i="6"/>
  <c r="H282" i="6"/>
  <c r="D272" i="6"/>
  <c r="D261" i="6"/>
  <c r="H250" i="6"/>
  <c r="D240" i="6"/>
  <c r="D229" i="6"/>
  <c r="H218" i="6"/>
  <c r="D208" i="6"/>
  <c r="D197" i="6"/>
  <c r="H186" i="6"/>
  <c r="D176" i="6"/>
  <c r="D165" i="6"/>
  <c r="H154" i="6"/>
  <c r="D144" i="6"/>
  <c r="H134" i="6"/>
  <c r="H126" i="6"/>
  <c r="H118" i="6"/>
  <c r="H110" i="6"/>
  <c r="H102" i="6"/>
  <c r="H94" i="6"/>
  <c r="H86" i="6"/>
  <c r="H78" i="6"/>
  <c r="H70" i="6"/>
  <c r="H62" i="6"/>
  <c r="H54" i="6"/>
  <c r="H46" i="6"/>
  <c r="H38" i="6"/>
  <c r="H30" i="6"/>
  <c r="H22" i="6"/>
  <c r="H14" i="6"/>
  <c r="H6" i="6"/>
  <c r="A413" i="5"/>
  <c r="Q409" i="5"/>
  <c r="M406" i="5"/>
  <c r="I403" i="5"/>
  <c r="E400" i="5"/>
  <c r="A397" i="5"/>
  <c r="Q393" i="5"/>
  <c r="M390" i="5"/>
  <c r="I387" i="5"/>
  <c r="E384" i="5"/>
  <c r="A381" i="5"/>
  <c r="Q377" i="5"/>
  <c r="M374" i="5"/>
  <c r="I371" i="5"/>
  <c r="E368" i="5"/>
  <c r="A365" i="5"/>
  <c r="Q361" i="5"/>
  <c r="M358" i="5"/>
  <c r="I355" i="5"/>
  <c r="E352" i="5"/>
  <c r="A349" i="5"/>
  <c r="Q345" i="5"/>
  <c r="M342" i="5"/>
  <c r="I339" i="5"/>
  <c r="E336" i="5"/>
  <c r="A333" i="5"/>
  <c r="Q329" i="5"/>
  <c r="M326" i="5"/>
  <c r="I323" i="5"/>
  <c r="E320" i="5"/>
  <c r="A317" i="5"/>
  <c r="Q313" i="5"/>
  <c r="M310" i="5"/>
  <c r="I307" i="5"/>
  <c r="E304" i="5"/>
  <c r="A301" i="5"/>
  <c r="Q297" i="5"/>
  <c r="M294" i="5"/>
  <c r="I291" i="5"/>
  <c r="E288" i="5"/>
  <c r="A285" i="5"/>
  <c r="Q281" i="5"/>
  <c r="M278" i="5"/>
  <c r="I275" i="5"/>
  <c r="E272" i="5"/>
  <c r="A269" i="5"/>
  <c r="Q265" i="5"/>
  <c r="M262" i="5"/>
  <c r="I259" i="5"/>
  <c r="E256" i="5"/>
  <c r="A253" i="5"/>
  <c r="Q249" i="5"/>
  <c r="M246" i="5"/>
  <c r="I243" i="5"/>
  <c r="E240" i="5"/>
  <c r="A237" i="5"/>
  <c r="Q233" i="5"/>
  <c r="M230" i="5"/>
  <c r="I227" i="5"/>
  <c r="E224" i="5"/>
  <c r="A221" i="5"/>
  <c r="Q217" i="5"/>
  <c r="M214" i="5"/>
  <c r="I211" i="5"/>
  <c r="E208" i="5"/>
  <c r="A205" i="5"/>
  <c r="Q201" i="5"/>
  <c r="M198" i="5"/>
  <c r="I195" i="5"/>
  <c r="E192" i="5"/>
  <c r="A189" i="5"/>
  <c r="Q185" i="5"/>
  <c r="M182" i="5"/>
  <c r="I179" i="5"/>
  <c r="E176" i="5"/>
  <c r="A173" i="5"/>
  <c r="Q169" i="5"/>
  <c r="M166" i="5"/>
  <c r="I163" i="5"/>
  <c r="E160" i="5"/>
  <c r="A157" i="5"/>
  <c r="Q153" i="5"/>
  <c r="M150" i="5"/>
  <c r="I147" i="5"/>
  <c r="E144" i="5"/>
  <c r="A141" i="5"/>
  <c r="Q137" i="5"/>
  <c r="M134" i="5"/>
  <c r="I131" i="5"/>
  <c r="E128" i="5"/>
  <c r="A125" i="5"/>
  <c r="Q121" i="5"/>
  <c r="M118" i="5"/>
  <c r="I115" i="5"/>
  <c r="E112" i="5"/>
  <c r="A109" i="5"/>
  <c r="Q105" i="5"/>
  <c r="M102" i="5"/>
  <c r="I99" i="5"/>
  <c r="E96" i="5"/>
  <c r="A93" i="5"/>
  <c r="Q89" i="5"/>
  <c r="M86" i="5"/>
  <c r="I83" i="5"/>
  <c r="E80" i="5"/>
  <c r="A77" i="5"/>
  <c r="Q73" i="5"/>
  <c r="M70" i="5"/>
  <c r="I67" i="5"/>
  <c r="E64" i="5"/>
  <c r="A61" i="5"/>
  <c r="Q57" i="5"/>
  <c r="M54" i="5"/>
  <c r="I51" i="5"/>
  <c r="E48" i="5"/>
  <c r="A45" i="5"/>
  <c r="Q41" i="5"/>
  <c r="M38" i="5"/>
  <c r="I35" i="5"/>
  <c r="E32" i="5"/>
  <c r="A29" i="5"/>
  <c r="Q25" i="5"/>
  <c r="M22" i="5"/>
  <c r="I19" i="5"/>
  <c r="E16" i="5"/>
  <c r="T12" i="5"/>
  <c r="P9" i="5"/>
  <c r="L6" i="5"/>
  <c r="AG409" i="3"/>
  <c r="AJ405" i="3"/>
  <c r="AJ401" i="3"/>
  <c r="A398" i="3"/>
  <c r="A394" i="3"/>
  <c r="B390" i="3"/>
  <c r="C386" i="3"/>
  <c r="D382" i="3"/>
  <c r="E378" i="3"/>
  <c r="G374" i="3"/>
  <c r="H370" i="3"/>
  <c r="H366" i="3"/>
  <c r="H362" i="3"/>
  <c r="H358" i="3"/>
  <c r="I354" i="3"/>
  <c r="J350" i="3"/>
  <c r="AG346" i="3"/>
  <c r="AG342" i="3"/>
  <c r="AI338" i="3"/>
  <c r="A335" i="3"/>
  <c r="B331" i="3"/>
  <c r="D327" i="3"/>
  <c r="E323" i="3"/>
  <c r="F319" i="3"/>
  <c r="F315" i="3"/>
  <c r="G311" i="3"/>
  <c r="I307" i="3"/>
  <c r="I303" i="3"/>
  <c r="J299" i="3"/>
  <c r="J295" i="3"/>
  <c r="AE291" i="3"/>
  <c r="AE287" i="3"/>
  <c r="AF283" i="3"/>
  <c r="AF279" i="3"/>
  <c r="AF275" i="3"/>
  <c r="AF271" i="3"/>
  <c r="AF267" i="3"/>
  <c r="AG263" i="3"/>
  <c r="AH259" i="3"/>
  <c r="AH255" i="3"/>
  <c r="AJ251" i="3"/>
  <c r="A248" i="3"/>
  <c r="B244" i="3"/>
  <c r="B240" i="3"/>
  <c r="C236" i="3"/>
  <c r="C232" i="3"/>
  <c r="D228" i="3"/>
  <c r="D224" i="3"/>
  <c r="D220" i="3"/>
  <c r="E216" i="3"/>
  <c r="E212" i="3"/>
  <c r="F208" i="3"/>
  <c r="F204" i="3"/>
  <c r="F200" i="3"/>
  <c r="G196" i="3"/>
  <c r="AD192" i="3"/>
  <c r="AE188" i="3"/>
  <c r="AG184" i="3"/>
  <c r="AG180" i="3"/>
  <c r="AI176" i="3"/>
  <c r="AJ172" i="3"/>
  <c r="AJ168" i="3"/>
  <c r="A165" i="3"/>
  <c r="A161" i="3"/>
  <c r="C157" i="3"/>
  <c r="D153" i="3"/>
  <c r="D149" i="3"/>
  <c r="E145" i="3"/>
  <c r="E141" i="3"/>
  <c r="F137" i="3"/>
  <c r="F133" i="3"/>
  <c r="F129" i="3"/>
  <c r="G125" i="3"/>
  <c r="G121" i="3"/>
  <c r="H117" i="3"/>
  <c r="I113" i="3"/>
  <c r="J109" i="3"/>
  <c r="J105" i="3"/>
  <c r="J101" i="3"/>
  <c r="AD97" i="3"/>
  <c r="AG93" i="3"/>
  <c r="AG89" i="3"/>
  <c r="AH85" i="3"/>
  <c r="AH81" i="3"/>
  <c r="AI77" i="3"/>
  <c r="AI73" i="3"/>
  <c r="AJ69" i="3"/>
  <c r="AJ65" i="3"/>
  <c r="AJ61" i="3"/>
  <c r="B58" i="3"/>
  <c r="C54" i="3"/>
  <c r="C50" i="3"/>
  <c r="C46" i="3"/>
  <c r="D42" i="3"/>
  <c r="E38" i="3"/>
  <c r="E34" i="3"/>
  <c r="E30" i="3"/>
  <c r="F26" i="3"/>
  <c r="G22" i="3"/>
  <c r="D798" i="25"/>
  <c r="I429" i="25"/>
  <c r="I189" i="25"/>
  <c r="D69" i="24"/>
  <c r="C99" i="23"/>
  <c r="D173" i="22"/>
  <c r="D9" i="22"/>
  <c r="G180" i="19"/>
  <c r="G56" i="19"/>
  <c r="G3" i="18"/>
  <c r="B350" i="17"/>
  <c r="B318" i="17"/>
  <c r="B286" i="17"/>
  <c r="B254" i="17"/>
  <c r="B222" i="17"/>
  <c r="B190" i="17"/>
  <c r="B158" i="17"/>
  <c r="B126" i="17"/>
  <c r="B94" i="17"/>
  <c r="B62" i="17"/>
  <c r="B30" i="17"/>
  <c r="A103" i="15"/>
  <c r="A39" i="15"/>
  <c r="B6" i="14"/>
  <c r="F204" i="12"/>
  <c r="H161" i="12"/>
  <c r="C119" i="12"/>
  <c r="F76" i="12"/>
  <c r="H33" i="12"/>
  <c r="A233" i="11"/>
  <c r="D190" i="11"/>
  <c r="G147" i="11"/>
  <c r="A105" i="11"/>
  <c r="D62" i="11"/>
  <c r="G19" i="11"/>
  <c r="C3" i="9"/>
  <c r="A26" i="8"/>
  <c r="A10" i="8"/>
  <c r="B13" i="7"/>
  <c r="C290" i="6"/>
  <c r="C274" i="6"/>
  <c r="C258" i="6"/>
  <c r="C242" i="6"/>
  <c r="C226" i="6"/>
  <c r="C210" i="6"/>
  <c r="C194" i="6"/>
  <c r="C178" i="6"/>
  <c r="C162" i="6"/>
  <c r="C146" i="6"/>
  <c r="C130" i="6"/>
  <c r="C114" i="6"/>
  <c r="C98" i="6"/>
  <c r="C82" i="6"/>
  <c r="C66" i="6"/>
  <c r="C50" i="6"/>
  <c r="C34" i="6"/>
  <c r="C18" i="6"/>
  <c r="C2" i="6"/>
  <c r="D408" i="5"/>
  <c r="P401" i="5"/>
  <c r="H395" i="5"/>
  <c r="T388" i="5"/>
  <c r="L382" i="5"/>
  <c r="D376" i="5"/>
  <c r="P369" i="5"/>
  <c r="H363" i="5"/>
  <c r="T356" i="5"/>
  <c r="L350" i="5"/>
  <c r="D344" i="5"/>
  <c r="P337" i="5"/>
  <c r="H331" i="5"/>
  <c r="T324" i="5"/>
  <c r="L318" i="5"/>
  <c r="D312" i="5"/>
  <c r="P305" i="5"/>
  <c r="H299" i="5"/>
  <c r="T292" i="5"/>
  <c r="L286" i="5"/>
  <c r="D280" i="5"/>
  <c r="P273" i="5"/>
  <c r="H267" i="5"/>
  <c r="T260" i="5"/>
  <c r="L254" i="5"/>
  <c r="D248" i="5"/>
  <c r="P241" i="5"/>
  <c r="H235" i="5"/>
  <c r="T228" i="5"/>
  <c r="L222" i="5"/>
  <c r="D216" i="5"/>
  <c r="P209" i="5"/>
  <c r="H203" i="5"/>
  <c r="T196" i="5"/>
  <c r="L190" i="5"/>
  <c r="D184" i="5"/>
  <c r="P177" i="5"/>
  <c r="H171" i="5"/>
  <c r="T164" i="5"/>
  <c r="L158" i="5"/>
  <c r="D152" i="5"/>
  <c r="P145" i="5"/>
  <c r="H139" i="5"/>
  <c r="T132" i="5"/>
  <c r="L126" i="5"/>
  <c r="D120" i="5"/>
  <c r="P113" i="5"/>
  <c r="H107" i="5"/>
  <c r="T100" i="5"/>
  <c r="L94" i="5"/>
  <c r="D88" i="5"/>
  <c r="P81" i="5"/>
  <c r="H75" i="5"/>
  <c r="T68" i="5"/>
  <c r="L62" i="5"/>
  <c r="D56" i="5"/>
  <c r="P49" i="5"/>
  <c r="H43" i="5"/>
  <c r="T36" i="5"/>
  <c r="L30" i="5"/>
  <c r="D24" i="5"/>
  <c r="P17" i="5"/>
  <c r="G11" i="5"/>
  <c r="J411" i="3"/>
  <c r="AG403" i="3"/>
  <c r="AH395" i="3"/>
  <c r="AJ387" i="3"/>
  <c r="B380" i="3"/>
  <c r="E372" i="3"/>
  <c r="E364" i="3"/>
  <c r="F356" i="3"/>
  <c r="I348" i="3"/>
  <c r="AD340" i="3"/>
  <c r="AH332" i="3"/>
  <c r="A325" i="3"/>
  <c r="C317" i="3"/>
  <c r="E309" i="3"/>
  <c r="G301" i="3"/>
  <c r="H293" i="3"/>
  <c r="I285" i="3"/>
  <c r="I277" i="3"/>
  <c r="I269" i="3"/>
  <c r="J261" i="3"/>
  <c r="AF253" i="3"/>
  <c r="AH245" i="3"/>
  <c r="AI237" i="3"/>
  <c r="AJ229" i="3"/>
  <c r="A222" i="3"/>
  <c r="B214" i="3"/>
  <c r="C206" i="3"/>
  <c r="D198" i="3"/>
  <c r="H190" i="3"/>
  <c r="J182" i="3"/>
  <c r="AG174" i="3"/>
  <c r="AG166" i="3"/>
  <c r="AI158" i="3"/>
  <c r="A151" i="3"/>
  <c r="B143" i="3"/>
  <c r="C135" i="3"/>
  <c r="C127" i="3"/>
  <c r="E119" i="3"/>
  <c r="G111" i="3"/>
  <c r="G103" i="3"/>
  <c r="J95" i="3"/>
  <c r="AE87" i="3"/>
  <c r="AE79" i="3"/>
  <c r="AF71" i="3"/>
  <c r="AG63" i="3"/>
  <c r="AJ55" i="3"/>
  <c r="AJ47" i="3"/>
  <c r="B40" i="3"/>
  <c r="B32" i="3"/>
  <c r="H24" i="3"/>
  <c r="I19" i="3"/>
  <c r="I15" i="3"/>
  <c r="I11" i="3"/>
  <c r="I7" i="3"/>
  <c r="I641" i="25"/>
  <c r="C339" i="25"/>
  <c r="G111" i="25"/>
  <c r="C211" i="23"/>
  <c r="F40" i="23"/>
  <c r="B104" i="22"/>
  <c r="G256" i="19"/>
  <c r="G128" i="19"/>
  <c r="F22" i="19"/>
  <c r="B367" i="17"/>
  <c r="B335" i="17"/>
  <c r="B303" i="17"/>
  <c r="B271" i="17"/>
  <c r="B239" i="17"/>
  <c r="B207" i="17"/>
  <c r="B175" i="17"/>
  <c r="B143" i="17"/>
  <c r="B111" i="17"/>
  <c r="B79" i="17"/>
  <c r="B47" i="17"/>
  <c r="B15" i="17"/>
  <c r="A73" i="15"/>
  <c r="A9" i="15"/>
  <c r="F224" i="12"/>
  <c r="H181" i="12"/>
  <c r="C139" i="12"/>
  <c r="F96" i="12"/>
  <c r="H53" i="12"/>
  <c r="C11" i="12"/>
  <c r="D210" i="11"/>
  <c r="G167" i="11"/>
  <c r="A125" i="11"/>
  <c r="D82" i="11"/>
  <c r="G39" i="11"/>
  <c r="H4" i="10"/>
  <c r="E33" i="8"/>
  <c r="E17" i="8"/>
  <c r="F1" i="8"/>
  <c r="F4" i="7"/>
  <c r="G281" i="6"/>
  <c r="G265" i="6"/>
  <c r="G249" i="6"/>
  <c r="G233" i="6"/>
  <c r="G217" i="6"/>
  <c r="G201" i="6"/>
  <c r="G185" i="6"/>
  <c r="G169" i="6"/>
  <c r="G153" i="6"/>
  <c r="G137" i="6"/>
  <c r="G121" i="6"/>
  <c r="G105" i="6"/>
  <c r="G89" i="6"/>
  <c r="G73" i="6"/>
  <c r="G57" i="6"/>
  <c r="G41" i="6"/>
  <c r="G25" i="6"/>
  <c r="G9" i="6"/>
  <c r="D411" i="5"/>
  <c r="P404" i="5"/>
  <c r="H398" i="5"/>
  <c r="T391" i="5"/>
  <c r="L385" i="5"/>
  <c r="D379" i="5"/>
  <c r="P372" i="5"/>
  <c r="H366" i="5"/>
  <c r="T359" i="5"/>
  <c r="L353" i="5"/>
  <c r="D347" i="5"/>
  <c r="P340" i="5"/>
  <c r="H334" i="5"/>
  <c r="T327" i="5"/>
  <c r="L321" i="5"/>
  <c r="D315" i="5"/>
  <c r="P308" i="5"/>
  <c r="H302" i="5"/>
  <c r="T295" i="5"/>
  <c r="L289" i="5"/>
  <c r="D283" i="5"/>
  <c r="P276" i="5"/>
  <c r="H270" i="5"/>
  <c r="T263" i="5"/>
  <c r="L257" i="5"/>
  <c r="D251" i="5"/>
  <c r="P244" i="5"/>
  <c r="H238" i="5"/>
  <c r="T231" i="5"/>
  <c r="L225" i="5"/>
  <c r="D219" i="5"/>
  <c r="P212" i="5"/>
  <c r="H206" i="5"/>
  <c r="T199" i="5"/>
  <c r="F16" i="33"/>
  <c r="A687" i="25"/>
  <c r="C884" i="25"/>
  <c r="F683" i="25"/>
  <c r="I316" i="25"/>
  <c r="D89" i="25"/>
  <c r="D181" i="23"/>
  <c r="A162" i="22"/>
  <c r="G13" i="28"/>
  <c r="I764" i="25"/>
  <c r="C559" i="25"/>
  <c r="F407" i="25"/>
  <c r="I286" i="25"/>
  <c r="B173" i="25"/>
  <c r="D59" i="25"/>
  <c r="A50" i="24"/>
  <c r="C751" i="25"/>
  <c r="E398" i="25"/>
  <c r="D166" i="25"/>
  <c r="H42" i="24"/>
  <c r="A83" i="23"/>
  <c r="B149" i="22"/>
  <c r="D1" i="21"/>
  <c r="A163" i="19"/>
  <c r="O22" i="26"/>
  <c r="B513" i="25"/>
  <c r="D252" i="25"/>
  <c r="H24" i="25"/>
  <c r="B148" i="23"/>
  <c r="H214" i="22"/>
  <c r="C44" i="22"/>
  <c r="D219" i="19"/>
  <c r="H164" i="19"/>
  <c r="D122" i="19"/>
  <c r="D79" i="19"/>
  <c r="H36" i="19"/>
  <c r="G835" i="25"/>
  <c r="B608" i="25"/>
  <c r="H454" i="25"/>
  <c r="D322" i="25"/>
  <c r="F208" i="25"/>
  <c r="H94" i="25"/>
  <c r="D90" i="24"/>
  <c r="C201" i="23"/>
  <c r="A116" i="23"/>
  <c r="F30" i="23"/>
  <c r="B182" i="22"/>
  <c r="G96" i="22"/>
  <c r="H15" i="22"/>
  <c r="C251" i="19"/>
  <c r="C187" i="19"/>
  <c r="C123" i="19"/>
  <c r="B61" i="19"/>
  <c r="H19" i="19"/>
  <c r="E5" i="18"/>
  <c r="E367" i="17"/>
  <c r="E351" i="17"/>
  <c r="E335" i="17"/>
  <c r="E319" i="17"/>
  <c r="E303" i="17"/>
  <c r="E287" i="17"/>
  <c r="E271" i="17"/>
  <c r="E255" i="17"/>
  <c r="E239" i="17"/>
  <c r="E223" i="17"/>
  <c r="E207" i="17"/>
  <c r="E191" i="17"/>
  <c r="E175" i="17"/>
  <c r="E159" i="17"/>
  <c r="E143" i="17"/>
  <c r="E127" i="17"/>
  <c r="E111" i="17"/>
  <c r="E95" i="17"/>
  <c r="E79" i="17"/>
  <c r="E63" i="17"/>
  <c r="E47" i="17"/>
  <c r="E31" i="17"/>
  <c r="E15" i="17"/>
  <c r="C104" i="15"/>
  <c r="C72" i="15"/>
  <c r="C40" i="15"/>
  <c r="C8" i="15"/>
  <c r="D6" i="14"/>
  <c r="I36" i="26"/>
  <c r="I717" i="25"/>
  <c r="A528" i="25"/>
  <c r="C377" i="25"/>
  <c r="E263" i="25"/>
  <c r="G149" i="25"/>
  <c r="I35" i="25"/>
  <c r="B22" i="24"/>
  <c r="G155" i="23"/>
  <c r="E70" i="23"/>
  <c r="H221" i="22"/>
  <c r="F136" i="22"/>
  <c r="C51" i="22"/>
  <c r="B281" i="19"/>
  <c r="B217" i="19"/>
  <c r="B153" i="19"/>
  <c r="B89" i="19"/>
  <c r="C38" i="19"/>
  <c r="G2" i="19"/>
  <c r="L372" i="17"/>
  <c r="H351" i="17"/>
  <c r="D330" i="17"/>
  <c r="L308" i="17"/>
  <c r="H287" i="17"/>
  <c r="D266" i="17"/>
  <c r="L244" i="17"/>
  <c r="H223" i="17"/>
  <c r="D202" i="17"/>
  <c r="L180" i="17"/>
  <c r="H159" i="17"/>
  <c r="D138" i="17"/>
  <c r="L116" i="17"/>
  <c r="H95" i="17"/>
  <c r="D74" i="17"/>
  <c r="L52" i="17"/>
  <c r="H31" i="17"/>
  <c r="C10" i="17"/>
  <c r="B96" i="15"/>
  <c r="B64" i="15"/>
  <c r="B32" i="15"/>
  <c r="C30" i="14"/>
  <c r="D13" i="13"/>
  <c r="A212" i="12"/>
  <c r="A180" i="12"/>
  <c r="A148" i="12"/>
  <c r="E129" i="12"/>
  <c r="E113" i="12"/>
  <c r="E97" i="12"/>
  <c r="E81" i="12"/>
  <c r="E65" i="12"/>
  <c r="E49" i="12"/>
  <c r="E33" i="12"/>
  <c r="E17" i="12"/>
  <c r="F1" i="12"/>
  <c r="F227" i="11"/>
  <c r="F211" i="11"/>
  <c r="F195" i="11"/>
  <c r="F179" i="11"/>
  <c r="F163" i="11"/>
  <c r="F147" i="11"/>
  <c r="F131" i="11"/>
  <c r="F115" i="11"/>
  <c r="F99" i="11"/>
  <c r="F83" i="11"/>
  <c r="F67" i="11"/>
  <c r="F51" i="11"/>
  <c r="F35" i="11"/>
  <c r="F19" i="11"/>
  <c r="F3" i="11"/>
  <c r="H2" i="9"/>
  <c r="C819" i="25"/>
  <c r="F595" i="25"/>
  <c r="H443" i="25"/>
  <c r="B314" i="25"/>
  <c r="D200" i="25"/>
  <c r="F86" i="25"/>
  <c r="B81" i="24"/>
  <c r="E192" i="23"/>
  <c r="B107" i="23"/>
  <c r="G21" i="23"/>
  <c r="C173" i="22"/>
  <c r="H87" i="22"/>
  <c r="C9" i="22"/>
  <c r="F246" i="19"/>
  <c r="F182" i="19"/>
  <c r="F118" i="19"/>
  <c r="A58" i="19"/>
  <c r="E17" i="19"/>
  <c r="F3" i="18"/>
  <c r="C366" i="17"/>
  <c r="C350" i="17"/>
  <c r="C334" i="17"/>
  <c r="C318" i="17"/>
  <c r="C302" i="17"/>
  <c r="C286" i="17"/>
  <c r="C270" i="17"/>
  <c r="C254" i="17"/>
  <c r="C238" i="17"/>
  <c r="C222" i="17"/>
  <c r="C206" i="17"/>
  <c r="C190" i="17"/>
  <c r="C174" i="17"/>
  <c r="C158" i="17"/>
  <c r="C142" i="17"/>
  <c r="C126" i="17"/>
  <c r="C110" i="17"/>
  <c r="C94" i="17"/>
  <c r="C78" i="17"/>
  <c r="C62" i="17"/>
  <c r="C46" i="17"/>
  <c r="C30" i="17"/>
  <c r="C14" i="17"/>
  <c r="H104" i="15"/>
  <c r="H72" i="15"/>
  <c r="H40" i="15"/>
  <c r="H8" i="15"/>
  <c r="A6" i="14"/>
  <c r="D224" i="12"/>
  <c r="B203" i="12"/>
  <c r="G181" i="12"/>
  <c r="D160" i="12"/>
  <c r="B139" i="12"/>
  <c r="G117" i="12"/>
  <c r="D96" i="12"/>
  <c r="B75" i="12"/>
  <c r="G53" i="12"/>
  <c r="D32" i="12"/>
  <c r="B11" i="12"/>
  <c r="E231" i="11"/>
  <c r="C210" i="11"/>
  <c r="H188" i="11"/>
  <c r="E167" i="11"/>
  <c r="C146" i="11"/>
  <c r="H124" i="11"/>
  <c r="E103" i="11"/>
  <c r="C82" i="11"/>
  <c r="H60" i="11"/>
  <c r="E39" i="11"/>
  <c r="C18" i="11"/>
  <c r="A50" i="38"/>
  <c r="G815" i="25"/>
  <c r="B593" i="25"/>
  <c r="E441" i="25"/>
  <c r="D312" i="25"/>
  <c r="F198" i="25"/>
  <c r="H84" i="25"/>
  <c r="B79" i="24"/>
  <c r="G193" i="23"/>
  <c r="E108" i="23"/>
  <c r="B23" i="23"/>
  <c r="F174" i="22"/>
  <c r="C89" i="22"/>
  <c r="C10" i="22"/>
  <c r="F245" i="19"/>
  <c r="F181" i="19"/>
  <c r="F117" i="19"/>
  <c r="C57" i="19"/>
  <c r="A17" i="19"/>
  <c r="B3" i="18"/>
  <c r="G366" i="17"/>
  <c r="G350" i="17"/>
  <c r="G334" i="17"/>
  <c r="G318" i="17"/>
  <c r="G302" i="17"/>
  <c r="G286" i="17"/>
  <c r="G270" i="17"/>
  <c r="G254" i="17"/>
  <c r="G238" i="17"/>
  <c r="G222" i="17"/>
  <c r="G206" i="17"/>
  <c r="G190" i="17"/>
  <c r="G174" i="17"/>
  <c r="G158" i="17"/>
  <c r="G142" i="17"/>
  <c r="G126" i="17"/>
  <c r="G110" i="17"/>
  <c r="G94" i="17"/>
  <c r="G78" i="17"/>
  <c r="G62" i="17"/>
  <c r="G46" i="17"/>
  <c r="G30" i="17"/>
  <c r="G14" i="17"/>
  <c r="D104" i="15"/>
  <c r="D72" i="15"/>
  <c r="D40" i="15"/>
  <c r="D8" i="15"/>
  <c r="E6" i="14"/>
  <c r="G224" i="12"/>
  <c r="D203" i="12"/>
  <c r="B182" i="12"/>
  <c r="G160" i="12"/>
  <c r="D139" i="12"/>
  <c r="B118" i="12"/>
  <c r="G96" i="12"/>
  <c r="D75" i="12"/>
  <c r="B54" i="12"/>
  <c r="G32" i="12"/>
  <c r="D11" i="12"/>
  <c r="E232" i="11"/>
  <c r="C211" i="11"/>
  <c r="H189" i="11"/>
  <c r="E168" i="11"/>
  <c r="C147" i="11"/>
  <c r="H125" i="11"/>
  <c r="E104" i="11"/>
  <c r="C83" i="11"/>
  <c r="H61" i="11"/>
  <c r="E40" i="11"/>
  <c r="C19" i="11"/>
  <c r="E28" i="26"/>
  <c r="D522" i="25"/>
  <c r="C259" i="25"/>
  <c r="G31" i="25"/>
  <c r="F156" i="23"/>
  <c r="D225" i="22"/>
  <c r="G54" i="22"/>
  <c r="G219" i="19"/>
  <c r="G91" i="19"/>
  <c r="B4" i="19"/>
  <c r="F359" i="17"/>
  <c r="F327" i="17"/>
  <c r="F295" i="17"/>
  <c r="F263" i="17"/>
  <c r="F231" i="17"/>
  <c r="F199" i="17"/>
  <c r="F167" i="17"/>
  <c r="F135" i="17"/>
  <c r="F103" i="17"/>
  <c r="F71" i="17"/>
  <c r="F39" i="17"/>
  <c r="E7" i="17"/>
  <c r="E58" i="15"/>
  <c r="F25" i="14"/>
  <c r="H214" i="12"/>
  <c r="C172" i="12"/>
  <c r="F129" i="12"/>
  <c r="H86" i="12"/>
  <c r="C44" i="12"/>
  <c r="D1" i="12"/>
  <c r="G200" i="11"/>
  <c r="A158" i="11"/>
  <c r="D115" i="11"/>
  <c r="G72" i="11"/>
  <c r="A30" i="11"/>
  <c r="B9" i="9"/>
  <c r="D30" i="8"/>
  <c r="D14" i="8"/>
  <c r="A17" i="7"/>
  <c r="B1" i="7"/>
  <c r="B278" i="6"/>
  <c r="B262" i="6"/>
  <c r="B246" i="6"/>
  <c r="B230" i="6"/>
  <c r="B214" i="6"/>
  <c r="B198" i="6"/>
  <c r="B182" i="6"/>
  <c r="B166" i="6"/>
  <c r="B150" i="6"/>
  <c r="B134" i="6"/>
  <c r="B118" i="6"/>
  <c r="B102" i="6"/>
  <c r="B86" i="6"/>
  <c r="B70" i="6"/>
  <c r="B54" i="6"/>
  <c r="B38" i="6"/>
  <c r="B22" i="6"/>
  <c r="B6" i="6"/>
  <c r="O409" i="5"/>
  <c r="G403" i="5"/>
  <c r="S396" i="5"/>
  <c r="K390" i="5"/>
  <c r="C384" i="5"/>
  <c r="O377" i="5"/>
  <c r="G371" i="5"/>
  <c r="S364" i="5"/>
  <c r="K358" i="5"/>
  <c r="C352" i="5"/>
  <c r="O345" i="5"/>
  <c r="G339" i="5"/>
  <c r="S332" i="5"/>
  <c r="K326" i="5"/>
  <c r="C320" i="5"/>
  <c r="O313" i="5"/>
  <c r="G307" i="5"/>
  <c r="S300" i="5"/>
  <c r="K294" i="5"/>
  <c r="C288" i="5"/>
  <c r="O281" i="5"/>
  <c r="G275" i="5"/>
  <c r="S268" i="5"/>
  <c r="K262" i="5"/>
  <c r="C256" i="5"/>
  <c r="O249" i="5"/>
  <c r="G243" i="5"/>
  <c r="S236" i="5"/>
  <c r="K230" i="5"/>
  <c r="C224" i="5"/>
  <c r="O217" i="5"/>
  <c r="G211" i="5"/>
  <c r="S204" i="5"/>
  <c r="K198" i="5"/>
  <c r="C192" i="5"/>
  <c r="O185" i="5"/>
  <c r="G179" i="5"/>
  <c r="S172" i="5"/>
  <c r="K166" i="5"/>
  <c r="C160" i="5"/>
  <c r="O153" i="5"/>
  <c r="G147" i="5"/>
  <c r="S140" i="5"/>
  <c r="K134" i="5"/>
  <c r="C128" i="5"/>
  <c r="O121" i="5"/>
  <c r="G115" i="5"/>
  <c r="S108" i="5"/>
  <c r="K102" i="5"/>
  <c r="C96" i="5"/>
  <c r="O89" i="5"/>
  <c r="G83" i="5"/>
  <c r="S76" i="5"/>
  <c r="K70" i="5"/>
  <c r="C64" i="5"/>
  <c r="O57" i="5"/>
  <c r="G51" i="5"/>
  <c r="S44" i="5"/>
  <c r="K38" i="5"/>
  <c r="C32" i="5"/>
  <c r="O25" i="5"/>
  <c r="G19" i="5"/>
  <c r="R12" i="5"/>
  <c r="J6" i="5"/>
  <c r="AH405" i="3"/>
  <c r="AI397" i="3"/>
  <c r="AJ389" i="3"/>
  <c r="B382" i="3"/>
  <c r="E374" i="3"/>
  <c r="F366" i="3"/>
  <c r="F358" i="3"/>
  <c r="H350" i="3"/>
  <c r="AE342" i="3"/>
  <c r="AI334" i="3"/>
  <c r="B327" i="3"/>
  <c r="D319" i="3"/>
  <c r="E311" i="3"/>
  <c r="G303" i="3"/>
  <c r="H295" i="3"/>
  <c r="J287" i="3"/>
  <c r="J279" i="3"/>
  <c r="J271" i="3"/>
  <c r="AE263" i="3"/>
  <c r="AF255" i="3"/>
  <c r="AI247" i="3"/>
  <c r="AJ239" i="3"/>
  <c r="A232" i="3"/>
  <c r="B224" i="3"/>
  <c r="C216" i="3"/>
  <c r="D208" i="3"/>
  <c r="D200" i="3"/>
  <c r="I192" i="3"/>
  <c r="AE184" i="3"/>
  <c r="AG176" i="3"/>
  <c r="AH168" i="3"/>
  <c r="AI160" i="3"/>
  <c r="B153" i="3"/>
  <c r="C145" i="3"/>
  <c r="D137" i="3"/>
  <c r="D129" i="3"/>
  <c r="E121" i="3"/>
  <c r="G113" i="3"/>
  <c r="H105" i="3"/>
  <c r="I97" i="3"/>
  <c r="AE89" i="3"/>
  <c r="AF81" i="3"/>
  <c r="AG73" i="3"/>
  <c r="AH65" i="3"/>
  <c r="AJ57" i="3"/>
  <c r="A50" i="3"/>
  <c r="B42" i="3"/>
  <c r="C34" i="3"/>
  <c r="D26" i="3"/>
  <c r="E645" i="25"/>
  <c r="A341" i="25"/>
  <c r="E113" i="25"/>
  <c r="F212" i="23"/>
  <c r="A42" i="23"/>
  <c r="G110" i="22"/>
  <c r="B133" i="19"/>
  <c r="A25" i="19"/>
  <c r="D366" i="17"/>
  <c r="H323" i="17"/>
  <c r="L280" i="17"/>
  <c r="D238" i="17"/>
  <c r="H195" i="17"/>
  <c r="L152" i="17"/>
  <c r="D110" i="17"/>
  <c r="H67" i="17"/>
  <c r="L24" i="17"/>
  <c r="B86" i="15"/>
  <c r="B22" i="15"/>
  <c r="D3" i="13"/>
  <c r="A170" i="12"/>
  <c r="E124" i="12"/>
  <c r="E92" i="12"/>
  <c r="E60" i="12"/>
  <c r="E28" i="12"/>
  <c r="F238" i="11"/>
  <c r="F206" i="11"/>
  <c r="F174" i="11"/>
  <c r="F142" i="11"/>
  <c r="F110" i="11"/>
  <c r="F78" i="11"/>
  <c r="F46" i="11"/>
  <c r="F14" i="11"/>
  <c r="B11" i="27"/>
  <c r="B548" i="25"/>
  <c r="F278" i="25"/>
  <c r="A51" i="25"/>
  <c r="G165" i="23"/>
  <c r="H231" i="22"/>
  <c r="C61" i="22"/>
  <c r="F226" i="19"/>
  <c r="F98" i="19"/>
  <c r="E7" i="19"/>
  <c r="C361" i="17"/>
  <c r="C329" i="17"/>
  <c r="C297" i="17"/>
  <c r="C265" i="17"/>
  <c r="C233" i="17"/>
  <c r="C201" i="17"/>
  <c r="C169" i="17"/>
  <c r="C137" i="17"/>
  <c r="C105" i="17"/>
  <c r="C73" i="17"/>
  <c r="C41" i="17"/>
  <c r="B9" i="17"/>
  <c r="H62" i="15"/>
  <c r="A28" i="14"/>
  <c r="G217" i="12"/>
  <c r="B175" i="12"/>
  <c r="D132" i="12"/>
  <c r="G89" i="12"/>
  <c r="B47" i="12"/>
  <c r="D4" i="12"/>
  <c r="E203" i="11"/>
  <c r="H160" i="11"/>
  <c r="C118" i="11"/>
  <c r="E75" i="11"/>
  <c r="H32" i="11"/>
  <c r="B3" i="27"/>
  <c r="H545" i="25"/>
  <c r="H276" i="25"/>
  <c r="C49" i="25"/>
  <c r="B167" i="23"/>
  <c r="C233" i="22"/>
  <c r="F62" i="22"/>
  <c r="F225" i="19"/>
  <c r="F97" i="19"/>
  <c r="A7" i="19"/>
  <c r="G361" i="17"/>
  <c r="G329" i="17"/>
  <c r="G297" i="17"/>
  <c r="G265" i="17"/>
  <c r="G233" i="17"/>
  <c r="G201" i="17"/>
  <c r="G169" i="17"/>
  <c r="G137" i="17"/>
  <c r="G105" i="17"/>
  <c r="G73" i="17"/>
  <c r="G41" i="17"/>
  <c r="G15" i="17"/>
  <c r="D106" i="15"/>
  <c r="D86" i="15"/>
  <c r="D62" i="15"/>
  <c r="D42" i="15"/>
  <c r="D26" i="15"/>
  <c r="D10" i="15"/>
  <c r="E24" i="14"/>
  <c r="E8" i="14"/>
  <c r="F7" i="13"/>
  <c r="B226" i="12"/>
  <c r="D215" i="12"/>
  <c r="G204" i="12"/>
  <c r="B194" i="12"/>
  <c r="D183" i="12"/>
  <c r="G172" i="12"/>
  <c r="B162" i="12"/>
  <c r="D151" i="12"/>
  <c r="G140" i="12"/>
  <c r="B130" i="12"/>
  <c r="D119" i="12"/>
  <c r="G108" i="12"/>
  <c r="B98" i="12"/>
  <c r="D87" i="12"/>
  <c r="G76" i="12"/>
  <c r="B66" i="12"/>
  <c r="D55" i="12"/>
  <c r="G44" i="12"/>
  <c r="B34" i="12"/>
  <c r="D23" i="12"/>
  <c r="G12" i="12"/>
  <c r="B2" i="12"/>
  <c r="H233" i="11"/>
  <c r="C223" i="11"/>
  <c r="E212" i="11"/>
  <c r="H201" i="11"/>
  <c r="C191" i="11"/>
  <c r="E180" i="11"/>
  <c r="H169" i="11"/>
  <c r="C159" i="11"/>
  <c r="E148" i="11"/>
  <c r="H137" i="11"/>
  <c r="C127" i="11"/>
  <c r="E116" i="11"/>
  <c r="H105" i="11"/>
  <c r="C95" i="11"/>
  <c r="E84" i="11"/>
  <c r="H73" i="11"/>
  <c r="C63" i="11"/>
  <c r="E52" i="11"/>
  <c r="H41" i="11"/>
  <c r="C31" i="11"/>
  <c r="E20" i="11"/>
  <c r="H9" i="11"/>
  <c r="F43" i="26"/>
  <c r="I737" i="25"/>
  <c r="D541" i="25"/>
  <c r="F389" i="25"/>
  <c r="E273" i="25"/>
  <c r="G159" i="25"/>
  <c r="I45" i="25"/>
  <c r="D35" i="24"/>
  <c r="C167" i="23"/>
  <c r="A82" i="23"/>
  <c r="B236" i="22"/>
  <c r="G150" i="22"/>
  <c r="D65" i="22"/>
  <c r="E3" i="21"/>
  <c r="G227" i="19"/>
  <c r="G163" i="19"/>
  <c r="G99" i="19"/>
  <c r="E45" i="19"/>
  <c r="B8" i="19"/>
  <c r="F377" i="17"/>
  <c r="F361" i="17"/>
  <c r="F345" i="17"/>
  <c r="F329" i="17"/>
  <c r="F313" i="17"/>
  <c r="F297" i="17"/>
  <c r="F281" i="17"/>
  <c r="F265" i="17"/>
  <c r="F249" i="17"/>
  <c r="F233" i="17"/>
  <c r="F217" i="17"/>
  <c r="F201" i="17"/>
  <c r="F185" i="17"/>
  <c r="F169" i="17"/>
  <c r="F153" i="17"/>
  <c r="F137" i="17"/>
  <c r="F121" i="17"/>
  <c r="F105" i="17"/>
  <c r="F89" i="17"/>
  <c r="F73" i="17"/>
  <c r="F57" i="17"/>
  <c r="F41" i="17"/>
  <c r="F25" i="17"/>
  <c r="E9" i="17"/>
  <c r="E94" i="15"/>
  <c r="E62" i="15"/>
  <c r="E30" i="15"/>
  <c r="F29" i="14"/>
  <c r="G11" i="13"/>
  <c r="F217" i="12"/>
  <c r="C196" i="12"/>
  <c r="H174" i="12"/>
  <c r="F153" i="12"/>
  <c r="C132" i="12"/>
  <c r="H110" i="12"/>
  <c r="F89" i="12"/>
  <c r="C68" i="12"/>
  <c r="H46" i="12"/>
  <c r="F25" i="12"/>
  <c r="C4" i="12"/>
  <c r="G224" i="11"/>
  <c r="D203" i="11"/>
  <c r="A182" i="11"/>
  <c r="G160" i="11"/>
  <c r="D139" i="11"/>
  <c r="A118" i="11"/>
  <c r="G96" i="11"/>
  <c r="D75" i="11"/>
  <c r="A54" i="11"/>
  <c r="G32" i="11"/>
  <c r="D11" i="11"/>
  <c r="E10" i="9"/>
  <c r="D39" i="8"/>
  <c r="D31" i="8"/>
  <c r="D23" i="8"/>
  <c r="D15" i="8"/>
  <c r="D7" i="8"/>
  <c r="A18" i="7"/>
  <c r="A10" i="7"/>
  <c r="A2" i="7"/>
  <c r="B287" i="6"/>
  <c r="B279" i="6"/>
  <c r="B271" i="6"/>
  <c r="B263" i="6"/>
  <c r="B255" i="6"/>
  <c r="B247" i="6"/>
  <c r="B239" i="6"/>
  <c r="B231" i="6"/>
  <c r="B223" i="6"/>
  <c r="B215" i="6"/>
  <c r="B207" i="6"/>
  <c r="B199" i="6"/>
  <c r="B191" i="6"/>
  <c r="B183" i="6"/>
  <c r="B175" i="6"/>
  <c r="B167" i="6"/>
  <c r="B159" i="6"/>
  <c r="B151" i="6"/>
  <c r="B143" i="6"/>
  <c r="B135" i="6"/>
  <c r="B127" i="6"/>
  <c r="B119" i="6"/>
  <c r="B111" i="6"/>
  <c r="B103" i="6"/>
  <c r="B95" i="6"/>
  <c r="B87" i="6"/>
  <c r="B79" i="6"/>
  <c r="B71" i="6"/>
  <c r="B63" i="6"/>
  <c r="B55" i="6"/>
  <c r="B47" i="6"/>
  <c r="B39" i="6"/>
  <c r="B31" i="6"/>
  <c r="B23" i="6"/>
  <c r="B15" i="6"/>
  <c r="B7" i="6"/>
  <c r="G413" i="5"/>
  <c r="C410" i="5"/>
  <c r="S406" i="5"/>
  <c r="O403" i="5"/>
  <c r="K400" i="5"/>
  <c r="G397" i="5"/>
  <c r="C394" i="5"/>
  <c r="S390" i="5"/>
  <c r="O387" i="5"/>
  <c r="K384" i="5"/>
  <c r="G381" i="5"/>
  <c r="C378" i="5"/>
  <c r="S374" i="5"/>
  <c r="O371" i="5"/>
  <c r="K368" i="5"/>
  <c r="G365" i="5"/>
  <c r="C362" i="5"/>
  <c r="S358" i="5"/>
  <c r="O355" i="5"/>
  <c r="K352" i="5"/>
  <c r="G349" i="5"/>
  <c r="C346" i="5"/>
  <c r="S342" i="5"/>
  <c r="O339" i="5"/>
  <c r="K336" i="5"/>
  <c r="G333" i="5"/>
  <c r="C330" i="5"/>
  <c r="S326" i="5"/>
  <c r="O323" i="5"/>
  <c r="K320" i="5"/>
  <c r="G317" i="5"/>
  <c r="C314" i="5"/>
  <c r="S310" i="5"/>
  <c r="O307" i="5"/>
  <c r="K304" i="5"/>
  <c r="G301" i="5"/>
  <c r="C298" i="5"/>
  <c r="S294" i="5"/>
  <c r="O291" i="5"/>
  <c r="K288" i="5"/>
  <c r="G285" i="5"/>
  <c r="C282" i="5"/>
  <c r="S278" i="5"/>
  <c r="O275" i="5"/>
  <c r="K272" i="5"/>
  <c r="G269" i="5"/>
  <c r="C266" i="5"/>
  <c r="S262" i="5"/>
  <c r="O259" i="5"/>
  <c r="K256" i="5"/>
  <c r="G253" i="5"/>
  <c r="C250" i="5"/>
  <c r="S246" i="5"/>
  <c r="O243" i="5"/>
  <c r="K240" i="5"/>
  <c r="G237" i="5"/>
  <c r="C234" i="5"/>
  <c r="S230" i="5"/>
  <c r="O227" i="5"/>
  <c r="K224" i="5"/>
  <c r="G221" i="5"/>
  <c r="C218" i="5"/>
  <c r="S214" i="5"/>
  <c r="O211" i="5"/>
  <c r="K208" i="5"/>
  <c r="G205" i="5"/>
  <c r="C202" i="5"/>
  <c r="S198" i="5"/>
  <c r="O195" i="5"/>
  <c r="K192" i="5"/>
  <c r="G189" i="5"/>
  <c r="C186" i="5"/>
  <c r="S182" i="5"/>
  <c r="O179" i="5"/>
  <c r="K176" i="5"/>
  <c r="G173" i="5"/>
  <c r="C170" i="5"/>
  <c r="S166" i="5"/>
  <c r="O163" i="5"/>
  <c r="K160" i="5"/>
  <c r="G157" i="5"/>
  <c r="C154" i="5"/>
  <c r="S150" i="5"/>
  <c r="O147" i="5"/>
  <c r="K144" i="5"/>
  <c r="G141" i="5"/>
  <c r="C138" i="5"/>
  <c r="S134" i="5"/>
  <c r="O131" i="5"/>
  <c r="K128" i="5"/>
  <c r="G125" i="5"/>
  <c r="C122" i="5"/>
  <c r="S118" i="5"/>
  <c r="O115" i="5"/>
  <c r="K112" i="5"/>
  <c r="G109" i="5"/>
  <c r="C106" i="5"/>
  <c r="S102" i="5"/>
  <c r="O99" i="5"/>
  <c r="K96" i="5"/>
  <c r="G93" i="5"/>
  <c r="C90" i="5"/>
  <c r="S86" i="5"/>
  <c r="O83" i="5"/>
  <c r="K80" i="5"/>
  <c r="G77" i="5"/>
  <c r="C74" i="5"/>
  <c r="S70" i="5"/>
  <c r="O67" i="5"/>
  <c r="K64" i="5"/>
  <c r="G61" i="5"/>
  <c r="C58" i="5"/>
  <c r="S54" i="5"/>
  <c r="O51" i="5"/>
  <c r="K48" i="5"/>
  <c r="G45" i="5"/>
  <c r="C42" i="5"/>
  <c r="S38" i="5"/>
  <c r="O35" i="5"/>
  <c r="K32" i="5"/>
  <c r="G29" i="5"/>
  <c r="C26" i="5"/>
  <c r="S22" i="5"/>
  <c r="O19" i="5"/>
  <c r="K16" i="5"/>
  <c r="F13" i="5"/>
  <c r="B10" i="5"/>
  <c r="R6" i="5"/>
  <c r="C410" i="3"/>
  <c r="F406" i="3"/>
  <c r="F402" i="3"/>
  <c r="G398" i="3"/>
  <c r="G394" i="3"/>
  <c r="H390" i="3"/>
  <c r="I386" i="3"/>
  <c r="J382" i="3"/>
  <c r="AE378" i="3"/>
  <c r="AF374" i="3"/>
  <c r="AH370" i="3"/>
  <c r="AH366" i="3"/>
  <c r="AH362" i="3"/>
  <c r="AH358" i="3"/>
  <c r="AI354" i="3"/>
  <c r="AJ350" i="3"/>
  <c r="C347" i="3"/>
  <c r="C343" i="3"/>
  <c r="E339" i="3"/>
  <c r="G335" i="3"/>
  <c r="H331" i="3"/>
  <c r="J327" i="3"/>
  <c r="AE323" i="3"/>
  <c r="AF319" i="3"/>
  <c r="AF315" i="3"/>
  <c r="AG311" i="3"/>
  <c r="AI307" i="3"/>
  <c r="AI303" i="3"/>
  <c r="AJ299" i="3"/>
  <c r="AJ295" i="3"/>
  <c r="A292" i="3"/>
  <c r="A288" i="3"/>
  <c r="B284" i="3"/>
  <c r="B280" i="3"/>
  <c r="B276" i="3"/>
  <c r="B272" i="3"/>
  <c r="B268" i="3"/>
  <c r="C264" i="3"/>
  <c r="D260" i="3"/>
  <c r="D256" i="3"/>
  <c r="F252" i="3"/>
  <c r="G248" i="3"/>
  <c r="H244" i="3"/>
  <c r="H240" i="3"/>
  <c r="I236" i="3"/>
  <c r="I232" i="3"/>
  <c r="J228" i="3"/>
  <c r="J224" i="3"/>
  <c r="J220" i="3"/>
  <c r="AE216" i="3"/>
  <c r="AE212" i="3"/>
  <c r="AF208" i="3"/>
  <c r="AF204" i="3"/>
  <c r="AF200" i="3"/>
  <c r="AG196" i="3"/>
  <c r="AJ192" i="3"/>
  <c r="A189" i="3"/>
  <c r="C185" i="3"/>
  <c r="C181" i="3"/>
  <c r="E177" i="3"/>
  <c r="F173" i="3"/>
  <c r="F169" i="3"/>
  <c r="G165" i="3"/>
  <c r="G161" i="3"/>
  <c r="I157" i="3"/>
  <c r="J153" i="3"/>
  <c r="J149" i="3"/>
  <c r="AE145" i="3"/>
  <c r="AE141" i="3"/>
  <c r="AF137" i="3"/>
  <c r="AF133" i="3"/>
  <c r="AF129" i="3"/>
  <c r="AG125" i="3"/>
  <c r="AG121" i="3"/>
  <c r="AH117" i="3"/>
  <c r="AI113" i="3"/>
  <c r="AJ109" i="3"/>
  <c r="AJ105" i="3"/>
  <c r="AJ101" i="3"/>
  <c r="AJ97" i="3"/>
  <c r="C94" i="3"/>
  <c r="C90" i="3"/>
  <c r="D86" i="3"/>
  <c r="D82" i="3"/>
  <c r="E78" i="3"/>
  <c r="E74" i="3"/>
  <c r="F70" i="3"/>
  <c r="F66" i="3"/>
  <c r="F62" i="3"/>
  <c r="H58" i="3"/>
  <c r="I54" i="3"/>
  <c r="I50" i="3"/>
  <c r="I46" i="3"/>
  <c r="J42" i="3"/>
  <c r="AE38" i="3"/>
  <c r="AE34" i="3"/>
  <c r="AE30" i="3"/>
  <c r="AF26" i="3"/>
  <c r="H9" i="26"/>
  <c r="I673" i="25"/>
  <c r="G498" i="25"/>
  <c r="C355" i="25"/>
  <c r="E241" i="25"/>
  <c r="G127" i="25"/>
  <c r="I13" i="25"/>
  <c r="C223" i="23"/>
  <c r="A138" i="23"/>
  <c r="F52" i="23"/>
  <c r="G206" i="22"/>
  <c r="D121" i="22"/>
  <c r="B36" i="22"/>
  <c r="G269" i="19"/>
  <c r="G205" i="19"/>
  <c r="G141" i="19"/>
  <c r="G77" i="19"/>
  <c r="G30" i="19"/>
  <c r="C14" i="18"/>
  <c r="N372" i="17"/>
  <c r="N356" i="17"/>
  <c r="N340" i="17"/>
  <c r="N324" i="17"/>
  <c r="N308" i="17"/>
  <c r="N292" i="17"/>
  <c r="N276" i="17"/>
  <c r="N260" i="17"/>
  <c r="N244" i="17"/>
  <c r="N228" i="17"/>
  <c r="N212" i="17"/>
  <c r="N196" i="17"/>
  <c r="N180" i="17"/>
  <c r="N164" i="17"/>
  <c r="N148" i="17"/>
  <c r="N132" i="17"/>
  <c r="N116" i="17"/>
  <c r="N100" i="17"/>
  <c r="N84" i="17"/>
  <c r="N68" i="17"/>
  <c r="N52" i="17"/>
  <c r="N36" i="17"/>
  <c r="N20" i="17"/>
  <c r="E117" i="15"/>
  <c r="E85" i="15"/>
  <c r="E53" i="15"/>
  <c r="E21" i="15"/>
  <c r="F18" i="14"/>
  <c r="G2" i="13"/>
  <c r="H212" i="12"/>
  <c r="F191" i="12"/>
  <c r="C170" i="12"/>
  <c r="H148" i="12"/>
  <c r="F127" i="12"/>
  <c r="C106" i="12"/>
  <c r="H84" i="12"/>
  <c r="F63" i="12"/>
  <c r="C42" i="12"/>
  <c r="H20" i="12"/>
  <c r="D241" i="11"/>
  <c r="A220" i="11"/>
  <c r="G198" i="11"/>
  <c r="D177" i="11"/>
  <c r="A156" i="11"/>
  <c r="G134" i="11"/>
  <c r="D113" i="11"/>
  <c r="A92" i="11"/>
  <c r="G70" i="11"/>
  <c r="D49" i="11"/>
  <c r="A28" i="11"/>
  <c r="G6" i="11"/>
  <c r="E7" i="9"/>
  <c r="C29" i="36"/>
  <c r="N29" i="26"/>
  <c r="C481" i="25"/>
  <c r="E678" i="25"/>
  <c r="D462" i="25"/>
  <c r="C214" i="25"/>
  <c r="G96" i="24"/>
  <c r="H65" i="23"/>
  <c r="A76" i="22"/>
  <c r="C890" i="25"/>
  <c r="G662" i="25"/>
  <c r="B491" i="25"/>
  <c r="F349" i="25"/>
  <c r="H235" i="25"/>
  <c r="A122" i="25"/>
  <c r="C8" i="25"/>
  <c r="B9" i="31"/>
  <c r="F565" i="25"/>
  <c r="G291" i="25"/>
  <c r="B64" i="25"/>
  <c r="A177" i="23"/>
  <c r="C6" i="23"/>
  <c r="D72" i="22"/>
  <c r="E233" i="19"/>
  <c r="E105" i="19"/>
  <c r="H718" i="25"/>
  <c r="G377" i="25"/>
  <c r="B150" i="25"/>
  <c r="F24" i="24"/>
  <c r="E71" i="23"/>
  <c r="C138" i="22"/>
  <c r="D283" i="19"/>
  <c r="H188" i="19"/>
  <c r="D145" i="19"/>
  <c r="H102" i="19"/>
  <c r="D60" i="19"/>
  <c r="B24" i="27"/>
  <c r="F732" i="25"/>
  <c r="H537" i="25"/>
  <c r="A386" i="25"/>
  <c r="H270" i="25"/>
  <c r="A157" i="25"/>
  <c r="C43" i="25"/>
  <c r="D32" i="24"/>
  <c r="F162" i="23"/>
  <c r="C77" i="23"/>
  <c r="G228" i="22"/>
  <c r="D143" i="22"/>
  <c r="B58" i="22"/>
  <c r="C1" i="20"/>
  <c r="C222" i="19"/>
  <c r="C158" i="19"/>
  <c r="C94" i="19"/>
  <c r="G41" i="19"/>
  <c r="D5" i="19"/>
  <c r="A376" i="17"/>
  <c r="A360" i="17"/>
  <c r="A344" i="17"/>
  <c r="A328" i="17"/>
  <c r="A312" i="17"/>
  <c r="A296" i="17"/>
  <c r="A280" i="17"/>
  <c r="A264" i="17"/>
  <c r="A248" i="17"/>
  <c r="A232" i="17"/>
  <c r="A216" i="17"/>
  <c r="A200" i="17"/>
  <c r="A184" i="17"/>
  <c r="A168" i="17"/>
  <c r="A152" i="17"/>
  <c r="A136" i="17"/>
  <c r="A120" i="17"/>
  <c r="A104" i="17"/>
  <c r="A88" i="17"/>
  <c r="A72" i="17"/>
  <c r="A56" i="17"/>
  <c r="A40" i="17"/>
  <c r="A24" i="17"/>
  <c r="D7" i="17"/>
  <c r="G89" i="15"/>
  <c r="G57" i="15"/>
  <c r="G25" i="15"/>
  <c r="H23" i="14"/>
  <c r="E6" i="13"/>
  <c r="D842" i="25"/>
  <c r="H614" i="25"/>
  <c r="C459" i="25"/>
  <c r="G325" i="25"/>
  <c r="I211" i="25"/>
  <c r="B98" i="25"/>
  <c r="B92" i="24"/>
  <c r="E202" i="23"/>
  <c r="B117" i="23"/>
  <c r="G31" i="23"/>
  <c r="C183" i="22"/>
  <c r="H97" i="22"/>
  <c r="G16" i="22"/>
  <c r="B252" i="19"/>
  <c r="B188" i="19"/>
  <c r="B124" i="19"/>
  <c r="F61" i="19"/>
  <c r="C20" i="19"/>
  <c r="D6" i="18"/>
  <c r="D363" i="17"/>
  <c r="L341" i="17"/>
  <c r="H320" i="17"/>
  <c r="D299" i="17"/>
  <c r="L277" i="17"/>
  <c r="H256" i="17"/>
  <c r="D235" i="17"/>
  <c r="L213" i="17"/>
  <c r="H192" i="17"/>
  <c r="D171" i="17"/>
  <c r="L149" i="17"/>
  <c r="H128" i="17"/>
  <c r="D107" i="17"/>
  <c r="L85" i="17"/>
  <c r="H64" i="17"/>
  <c r="D43" i="17"/>
  <c r="L21" i="17"/>
  <c r="F113" i="15"/>
  <c r="F81" i="15"/>
  <c r="F49" i="15"/>
  <c r="F17" i="15"/>
  <c r="G15" i="14"/>
  <c r="E229" i="12"/>
  <c r="E197" i="12"/>
  <c r="E165" i="12"/>
  <c r="A138" i="12"/>
  <c r="A122" i="12"/>
  <c r="A106" i="12"/>
  <c r="A90" i="12"/>
  <c r="A74" i="12"/>
  <c r="A58" i="12"/>
  <c r="A42" i="12"/>
  <c r="A26" i="12"/>
  <c r="A10" i="12"/>
  <c r="B236" i="11"/>
  <c r="B220" i="11"/>
  <c r="B204" i="11"/>
  <c r="B188" i="11"/>
  <c r="B172" i="11"/>
  <c r="B156" i="11"/>
  <c r="B140" i="11"/>
  <c r="B124" i="11"/>
  <c r="B108" i="11"/>
  <c r="B92" i="11"/>
  <c r="B76" i="11"/>
  <c r="B60" i="11"/>
  <c r="B44" i="11"/>
  <c r="B28" i="11"/>
  <c r="B12" i="11"/>
  <c r="D1" i="10"/>
  <c r="P29" i="26"/>
  <c r="F712" i="25"/>
  <c r="E524" i="25"/>
  <c r="F374" i="25"/>
  <c r="H260" i="25"/>
  <c r="A147" i="25"/>
  <c r="C33" i="25"/>
  <c r="B21" i="24"/>
  <c r="E152" i="23"/>
  <c r="B67" i="23"/>
  <c r="F218" i="22"/>
  <c r="C133" i="22"/>
  <c r="H47" i="22"/>
  <c r="F280" i="19"/>
  <c r="F216" i="19"/>
  <c r="F152" i="19"/>
  <c r="F88" i="19"/>
  <c r="A38" i="19"/>
  <c r="E2" i="19"/>
  <c r="K374" i="17"/>
  <c r="K358" i="17"/>
  <c r="K342" i="17"/>
  <c r="K326" i="17"/>
  <c r="K310" i="17"/>
  <c r="K294" i="17"/>
  <c r="K278" i="17"/>
  <c r="K262" i="17"/>
  <c r="K246" i="17"/>
  <c r="K230" i="17"/>
  <c r="K214" i="17"/>
  <c r="K198" i="17"/>
  <c r="K182" i="17"/>
  <c r="K166" i="17"/>
  <c r="K150" i="17"/>
  <c r="K134" i="17"/>
  <c r="K118" i="17"/>
  <c r="K102" i="17"/>
  <c r="K86" i="17"/>
  <c r="K70" i="17"/>
  <c r="K54" i="17"/>
  <c r="K38" i="17"/>
  <c r="K22" i="17"/>
  <c r="J6" i="17"/>
  <c r="H89" i="15"/>
  <c r="H57" i="15"/>
  <c r="H25" i="15"/>
  <c r="A23" i="14"/>
  <c r="B6" i="13"/>
  <c r="D214" i="12"/>
  <c r="B193" i="12"/>
  <c r="G171" i="12"/>
  <c r="D150" i="12"/>
  <c r="B129" i="12"/>
  <c r="G107" i="12"/>
  <c r="D86" i="12"/>
  <c r="B65" i="12"/>
  <c r="G43" i="12"/>
  <c r="D22" i="12"/>
  <c r="H242" i="11"/>
  <c r="E221" i="11"/>
  <c r="C200" i="11"/>
  <c r="H178" i="11"/>
  <c r="E157" i="11"/>
  <c r="C136" i="11"/>
  <c r="H114" i="11"/>
  <c r="E93" i="11"/>
  <c r="C72" i="11"/>
  <c r="H50" i="11"/>
  <c r="E29" i="11"/>
  <c r="C8" i="11"/>
  <c r="N31" i="26"/>
  <c r="A709" i="25"/>
  <c r="A522" i="25"/>
  <c r="H372" i="25"/>
  <c r="A259" i="25"/>
  <c r="C145" i="25"/>
  <c r="E31" i="25"/>
  <c r="B19" i="24"/>
  <c r="G153" i="23"/>
  <c r="E68" i="23"/>
  <c r="H219" i="22"/>
  <c r="F134" i="22"/>
  <c r="C49" i="22"/>
  <c r="F279" i="19"/>
  <c r="F215" i="19"/>
  <c r="F151" i="19"/>
  <c r="F87" i="19"/>
  <c r="C37" i="19"/>
  <c r="A2" i="19"/>
  <c r="O374" i="17"/>
  <c r="O358" i="17"/>
  <c r="O342" i="17"/>
  <c r="O326" i="17"/>
  <c r="O310" i="17"/>
  <c r="O294" i="17"/>
  <c r="O278" i="17"/>
  <c r="O262" i="17"/>
  <c r="O246" i="17"/>
  <c r="O230" i="17"/>
  <c r="O214" i="17"/>
  <c r="O198" i="17"/>
  <c r="O182" i="17"/>
  <c r="O166" i="17"/>
  <c r="O150" i="17"/>
  <c r="O134" i="17"/>
  <c r="O118" i="17"/>
  <c r="O102" i="17"/>
  <c r="O86" i="17"/>
  <c r="O70" i="17"/>
  <c r="O54" i="17"/>
  <c r="O38" i="17"/>
  <c r="O22" i="17"/>
  <c r="N6" i="17"/>
  <c r="D89" i="15"/>
  <c r="D57" i="15"/>
  <c r="D25" i="15"/>
  <c r="E23" i="14"/>
  <c r="F6" i="13"/>
  <c r="G214" i="12"/>
  <c r="D193" i="12"/>
  <c r="B172" i="12"/>
  <c r="G150" i="12"/>
  <c r="D129" i="12"/>
  <c r="B108" i="12"/>
  <c r="G86" i="12"/>
  <c r="D65" i="12"/>
  <c r="B44" i="12"/>
  <c r="G22" i="12"/>
  <c r="H1" i="12"/>
  <c r="E222" i="11"/>
  <c r="C201" i="11"/>
  <c r="H179" i="11"/>
  <c r="E158" i="11"/>
  <c r="C137" i="11"/>
  <c r="H115" i="11"/>
  <c r="E94" i="11"/>
  <c r="C73" i="11"/>
  <c r="H51" i="11"/>
  <c r="E30" i="11"/>
  <c r="C9" i="11"/>
  <c r="G723" i="25"/>
  <c r="B380" i="25"/>
  <c r="F152" i="25"/>
  <c r="D27" i="24"/>
  <c r="F76" i="23"/>
  <c r="D145" i="22"/>
  <c r="F5" i="20"/>
  <c r="G159" i="19"/>
  <c r="G42" i="19"/>
  <c r="F376" i="17"/>
  <c r="F344" i="17"/>
  <c r="F312" i="17"/>
  <c r="F280" i="17"/>
  <c r="F248" i="17"/>
  <c r="F216" i="17"/>
  <c r="F184" i="17"/>
  <c r="F152" i="17"/>
  <c r="F120" i="17"/>
  <c r="F88" i="17"/>
  <c r="F56" i="17"/>
  <c r="F24" i="17"/>
  <c r="E92" i="15"/>
  <c r="E28" i="15"/>
  <c r="G9" i="13"/>
  <c r="H194" i="12"/>
  <c r="C152" i="12"/>
  <c r="F109" i="12"/>
  <c r="H66" i="12"/>
  <c r="C24" i="12"/>
  <c r="D223" i="11"/>
  <c r="G180" i="11"/>
  <c r="A138" i="11"/>
  <c r="D95" i="11"/>
  <c r="G52" i="11"/>
  <c r="A10" i="11"/>
  <c r="H38" i="8"/>
  <c r="H22" i="8"/>
  <c r="H6" i="8"/>
  <c r="E9" i="7"/>
  <c r="F286" i="6"/>
  <c r="F270" i="6"/>
  <c r="F254" i="6"/>
  <c r="F238" i="6"/>
  <c r="F222" i="6"/>
  <c r="F206" i="6"/>
  <c r="F190" i="6"/>
  <c r="F174" i="6"/>
  <c r="F158" i="6"/>
  <c r="F142" i="6"/>
  <c r="F126" i="6"/>
  <c r="F110" i="6"/>
  <c r="F94" i="6"/>
  <c r="F78" i="6"/>
  <c r="F62" i="6"/>
  <c r="F46" i="6"/>
  <c r="F30" i="6"/>
  <c r="F14" i="6"/>
  <c r="C413" i="5"/>
  <c r="O406" i="5"/>
  <c r="G400" i="5"/>
  <c r="S393" i="5"/>
  <c r="K387" i="5"/>
  <c r="C381" i="5"/>
  <c r="O374" i="5"/>
  <c r="G368" i="5"/>
  <c r="S361" i="5"/>
  <c r="K355" i="5"/>
  <c r="C349" i="5"/>
  <c r="O342" i="5"/>
  <c r="G336" i="5"/>
  <c r="S329" i="5"/>
  <c r="K323" i="5"/>
  <c r="C317" i="5"/>
  <c r="O310" i="5"/>
  <c r="G304" i="5"/>
  <c r="S297" i="5"/>
  <c r="K291" i="5"/>
  <c r="C285" i="5"/>
  <c r="O278" i="5"/>
  <c r="G272" i="5"/>
  <c r="S265" i="5"/>
  <c r="K259" i="5"/>
  <c r="C253" i="5"/>
  <c r="O246" i="5"/>
  <c r="G240" i="5"/>
  <c r="S233" i="5"/>
  <c r="K227" i="5"/>
  <c r="C221" i="5"/>
  <c r="O214" i="5"/>
  <c r="G208" i="5"/>
  <c r="S201" i="5"/>
  <c r="K195" i="5"/>
  <c r="C189" i="5"/>
  <c r="O182" i="5"/>
  <c r="G176" i="5"/>
  <c r="S169" i="5"/>
  <c r="K163" i="5"/>
  <c r="C157" i="5"/>
  <c r="O150" i="5"/>
  <c r="G144" i="5"/>
  <c r="S137" i="5"/>
  <c r="K131" i="5"/>
  <c r="C125" i="5"/>
  <c r="O118" i="5"/>
  <c r="G112" i="5"/>
  <c r="S105" i="5"/>
  <c r="K99" i="5"/>
  <c r="C93" i="5"/>
  <c r="O86" i="5"/>
  <c r="G80" i="5"/>
  <c r="S73" i="5"/>
  <c r="K67" i="5"/>
  <c r="C61" i="5"/>
  <c r="O54" i="5"/>
  <c r="G48" i="5"/>
  <c r="S41" i="5"/>
  <c r="K35" i="5"/>
  <c r="C29" i="5"/>
  <c r="O22" i="5"/>
  <c r="G16" i="5"/>
  <c r="R9" i="5"/>
  <c r="AI409" i="3"/>
  <c r="B402" i="3"/>
  <c r="C394" i="3"/>
  <c r="E386" i="3"/>
  <c r="G378" i="3"/>
  <c r="J370" i="3"/>
  <c r="J362" i="3"/>
  <c r="AE354" i="3"/>
  <c r="AI346" i="3"/>
  <c r="A339" i="3"/>
  <c r="D331" i="3"/>
  <c r="G323" i="3"/>
  <c r="H315" i="3"/>
  <c r="AE307" i="3"/>
  <c r="AF299" i="3"/>
  <c r="AG291" i="3"/>
  <c r="AH283" i="3"/>
  <c r="AH275" i="3"/>
  <c r="AH267" i="3"/>
  <c r="AJ259" i="3"/>
  <c r="B252" i="3"/>
  <c r="D244" i="3"/>
  <c r="E236" i="3"/>
  <c r="F228" i="3"/>
  <c r="F220" i="3"/>
  <c r="G212" i="3"/>
  <c r="H204" i="3"/>
  <c r="I196" i="3"/>
  <c r="AG188" i="3"/>
  <c r="AI180" i="3"/>
  <c r="B173" i="3"/>
  <c r="C165" i="3"/>
  <c r="E157" i="3"/>
  <c r="F149" i="3"/>
  <c r="G141" i="3"/>
  <c r="H133" i="3"/>
  <c r="I125" i="3"/>
  <c r="J117" i="3"/>
  <c r="AF109" i="3"/>
  <c r="AF101" i="3"/>
  <c r="AI93" i="3"/>
  <c r="AJ85" i="3"/>
  <c r="A78" i="3"/>
  <c r="B70" i="3"/>
  <c r="B62" i="3"/>
  <c r="E54" i="3"/>
  <c r="E46" i="3"/>
  <c r="G38" i="3"/>
  <c r="G30" i="3"/>
  <c r="C887" i="25"/>
  <c r="B489" i="25"/>
  <c r="D234" i="25"/>
  <c r="H6" i="25"/>
  <c r="F132" i="23"/>
  <c r="D201" i="22"/>
  <c r="G30" i="22"/>
  <c r="G201" i="19"/>
  <c r="G73" i="19"/>
  <c r="C12" i="18"/>
  <c r="N355" i="17"/>
  <c r="N323" i="17"/>
  <c r="N291" i="17"/>
  <c r="N259" i="17"/>
  <c r="N227" i="17"/>
  <c r="N195" i="17"/>
  <c r="N163" i="17"/>
  <c r="N131" i="17"/>
  <c r="N99" i="17"/>
  <c r="N67" i="17"/>
  <c r="N35" i="17"/>
  <c r="E115" i="15"/>
  <c r="E51" i="15"/>
  <c r="F16" i="14"/>
  <c r="F211" i="12"/>
  <c r="H168" i="12"/>
  <c r="C126" i="12"/>
  <c r="F83" i="12"/>
  <c r="H40" i="12"/>
  <c r="A240" i="11"/>
  <c r="D197" i="11"/>
  <c r="G154" i="11"/>
  <c r="A112" i="11"/>
  <c r="D69" i="11"/>
  <c r="G26" i="11"/>
  <c r="G6" i="9"/>
  <c r="B32" i="8"/>
  <c r="B21" i="8"/>
  <c r="F10" i="8"/>
  <c r="C19" i="7"/>
  <c r="C8" i="7"/>
  <c r="H290" i="6"/>
  <c r="D280" i="6"/>
  <c r="D269" i="6"/>
  <c r="H258" i="6"/>
  <c r="D248" i="6"/>
  <c r="D237" i="6"/>
  <c r="H226" i="6"/>
  <c r="D216" i="6"/>
  <c r="D205" i="6"/>
  <c r="H194" i="6"/>
  <c r="D184" i="6"/>
  <c r="D173" i="6"/>
  <c r="H162" i="6"/>
  <c r="D152" i="6"/>
  <c r="D141" i="6"/>
  <c r="H132" i="6"/>
  <c r="H124" i="6"/>
  <c r="H116" i="6"/>
  <c r="H108" i="6"/>
  <c r="H100" i="6"/>
  <c r="H92" i="6"/>
  <c r="H84" i="6"/>
  <c r="H76" i="6"/>
  <c r="H68" i="6"/>
  <c r="H60" i="6"/>
  <c r="H52" i="6"/>
  <c r="H44" i="6"/>
  <c r="H36" i="6"/>
  <c r="H28" i="6"/>
  <c r="H20" i="6"/>
  <c r="H12" i="6"/>
  <c r="H4" i="6"/>
  <c r="E412" i="5"/>
  <c r="A409" i="5"/>
  <c r="Q405" i="5"/>
  <c r="M402" i="5"/>
  <c r="I399" i="5"/>
  <c r="E396" i="5"/>
  <c r="A393" i="5"/>
  <c r="Q389" i="5"/>
  <c r="M386" i="5"/>
  <c r="I383" i="5"/>
  <c r="E380" i="5"/>
  <c r="A377" i="5"/>
  <c r="Q373" i="5"/>
  <c r="M370" i="5"/>
  <c r="I367" i="5"/>
  <c r="E364" i="5"/>
  <c r="A361" i="5"/>
  <c r="Q357" i="5"/>
  <c r="M354" i="5"/>
  <c r="I351" i="5"/>
  <c r="E348" i="5"/>
  <c r="A345" i="5"/>
  <c r="Q341" i="5"/>
  <c r="M338" i="5"/>
  <c r="I335" i="5"/>
  <c r="E332" i="5"/>
  <c r="A329" i="5"/>
  <c r="Q325" i="5"/>
  <c r="M322" i="5"/>
  <c r="I319" i="5"/>
  <c r="E316" i="5"/>
  <c r="A313" i="5"/>
  <c r="Q309" i="5"/>
  <c r="M306" i="5"/>
  <c r="I303" i="5"/>
  <c r="E300" i="5"/>
  <c r="A297" i="5"/>
  <c r="Q293" i="5"/>
  <c r="M290" i="5"/>
  <c r="I287" i="5"/>
  <c r="E284" i="5"/>
  <c r="A281" i="5"/>
  <c r="Q277" i="5"/>
  <c r="M274" i="5"/>
  <c r="I271" i="5"/>
  <c r="E268" i="5"/>
  <c r="A265" i="5"/>
  <c r="Q261" i="5"/>
  <c r="M258" i="5"/>
  <c r="I255" i="5"/>
  <c r="E252" i="5"/>
  <c r="A249" i="5"/>
  <c r="Q245" i="5"/>
  <c r="M242" i="5"/>
  <c r="I239" i="5"/>
  <c r="E236" i="5"/>
  <c r="A233" i="5"/>
  <c r="Q229" i="5"/>
  <c r="M226" i="5"/>
  <c r="I223" i="5"/>
  <c r="E220" i="5"/>
  <c r="A217" i="5"/>
  <c r="Q213" i="5"/>
  <c r="M210" i="5"/>
  <c r="I207" i="5"/>
  <c r="E204" i="5"/>
  <c r="A201" i="5"/>
  <c r="Q197" i="5"/>
  <c r="M194" i="5"/>
  <c r="I191" i="5"/>
  <c r="E188" i="5"/>
  <c r="A185" i="5"/>
  <c r="Q181" i="5"/>
  <c r="M178" i="5"/>
  <c r="I175" i="5"/>
  <c r="E172" i="5"/>
  <c r="A169" i="5"/>
  <c r="Q165" i="5"/>
  <c r="M162" i="5"/>
  <c r="I159" i="5"/>
  <c r="E156" i="5"/>
  <c r="A153" i="5"/>
  <c r="Q149" i="5"/>
  <c r="M146" i="5"/>
  <c r="I143" i="5"/>
  <c r="E140" i="5"/>
  <c r="A137" i="5"/>
  <c r="Q133" i="5"/>
  <c r="M130" i="5"/>
  <c r="I127" i="5"/>
  <c r="E124" i="5"/>
  <c r="A121" i="5"/>
  <c r="Q117" i="5"/>
  <c r="M114" i="5"/>
  <c r="I111" i="5"/>
  <c r="E108" i="5"/>
  <c r="A105" i="5"/>
  <c r="Q101" i="5"/>
  <c r="M98" i="5"/>
  <c r="I95" i="5"/>
  <c r="E92" i="5"/>
  <c r="A89" i="5"/>
  <c r="Q85" i="5"/>
  <c r="M82" i="5"/>
  <c r="I79" i="5"/>
  <c r="E76" i="5"/>
  <c r="A73" i="5"/>
  <c r="Q69" i="5"/>
  <c r="M66" i="5"/>
  <c r="I63" i="5"/>
  <c r="E60" i="5"/>
  <c r="A57" i="5"/>
  <c r="Q53" i="5"/>
  <c r="M50" i="5"/>
  <c r="I47" i="5"/>
  <c r="E44" i="5"/>
  <c r="A41" i="5"/>
  <c r="Q37" i="5"/>
  <c r="M34" i="5"/>
  <c r="I31" i="5"/>
  <c r="E28" i="5"/>
  <c r="A25" i="5"/>
  <c r="Q21" i="5"/>
  <c r="M18" i="5"/>
  <c r="I15" i="5"/>
  <c r="D12" i="5"/>
  <c r="T8" i="5"/>
  <c r="AF412" i="3"/>
  <c r="AG408" i="3"/>
  <c r="AJ404" i="3"/>
  <c r="AJ400" i="3"/>
  <c r="A397" i="3"/>
  <c r="B393" i="3"/>
  <c r="C389" i="3"/>
  <c r="C385" i="3"/>
  <c r="D381" i="3"/>
  <c r="F377" i="3"/>
  <c r="H373" i="3"/>
  <c r="H369" i="3"/>
  <c r="H365" i="3"/>
  <c r="H361" i="3"/>
  <c r="I357" i="3"/>
  <c r="J353" i="3"/>
  <c r="AD349" i="3"/>
  <c r="AG345" i="3"/>
  <c r="AG341" i="3"/>
  <c r="AI337" i="3"/>
  <c r="A334" i="3"/>
  <c r="C330" i="3"/>
  <c r="D326" i="3"/>
  <c r="F322" i="3"/>
  <c r="F318" i="3"/>
  <c r="F314" i="3"/>
  <c r="G310" i="3"/>
  <c r="I306" i="3"/>
  <c r="I302" i="3"/>
  <c r="J298" i="3"/>
  <c r="J294" i="3"/>
  <c r="AE290" i="3"/>
  <c r="AF286" i="3"/>
  <c r="AF282" i="3"/>
  <c r="AF278" i="3"/>
  <c r="AF274" i="3"/>
  <c r="AF270" i="3"/>
  <c r="AF266" i="3"/>
  <c r="AG262" i="3"/>
  <c r="AH258" i="3"/>
  <c r="AI254" i="3"/>
  <c r="AJ250" i="3"/>
  <c r="A247" i="3"/>
  <c r="B243" i="3"/>
  <c r="B239" i="3"/>
  <c r="C235" i="3"/>
  <c r="C231" i="3"/>
  <c r="D227" i="3"/>
  <c r="D223" i="3"/>
  <c r="E219" i="3"/>
  <c r="E215" i="3"/>
  <c r="E211" i="3"/>
  <c r="F207" i="3"/>
  <c r="F203" i="3"/>
  <c r="F199" i="3"/>
  <c r="H195" i="3"/>
  <c r="AE191" i="3"/>
  <c r="AF187" i="3"/>
  <c r="AG183" i="3"/>
  <c r="AG179" i="3"/>
  <c r="AI175" i="3"/>
  <c r="AJ171" i="3"/>
  <c r="AJ167" i="3"/>
  <c r="A164" i="3"/>
  <c r="A160" i="3"/>
  <c r="C156" i="3"/>
  <c r="D152" i="3"/>
  <c r="E148" i="3"/>
  <c r="E144" i="3"/>
  <c r="E140" i="3"/>
  <c r="F136" i="3"/>
  <c r="F132" i="3"/>
  <c r="F128" i="3"/>
  <c r="G124" i="3"/>
  <c r="H120" i="3"/>
  <c r="H116" i="3"/>
  <c r="J112" i="3"/>
  <c r="J108" i="3"/>
  <c r="J104" i="3"/>
  <c r="J100" i="3"/>
  <c r="AE96" i="3"/>
  <c r="AG92" i="3"/>
  <c r="AG88" i="3"/>
  <c r="AH84" i="3"/>
  <c r="AH80" i="3"/>
  <c r="AI76" i="3"/>
  <c r="AI72" i="3"/>
  <c r="AJ68" i="3"/>
  <c r="AJ64" i="3"/>
  <c r="A61" i="3"/>
  <c r="C57" i="3"/>
  <c r="C53" i="3"/>
  <c r="C49" i="3"/>
  <c r="C45" i="3"/>
  <c r="D41" i="3"/>
  <c r="E37" i="3"/>
  <c r="E33" i="3"/>
  <c r="F29" i="3"/>
  <c r="F25" i="3"/>
  <c r="G21" i="3"/>
  <c r="F684" i="25"/>
  <c r="F360" i="25"/>
  <c r="A133" i="25"/>
  <c r="D5" i="24"/>
  <c r="F56" i="23"/>
  <c r="G130" i="22"/>
  <c r="G276" i="19"/>
  <c r="G148" i="19"/>
  <c r="E35" i="19"/>
  <c r="B374" i="17"/>
  <c r="B342" i="17"/>
  <c r="B310" i="17"/>
  <c r="B278" i="17"/>
  <c r="B246" i="17"/>
  <c r="B214" i="17"/>
  <c r="B182" i="17"/>
  <c r="B150" i="17"/>
  <c r="B118" i="17"/>
  <c r="B86" i="17"/>
  <c r="B54" i="17"/>
  <c r="B22" i="17"/>
  <c r="A87" i="15"/>
  <c r="A23" i="15"/>
  <c r="C6" i="13"/>
  <c r="H193" i="12"/>
  <c r="C151" i="12"/>
  <c r="F108" i="12"/>
  <c r="H65" i="12"/>
  <c r="C23" i="12"/>
  <c r="D222" i="11"/>
  <c r="G179" i="11"/>
  <c r="A137" i="11"/>
  <c r="D94" i="11"/>
  <c r="G51" i="11"/>
  <c r="A9" i="11"/>
  <c r="A38" i="8"/>
  <c r="A22" i="8"/>
  <c r="A6" i="8"/>
  <c r="B9" i="7"/>
  <c r="C286" i="6"/>
  <c r="C270" i="6"/>
  <c r="C254" i="6"/>
  <c r="C238" i="6"/>
  <c r="C222" i="6"/>
  <c r="C206" i="6"/>
  <c r="C190" i="6"/>
  <c r="C174" i="6"/>
  <c r="C158" i="6"/>
  <c r="C142" i="6"/>
  <c r="C126" i="6"/>
  <c r="C110" i="6"/>
  <c r="C94" i="6"/>
  <c r="C78" i="6"/>
  <c r="C62" i="6"/>
  <c r="C46" i="6"/>
  <c r="C30" i="6"/>
  <c r="C14" i="6"/>
  <c r="T412" i="5"/>
  <c r="L406" i="5"/>
  <c r="D400" i="5"/>
  <c r="P393" i="5"/>
  <c r="H387" i="5"/>
  <c r="T380" i="5"/>
  <c r="L374" i="5"/>
  <c r="D368" i="5"/>
  <c r="P361" i="5"/>
  <c r="H355" i="5"/>
  <c r="T348" i="5"/>
  <c r="L342" i="5"/>
  <c r="D336" i="5"/>
  <c r="P329" i="5"/>
  <c r="H323" i="5"/>
  <c r="T316" i="5"/>
  <c r="L310" i="5"/>
  <c r="D304" i="5"/>
  <c r="P297" i="5"/>
  <c r="H291" i="5"/>
  <c r="T284" i="5"/>
  <c r="L278" i="5"/>
  <c r="D272" i="5"/>
  <c r="P265" i="5"/>
  <c r="H259" i="5"/>
  <c r="T252" i="5"/>
  <c r="L246" i="5"/>
  <c r="D240" i="5"/>
  <c r="P233" i="5"/>
  <c r="H227" i="5"/>
  <c r="T220" i="5"/>
  <c r="L214" i="5"/>
  <c r="D208" i="5"/>
  <c r="P201" i="5"/>
  <c r="H195" i="5"/>
  <c r="T188" i="5"/>
  <c r="L182" i="5"/>
  <c r="D176" i="5"/>
  <c r="P169" i="5"/>
  <c r="H163" i="5"/>
  <c r="T156" i="5"/>
  <c r="L150" i="5"/>
  <c r="D144" i="5"/>
  <c r="P137" i="5"/>
  <c r="H131" i="5"/>
  <c r="T124" i="5"/>
  <c r="L118" i="5"/>
  <c r="D112" i="5"/>
  <c r="P105" i="5"/>
  <c r="H99" i="5"/>
  <c r="T92" i="5"/>
  <c r="L86" i="5"/>
  <c r="D80" i="5"/>
  <c r="P73" i="5"/>
  <c r="H67" i="5"/>
  <c r="T60" i="5"/>
  <c r="L54" i="5"/>
  <c r="D48" i="5"/>
  <c r="P41" i="5"/>
  <c r="H35" i="5"/>
  <c r="T28" i="5"/>
  <c r="L22" i="5"/>
  <c r="D16" i="5"/>
  <c r="O9" i="5"/>
  <c r="J409" i="3"/>
  <c r="AG401" i="3"/>
  <c r="AH393" i="3"/>
  <c r="AJ385" i="3"/>
  <c r="B378" i="3"/>
  <c r="E370" i="3"/>
  <c r="E362" i="3"/>
  <c r="F354" i="3"/>
  <c r="J346" i="3"/>
  <c r="AF338" i="3"/>
  <c r="AI330" i="3"/>
  <c r="B323" i="3"/>
  <c r="C315" i="3"/>
  <c r="F307" i="3"/>
  <c r="G299" i="3"/>
  <c r="H291" i="3"/>
  <c r="I283" i="3"/>
  <c r="I275" i="3"/>
  <c r="I267" i="3"/>
  <c r="AE259" i="3"/>
  <c r="AG251" i="3"/>
  <c r="AI243" i="3"/>
  <c r="AJ235" i="3"/>
  <c r="A228" i="3"/>
  <c r="A220" i="3"/>
  <c r="B212" i="3"/>
  <c r="C204" i="3"/>
  <c r="D196" i="3"/>
  <c r="I188" i="3"/>
  <c r="J180" i="3"/>
  <c r="AG172" i="3"/>
  <c r="AH164" i="3"/>
  <c r="AJ156" i="3"/>
  <c r="A149" i="3"/>
  <c r="B141" i="3"/>
  <c r="C133" i="3"/>
  <c r="D125" i="3"/>
  <c r="E117" i="3"/>
  <c r="G109" i="3"/>
  <c r="G101" i="3"/>
  <c r="J93" i="3"/>
  <c r="AE85" i="3"/>
  <c r="AF77" i="3"/>
  <c r="AG69" i="3"/>
  <c r="AG61" i="3"/>
  <c r="AJ53" i="3"/>
  <c r="AJ45" i="3"/>
  <c r="B38" i="3"/>
  <c r="B30" i="3"/>
  <c r="C23" i="3"/>
  <c r="I18" i="3"/>
  <c r="I14" i="3"/>
  <c r="I10" i="3"/>
  <c r="A9" i="28"/>
  <c r="B553" i="25"/>
  <c r="D282" i="25"/>
  <c r="H54" i="25"/>
  <c r="F168" i="23"/>
  <c r="B232" i="22"/>
  <c r="D61" i="22"/>
  <c r="G224" i="19"/>
  <c r="G96" i="19"/>
  <c r="F6" i="19"/>
  <c r="B359" i="17"/>
  <c r="B327" i="17"/>
  <c r="B295" i="17"/>
  <c r="B263" i="17"/>
  <c r="B231" i="17"/>
  <c r="B199" i="17"/>
  <c r="B167" i="17"/>
  <c r="B135" i="17"/>
  <c r="B103" i="17"/>
  <c r="B71" i="17"/>
  <c r="B39" i="17"/>
  <c r="A7" i="17"/>
  <c r="A57" i="15"/>
  <c r="B20" i="14"/>
  <c r="H213" i="12"/>
  <c r="C171" i="12"/>
  <c r="F128" i="12"/>
  <c r="H85" i="12"/>
  <c r="C43" i="12"/>
  <c r="D242" i="11"/>
  <c r="G199" i="11"/>
  <c r="A157" i="11"/>
  <c r="D114" i="11"/>
  <c r="G71" i="11"/>
  <c r="A29" i="11"/>
  <c r="A8" i="9"/>
  <c r="E29" i="8"/>
  <c r="E13" i="8"/>
  <c r="F16" i="7"/>
  <c r="G293" i="6"/>
  <c r="G277" i="6"/>
  <c r="G261" i="6"/>
  <c r="G245" i="6"/>
  <c r="G229" i="6"/>
  <c r="G213" i="6"/>
  <c r="G197" i="6"/>
  <c r="G181" i="6"/>
  <c r="G165" i="6"/>
  <c r="G149" i="6"/>
  <c r="G133" i="6"/>
  <c r="G117" i="6"/>
  <c r="G101" i="6"/>
  <c r="G85" i="6"/>
  <c r="G69" i="6"/>
  <c r="G53" i="6"/>
  <c r="G37" i="6"/>
  <c r="G21" i="6"/>
  <c r="G5" i="6"/>
  <c r="L409" i="5"/>
  <c r="D403" i="5"/>
  <c r="P396" i="5"/>
  <c r="H390" i="5"/>
  <c r="T383" i="5"/>
  <c r="L377" i="5"/>
  <c r="D371" i="5"/>
  <c r="P364" i="5"/>
  <c r="H358" i="5"/>
  <c r="T351" i="5"/>
  <c r="L345" i="5"/>
  <c r="D339" i="5"/>
  <c r="P332" i="5"/>
  <c r="H326" i="5"/>
  <c r="T319" i="5"/>
  <c r="L313" i="5"/>
  <c r="D307" i="5"/>
  <c r="P300" i="5"/>
  <c r="H294" i="5"/>
  <c r="T287" i="5"/>
  <c r="L281" i="5"/>
  <c r="D275" i="5"/>
  <c r="P268" i="5"/>
  <c r="H262" i="5"/>
  <c r="T255" i="5"/>
  <c r="L249" i="5"/>
  <c r="D243" i="5"/>
  <c r="P236" i="5"/>
  <c r="H230" i="5"/>
  <c r="T223" i="5"/>
  <c r="L217" i="5"/>
  <c r="D211" i="5"/>
  <c r="P204" i="5"/>
  <c r="C128" i="45"/>
  <c r="B12" i="35"/>
  <c r="C573" i="25"/>
  <c r="E770" i="25"/>
  <c r="D523" i="25"/>
  <c r="A260" i="25"/>
  <c r="E32" i="25"/>
  <c r="D117" i="23"/>
  <c r="E101" i="22"/>
  <c r="O29" i="26"/>
  <c r="A708" i="25"/>
  <c r="D521" i="25"/>
  <c r="C372" i="25"/>
  <c r="E258" i="25"/>
  <c r="G144" i="25"/>
  <c r="I30" i="25"/>
  <c r="A18" i="24"/>
  <c r="E637" i="25"/>
  <c r="A337" i="25"/>
  <c r="E109" i="25"/>
  <c r="A211" i="23"/>
  <c r="C40" i="23"/>
  <c r="D106" i="22"/>
  <c r="A259" i="19"/>
  <c r="A131" i="19"/>
  <c r="E809" i="25"/>
  <c r="D437" i="25"/>
  <c r="E195" i="25"/>
  <c r="F75" i="24"/>
  <c r="E105" i="23"/>
  <c r="C172" i="22"/>
  <c r="E8" i="22"/>
  <c r="H199" i="19"/>
  <c r="D154" i="19"/>
  <c r="D111" i="19"/>
  <c r="H68" i="19"/>
  <c r="D26" i="19"/>
  <c r="H778" i="25"/>
  <c r="F568" i="25"/>
  <c r="I416" i="25"/>
  <c r="I293" i="25"/>
  <c r="B180" i="25"/>
  <c r="D66" i="25"/>
  <c r="D58" i="24"/>
  <c r="A180" i="23"/>
  <c r="F94" i="23"/>
  <c r="C9" i="23"/>
  <c r="G160" i="22"/>
  <c r="D75" i="22"/>
  <c r="A9" i="21"/>
  <c r="C235" i="19"/>
  <c r="C171" i="19"/>
  <c r="C107" i="19"/>
  <c r="E50" i="19"/>
  <c r="H11" i="19"/>
  <c r="E379" i="17"/>
  <c r="E363" i="17"/>
  <c r="E347" i="17"/>
  <c r="E331" i="17"/>
  <c r="E315" i="17"/>
  <c r="E299" i="17"/>
  <c r="E283" i="17"/>
  <c r="E267" i="17"/>
  <c r="E251" i="17"/>
  <c r="E235" i="17"/>
  <c r="E219" i="17"/>
  <c r="E203" i="17"/>
  <c r="E187" i="17"/>
  <c r="E171" i="17"/>
  <c r="E155" i="17"/>
  <c r="E139" i="17"/>
  <c r="E123" i="17"/>
  <c r="E107" i="17"/>
  <c r="E91" i="17"/>
  <c r="E75" i="17"/>
  <c r="E59" i="17"/>
  <c r="E43" i="17"/>
  <c r="E27" i="17"/>
  <c r="E11" i="17"/>
  <c r="C96" i="15"/>
  <c r="C64" i="15"/>
  <c r="C32" i="15"/>
  <c r="D30" i="14"/>
  <c r="A13" i="13"/>
  <c r="F888" i="25"/>
  <c r="A661" i="25"/>
  <c r="A490" i="25"/>
  <c r="H348" i="25"/>
  <c r="A235" i="25"/>
  <c r="C121" i="25"/>
  <c r="E7" i="25"/>
  <c r="G219" i="23"/>
  <c r="E134" i="23"/>
  <c r="B49" i="23"/>
  <c r="F200" i="22"/>
  <c r="C115" i="22"/>
  <c r="H29" i="22"/>
  <c r="B265" i="19"/>
  <c r="B201" i="19"/>
  <c r="B137" i="19"/>
  <c r="B73" i="19"/>
  <c r="F27" i="19"/>
  <c r="H12" i="18"/>
  <c r="H367" i="17"/>
  <c r="D346" i="17"/>
  <c r="L324" i="17"/>
  <c r="H303" i="17"/>
  <c r="D282" i="17"/>
  <c r="L260" i="17"/>
  <c r="H239" i="17"/>
  <c r="D218" i="17"/>
  <c r="L196" i="17"/>
  <c r="H175" i="17"/>
  <c r="D154" i="17"/>
  <c r="L132" i="17"/>
  <c r="H111" i="17"/>
  <c r="D90" i="17"/>
  <c r="L68" i="17"/>
  <c r="H47" i="17"/>
  <c r="D26" i="17"/>
  <c r="C6" i="17"/>
  <c r="B88" i="15"/>
  <c r="B56" i="15"/>
  <c r="B24" i="15"/>
  <c r="C22" i="14"/>
  <c r="D5" i="13"/>
  <c r="A204" i="12"/>
  <c r="A172" i="12"/>
  <c r="E141" i="12"/>
  <c r="E125" i="12"/>
  <c r="E109" i="12"/>
  <c r="E93" i="12"/>
  <c r="E77" i="12"/>
  <c r="E61" i="12"/>
  <c r="E45" i="12"/>
  <c r="E29" i="12"/>
  <c r="E13" i="12"/>
  <c r="F239" i="11"/>
  <c r="F223" i="11"/>
  <c r="F207" i="11"/>
  <c r="F191" i="11"/>
  <c r="F175" i="11"/>
  <c r="F159" i="11"/>
  <c r="F143" i="11"/>
  <c r="F127" i="11"/>
  <c r="F111" i="11"/>
  <c r="F95" i="11"/>
  <c r="F79" i="11"/>
  <c r="F63" i="11"/>
  <c r="F47" i="11"/>
  <c r="F31" i="11"/>
  <c r="F15" i="11"/>
  <c r="G4" i="10"/>
  <c r="A8" i="28"/>
  <c r="D762" i="25"/>
  <c r="F557" i="25"/>
  <c r="I405" i="25"/>
  <c r="G285" i="25"/>
  <c r="I171" i="25"/>
  <c r="B58" i="25"/>
  <c r="B49" i="24"/>
  <c r="B171" i="23"/>
  <c r="G85" i="23"/>
  <c r="C237" i="22"/>
  <c r="H151" i="22"/>
  <c r="F66" i="22"/>
  <c r="D2" i="21"/>
  <c r="F230" i="19"/>
  <c r="F166" i="19"/>
  <c r="F102" i="19"/>
  <c r="C47" i="19"/>
  <c r="E9" i="19"/>
  <c r="C378" i="17"/>
  <c r="C362" i="17"/>
  <c r="C346" i="17"/>
  <c r="C330" i="17"/>
  <c r="C314" i="17"/>
  <c r="C298" i="17"/>
  <c r="C282" i="17"/>
  <c r="C266" i="17"/>
  <c r="C250" i="17"/>
  <c r="C234" i="17"/>
  <c r="C218" i="17"/>
  <c r="C202" i="17"/>
  <c r="C186" i="17"/>
  <c r="C170" i="17"/>
  <c r="C154" i="17"/>
  <c r="C138" i="17"/>
  <c r="C122" i="17"/>
  <c r="C106" i="17"/>
  <c r="C90" i="17"/>
  <c r="C74" i="17"/>
  <c r="C58" i="17"/>
  <c r="C42" i="17"/>
  <c r="C26" i="17"/>
  <c r="B10" i="17"/>
  <c r="H96" i="15"/>
  <c r="H64" i="15"/>
  <c r="H32" i="15"/>
  <c r="A30" i="14"/>
  <c r="B13" i="13"/>
  <c r="B219" i="12"/>
  <c r="G197" i="12"/>
  <c r="D176" i="12"/>
  <c r="B155" i="12"/>
  <c r="G133" i="12"/>
  <c r="D112" i="12"/>
  <c r="B91" i="12"/>
  <c r="G69" i="12"/>
  <c r="D48" i="12"/>
  <c r="B27" i="12"/>
  <c r="G5" i="12"/>
  <c r="C226" i="11"/>
  <c r="H204" i="11"/>
  <c r="E183" i="11"/>
  <c r="C162" i="11"/>
  <c r="H140" i="11"/>
  <c r="E119" i="11"/>
  <c r="C98" i="11"/>
  <c r="H76" i="11"/>
  <c r="E55" i="11"/>
  <c r="C34" i="11"/>
  <c r="H12" i="11"/>
  <c r="B35" i="27"/>
  <c r="H758" i="25"/>
  <c r="C555" i="25"/>
  <c r="F403" i="25"/>
  <c r="I283" i="25"/>
  <c r="B170" i="25"/>
  <c r="D56" i="25"/>
  <c r="B47" i="24"/>
  <c r="E172" i="23"/>
  <c r="B87" i="23"/>
  <c r="F1" i="23"/>
  <c r="C153" i="22"/>
  <c r="H67" i="22"/>
  <c r="D5" i="21"/>
  <c r="F229" i="19"/>
  <c r="F165" i="19"/>
  <c r="F101" i="19"/>
  <c r="F46" i="19"/>
  <c r="A9" i="19"/>
  <c r="G378" i="17"/>
  <c r="G362" i="17"/>
  <c r="G346" i="17"/>
  <c r="G330" i="17"/>
  <c r="G314" i="17"/>
  <c r="G298" i="17"/>
  <c r="G282" i="17"/>
  <c r="G266" i="17"/>
  <c r="G250" i="17"/>
  <c r="G234" i="17"/>
  <c r="G218" i="17"/>
  <c r="G202" i="17"/>
  <c r="G186" i="17"/>
  <c r="G170" i="17"/>
  <c r="G154" i="17"/>
  <c r="G138" i="17"/>
  <c r="G122" i="17"/>
  <c r="G106" i="17"/>
  <c r="G90" i="17"/>
  <c r="G74" i="17"/>
  <c r="G58" i="17"/>
  <c r="G42" i="17"/>
  <c r="G26" i="17"/>
  <c r="F10" i="17"/>
  <c r="D96" i="15"/>
  <c r="D64" i="15"/>
  <c r="D32" i="15"/>
  <c r="E30" i="14"/>
  <c r="F13" i="13"/>
  <c r="D219" i="12"/>
  <c r="B198" i="12"/>
  <c r="G176" i="12"/>
  <c r="D155" i="12"/>
  <c r="B134" i="12"/>
  <c r="G112" i="12"/>
  <c r="D91" i="12"/>
  <c r="B70" i="12"/>
  <c r="G48" i="12"/>
  <c r="D27" i="12"/>
  <c r="B6" i="12"/>
  <c r="C227" i="11"/>
  <c r="H205" i="11"/>
  <c r="E184" i="11"/>
  <c r="C163" i="11"/>
  <c r="H141" i="11"/>
  <c r="E120" i="11"/>
  <c r="C99" i="11"/>
  <c r="H77" i="11"/>
  <c r="E56" i="11"/>
  <c r="C35" i="11"/>
  <c r="H13" i="11"/>
  <c r="C823" i="25"/>
  <c r="E446" i="25"/>
  <c r="D202" i="25"/>
  <c r="D83" i="24"/>
  <c r="A114" i="23"/>
  <c r="G182" i="22"/>
  <c r="D16" i="22"/>
  <c r="G187" i="19"/>
  <c r="E61" i="19"/>
  <c r="C7" i="18"/>
  <c r="F351" i="17"/>
  <c r="F319" i="17"/>
  <c r="F287" i="17"/>
  <c r="F255" i="17"/>
  <c r="F223" i="17"/>
  <c r="F191" i="17"/>
  <c r="F159" i="17"/>
  <c r="F127" i="17"/>
  <c r="F95" i="17"/>
  <c r="F63" i="17"/>
  <c r="F31" i="17"/>
  <c r="E106" i="15"/>
  <c r="E42" i="15"/>
  <c r="F9" i="14"/>
  <c r="C204" i="12"/>
  <c r="F161" i="12"/>
  <c r="H118" i="12"/>
  <c r="C76" i="12"/>
  <c r="F33" i="12"/>
  <c r="G232" i="11"/>
  <c r="A190" i="11"/>
  <c r="D147" i="11"/>
  <c r="G104" i="11"/>
  <c r="A62" i="11"/>
  <c r="D19" i="11"/>
  <c r="G3" i="9"/>
  <c r="D26" i="8"/>
  <c r="D10" i="8"/>
  <c r="A13" i="7"/>
  <c r="B290" i="6"/>
  <c r="B274" i="6"/>
  <c r="B258" i="6"/>
  <c r="B242" i="6"/>
  <c r="B226" i="6"/>
  <c r="B210" i="6"/>
  <c r="B194" i="6"/>
  <c r="B178" i="6"/>
  <c r="B162" i="6"/>
  <c r="B146" i="6"/>
  <c r="B130" i="6"/>
  <c r="B114" i="6"/>
  <c r="B98" i="6"/>
  <c r="B82" i="6"/>
  <c r="B66" i="6"/>
  <c r="B50" i="6"/>
  <c r="B34" i="6"/>
  <c r="B101" i="19"/>
  <c r="D270" i="17"/>
  <c r="H99" i="17"/>
  <c r="B6" i="15"/>
  <c r="E84" i="12"/>
  <c r="F198" i="11"/>
  <c r="F70" i="11"/>
  <c r="C472" i="25"/>
  <c r="C189" i="22"/>
  <c r="F9" i="18"/>
  <c r="C257" i="17"/>
  <c r="C129" i="17"/>
  <c r="H110" i="15"/>
  <c r="D164" i="12"/>
  <c r="E235" i="11"/>
  <c r="H64" i="11"/>
  <c r="I219" i="25"/>
  <c r="C22" i="22"/>
  <c r="G353" i="17"/>
  <c r="G225" i="17"/>
  <c r="G97" i="17"/>
  <c r="D102" i="15"/>
  <c r="D22" i="15"/>
  <c r="F3" i="13"/>
  <c r="D191" i="12"/>
  <c r="G148" i="12"/>
  <c r="B106" i="12"/>
  <c r="D63" i="12"/>
  <c r="G20" i="12"/>
  <c r="E220" i="11"/>
  <c r="H177" i="11"/>
  <c r="C135" i="11"/>
  <c r="E92" i="11"/>
  <c r="H49" i="11"/>
  <c r="C7" i="11"/>
  <c r="H358" i="25"/>
  <c r="D3" i="24"/>
  <c r="D129" i="22"/>
  <c r="G147" i="19"/>
  <c r="F373" i="17"/>
  <c r="F309" i="17"/>
  <c r="F245" i="17"/>
  <c r="F181" i="17"/>
  <c r="F117" i="17"/>
  <c r="F53" i="17"/>
  <c r="E86" i="15"/>
  <c r="G3" i="13"/>
  <c r="C148" i="12"/>
  <c r="H62" i="12"/>
  <c r="D219" i="11"/>
  <c r="A134" i="11"/>
  <c r="G48" i="11"/>
  <c r="D37" i="8"/>
  <c r="D5" i="8"/>
  <c r="B285" i="6"/>
  <c r="B253" i="6"/>
  <c r="B221" i="6"/>
  <c r="B189" i="6"/>
  <c r="B157" i="6"/>
  <c r="B125" i="6"/>
  <c r="B93" i="6"/>
  <c r="B61" i="6"/>
  <c r="B29" i="6"/>
  <c r="K412" i="5"/>
  <c r="O399" i="5"/>
  <c r="S386" i="5"/>
  <c r="C374" i="5"/>
  <c r="G361" i="5"/>
  <c r="K348" i="5"/>
  <c r="O335" i="5"/>
  <c r="S322" i="5"/>
  <c r="C310" i="5"/>
  <c r="G297" i="5"/>
  <c r="K284" i="5"/>
  <c r="O271" i="5"/>
  <c r="S258" i="5"/>
  <c r="C246" i="5"/>
  <c r="G233" i="5"/>
  <c r="K220" i="5"/>
  <c r="O207" i="5"/>
  <c r="S194" i="5"/>
  <c r="C182" i="5"/>
  <c r="G169" i="5"/>
  <c r="K156" i="5"/>
  <c r="O143" i="5"/>
  <c r="S130" i="5"/>
  <c r="C118" i="5"/>
  <c r="G105" i="5"/>
  <c r="K92" i="5"/>
  <c r="O79" i="5"/>
  <c r="S66" i="5"/>
  <c r="C54" i="5"/>
  <c r="G41" i="5"/>
  <c r="K28" i="5"/>
  <c r="O15" i="5"/>
  <c r="C409" i="3"/>
  <c r="H393" i="3"/>
  <c r="AE377" i="3"/>
  <c r="AH361" i="3"/>
  <c r="C346" i="3"/>
  <c r="I330" i="3"/>
  <c r="AF314" i="3"/>
  <c r="AJ298" i="3"/>
  <c r="B283" i="3"/>
  <c r="B267" i="3"/>
  <c r="F251" i="3"/>
  <c r="I235" i="3"/>
  <c r="AD219" i="3"/>
  <c r="AF203" i="3"/>
  <c r="B188" i="3"/>
  <c r="F172" i="3"/>
  <c r="I156" i="3"/>
  <c r="AE140" i="3"/>
  <c r="AG124" i="3"/>
  <c r="AJ108" i="3"/>
  <c r="C93" i="3"/>
  <c r="E77" i="3"/>
  <c r="G61" i="3"/>
  <c r="I45" i="3"/>
  <c r="AE29" i="3"/>
  <c r="G460" i="25"/>
  <c r="D95" i="24"/>
  <c r="D185" i="22"/>
  <c r="G189" i="19"/>
  <c r="C6" i="18"/>
  <c r="N320" i="17"/>
  <c r="N256" i="17"/>
  <c r="N192" i="17"/>
  <c r="N128" i="17"/>
  <c r="N64" i="17"/>
  <c r="E109" i="15"/>
  <c r="F10" i="14"/>
  <c r="H164" i="12"/>
  <c r="F79" i="12"/>
  <c r="A236" i="11"/>
  <c r="G150" i="11"/>
  <c r="D65" i="11"/>
  <c r="G4" i="9"/>
  <c r="H40" i="26"/>
  <c r="E1" i="23"/>
  <c r="B453" i="25"/>
  <c r="E88" i="24"/>
  <c r="C7" i="25"/>
  <c r="E201" i="19"/>
  <c r="C93" i="25"/>
  <c r="D251" i="19"/>
  <c r="D49" i="19"/>
  <c r="B356" i="25"/>
  <c r="F1" i="24"/>
  <c r="B122" i="22"/>
  <c r="C142" i="19"/>
  <c r="A372" i="17"/>
  <c r="A308" i="17"/>
  <c r="A244" i="17"/>
  <c r="A180" i="17"/>
  <c r="A116" i="17"/>
  <c r="A52" i="17"/>
  <c r="G81" i="15"/>
  <c r="A41" i="33"/>
  <c r="C297" i="25"/>
  <c r="B181" i="23"/>
  <c r="F76" i="22"/>
  <c r="B108" i="19"/>
  <c r="L357" i="17"/>
  <c r="H272" i="17"/>
  <c r="D187" i="17"/>
  <c r="L101" i="17"/>
  <c r="H16" i="17"/>
  <c r="F9" i="15"/>
  <c r="E157" i="12"/>
  <c r="A86" i="12"/>
  <c r="A22" i="12"/>
  <c r="B200" i="11"/>
  <c r="B136" i="11"/>
  <c r="B72" i="11"/>
  <c r="B8" i="11"/>
  <c r="E486" i="25"/>
  <c r="H4" i="25"/>
  <c r="C197" i="22"/>
  <c r="F200" i="19"/>
  <c r="F12" i="18"/>
  <c r="K322" i="17"/>
  <c r="K258" i="17"/>
  <c r="K194" i="17"/>
  <c r="K130" i="17"/>
  <c r="K66" i="17"/>
  <c r="H113" i="15"/>
  <c r="A15" i="14"/>
  <c r="D166" i="12"/>
  <c r="B81" i="12"/>
  <c r="E237" i="11"/>
  <c r="C152" i="11"/>
  <c r="H66" i="11"/>
  <c r="G879" i="25"/>
  <c r="F230" i="25"/>
  <c r="E132" i="23"/>
  <c r="C28" i="22"/>
  <c r="F71" i="19"/>
  <c r="O354" i="17"/>
  <c r="O290" i="17"/>
  <c r="O226" i="17"/>
  <c r="O162" i="17"/>
  <c r="O98" i="17"/>
  <c r="O34" i="17"/>
  <c r="D49" i="15"/>
  <c r="D209" i="12"/>
  <c r="B124" i="12"/>
  <c r="G38" i="12"/>
  <c r="H195" i="11"/>
  <c r="E110" i="11"/>
  <c r="C25" i="11"/>
  <c r="G95" i="25"/>
  <c r="G255" i="19"/>
  <c r="F336" i="17"/>
  <c r="F208" i="17"/>
  <c r="F80" i="17"/>
  <c r="E12" i="15"/>
  <c r="H98" i="12"/>
  <c r="A170" i="11"/>
  <c r="E5" i="10"/>
  <c r="E5" i="7"/>
  <c r="F234" i="6"/>
  <c r="F170" i="6"/>
  <c r="F106" i="6"/>
  <c r="F42" i="6"/>
  <c r="C405" i="5"/>
  <c r="K379" i="5"/>
  <c r="S353" i="5"/>
  <c r="G328" i="5"/>
  <c r="O302" i="5"/>
  <c r="C277" i="5"/>
  <c r="K251" i="5"/>
  <c r="S225" i="5"/>
  <c r="G200" i="5"/>
  <c r="O174" i="5"/>
  <c r="C149" i="5"/>
  <c r="K123" i="5"/>
  <c r="S97" i="5"/>
  <c r="G72" i="5"/>
  <c r="O46" i="5"/>
  <c r="C21" i="5"/>
  <c r="B400" i="3"/>
  <c r="J368" i="3"/>
  <c r="A337" i="3"/>
  <c r="AE305" i="3"/>
  <c r="AH273" i="3"/>
  <c r="D242" i="3"/>
  <c r="H210" i="3"/>
  <c r="AJ178" i="3"/>
  <c r="G147" i="3"/>
  <c r="AD115" i="3"/>
  <c r="AJ83" i="3"/>
  <c r="E52" i="3"/>
  <c r="E773" i="25"/>
  <c r="A90" i="23"/>
  <c r="E49" i="19"/>
  <c r="N283" i="17"/>
  <c r="N155" i="17"/>
  <c r="N27" i="17"/>
  <c r="H200" i="12"/>
  <c r="C30" i="12"/>
  <c r="D101" i="11"/>
  <c r="B29" i="8"/>
  <c r="G5" i="7"/>
  <c r="D256" i="6"/>
  <c r="D213" i="6"/>
  <c r="H170" i="6"/>
  <c r="H130" i="6"/>
  <c r="H98" i="6"/>
  <c r="H66" i="6"/>
  <c r="H34" i="6"/>
  <c r="H2" i="6"/>
  <c r="Q401" i="5"/>
  <c r="A389" i="5"/>
  <c r="E376" i="5"/>
  <c r="I363" i="5"/>
  <c r="M350" i="5"/>
  <c r="Q337" i="5"/>
  <c r="A325" i="5"/>
  <c r="E312" i="5"/>
  <c r="I299" i="5"/>
  <c r="M286" i="5"/>
  <c r="Q273" i="5"/>
  <c r="A261" i="5"/>
  <c r="E248" i="5"/>
  <c r="I235" i="5"/>
  <c r="M222" i="5"/>
  <c r="Q209" i="5"/>
  <c r="A197" i="5"/>
  <c r="E184" i="5"/>
  <c r="I171" i="5"/>
  <c r="M158" i="5"/>
  <c r="Q145" i="5"/>
  <c r="A133" i="5"/>
  <c r="E120" i="5"/>
  <c r="I107" i="5"/>
  <c r="M94" i="5"/>
  <c r="Q81" i="5"/>
  <c r="A69" i="5"/>
  <c r="E56" i="5"/>
  <c r="I43" i="5"/>
  <c r="M30" i="5"/>
  <c r="Q17" i="5"/>
  <c r="AG411" i="3"/>
  <c r="A396" i="3"/>
  <c r="E380" i="3"/>
  <c r="H364" i="3"/>
  <c r="AE348" i="3"/>
  <c r="A333" i="3"/>
  <c r="F317" i="3"/>
  <c r="J301" i="3"/>
  <c r="AF285" i="3"/>
  <c r="AF269" i="3"/>
  <c r="AI253" i="3"/>
  <c r="B238" i="3"/>
  <c r="D222" i="3"/>
  <c r="F206" i="3"/>
  <c r="AE190" i="3"/>
  <c r="AJ174" i="3"/>
  <c r="B159" i="3"/>
  <c r="E143" i="3"/>
  <c r="F127" i="3"/>
  <c r="J111" i="3"/>
  <c r="AF95" i="3"/>
  <c r="AH79" i="3"/>
  <c r="AJ63" i="3"/>
  <c r="C48" i="3"/>
  <c r="E32" i="3"/>
  <c r="F581" i="25"/>
  <c r="A14" i="23"/>
  <c r="F16" i="19"/>
  <c r="B270" i="17"/>
  <c r="B142" i="17"/>
  <c r="B14" i="17"/>
  <c r="C183" i="12"/>
  <c r="F12" i="12"/>
  <c r="G83" i="11"/>
  <c r="A18" i="8"/>
  <c r="C266" i="6"/>
  <c r="C202" i="6"/>
  <c r="C138" i="6"/>
  <c r="C74" i="6"/>
  <c r="C10" i="6"/>
  <c r="D392" i="5"/>
  <c r="L366" i="5"/>
  <c r="T340" i="5"/>
  <c r="H315" i="5"/>
  <c r="P289" i="5"/>
  <c r="D264" i="5"/>
  <c r="L238" i="5"/>
  <c r="T212" i="5"/>
  <c r="H187" i="5"/>
  <c r="P161" i="5"/>
  <c r="D136" i="5"/>
  <c r="L110" i="5"/>
  <c r="T84" i="5"/>
  <c r="H59" i="5"/>
  <c r="P33" i="5"/>
  <c r="C8" i="5"/>
  <c r="AJ383" i="3"/>
  <c r="G352" i="3"/>
  <c r="C321" i="3"/>
  <c r="H289" i="3"/>
  <c r="AE257" i="3"/>
  <c r="A226" i="3"/>
  <c r="F194" i="3"/>
  <c r="AH162" i="3"/>
  <c r="C131" i="3"/>
  <c r="G99" i="3"/>
  <c r="AG67" i="3"/>
  <c r="B36" i="3"/>
  <c r="I13" i="3"/>
  <c r="E225" i="25"/>
  <c r="D21" i="22"/>
  <c r="B351" i="17"/>
  <c r="B223" i="17"/>
  <c r="B95" i="17"/>
  <c r="A41" i="15"/>
  <c r="H117" i="12"/>
  <c r="A189" i="11"/>
  <c r="D18" i="11"/>
  <c r="F12" i="7"/>
  <c r="G241" i="6"/>
  <c r="G177" i="6"/>
  <c r="G113" i="6"/>
  <c r="G49" i="6"/>
  <c r="T407" i="5"/>
  <c r="H382" i="5"/>
  <c r="P356" i="5"/>
  <c r="D331" i="5"/>
  <c r="L305" i="5"/>
  <c r="T279" i="5"/>
  <c r="H254" i="5"/>
  <c r="P228" i="5"/>
  <c r="D203" i="5"/>
  <c r="G656" i="25"/>
  <c r="D53" i="23"/>
  <c r="D483" i="25"/>
  <c r="A114" i="24"/>
  <c r="F52" i="25"/>
  <c r="A227" i="19"/>
  <c r="F138" i="25"/>
  <c r="H276" i="19"/>
  <c r="D58" i="19"/>
  <c r="C379" i="25"/>
  <c r="D26" i="24"/>
  <c r="D139" i="22"/>
  <c r="C155" i="19"/>
  <c r="E375" i="17"/>
  <c r="E311" i="17"/>
  <c r="E247" i="17"/>
  <c r="E183" i="17"/>
  <c r="E119" i="17"/>
  <c r="E55" i="17"/>
  <c r="C88" i="15"/>
  <c r="A5" i="13"/>
  <c r="D320" i="25"/>
  <c r="E198" i="23"/>
  <c r="H93" i="22"/>
  <c r="B121" i="19"/>
  <c r="D362" i="17"/>
  <c r="L276" i="17"/>
  <c r="H191" i="17"/>
  <c r="D106" i="17"/>
  <c r="L20" i="17"/>
  <c r="B16" i="15"/>
  <c r="A164" i="12"/>
  <c r="E89" i="12"/>
  <c r="E25" i="12"/>
  <c r="F203" i="11"/>
  <c r="F139" i="11"/>
  <c r="F75" i="11"/>
  <c r="F11" i="11"/>
  <c r="G519" i="25"/>
  <c r="G29" i="25"/>
  <c r="H215" i="22"/>
  <c r="F214" i="19"/>
  <c r="F1" i="19"/>
  <c r="C326" i="17"/>
  <c r="C262" i="17"/>
  <c r="C198" i="17"/>
  <c r="C134" i="17"/>
  <c r="C70" i="17"/>
  <c r="B6" i="17"/>
  <c r="A22" i="14"/>
  <c r="B171" i="12"/>
  <c r="G85" i="12"/>
  <c r="C242" i="11"/>
  <c r="H156" i="11"/>
  <c r="E71" i="11"/>
  <c r="A28" i="26"/>
  <c r="E255" i="25"/>
  <c r="B151" i="23"/>
  <c r="F46" i="22"/>
  <c r="F85" i="19"/>
  <c r="G358" i="17"/>
  <c r="G294" i="17"/>
  <c r="G230" i="17"/>
  <c r="G166" i="17"/>
  <c r="G102" i="17"/>
  <c r="G38" i="17"/>
  <c r="D56" i="15"/>
  <c r="B214" i="12"/>
  <c r="G128" i="12"/>
  <c r="D43" i="12"/>
  <c r="E200" i="11"/>
  <c r="C115" i="11"/>
  <c r="H29" i="11"/>
  <c r="E145" i="25"/>
  <c r="G283" i="19"/>
  <c r="F343" i="17"/>
  <c r="F215" i="17"/>
  <c r="F87" i="17"/>
  <c r="E26" i="15"/>
  <c r="C108" i="12"/>
  <c r="D179" i="11"/>
  <c r="G8" i="11"/>
  <c r="A9" i="7"/>
  <c r="B238" i="6"/>
  <c r="B174" i="6"/>
  <c r="B110" i="6"/>
  <c r="B46" i="6"/>
  <c r="B2" i="6"/>
  <c r="O401" i="5"/>
  <c r="S388" i="5"/>
  <c r="C376" i="5"/>
  <c r="G363" i="5"/>
  <c r="K350" i="5"/>
  <c r="O337" i="5"/>
  <c r="S324" i="5"/>
  <c r="C312" i="5"/>
  <c r="G299" i="5"/>
  <c r="K286" i="5"/>
  <c r="O273" i="5"/>
  <c r="S260" i="5"/>
  <c r="C248" i="5"/>
  <c r="G235" i="5"/>
  <c r="K222" i="5"/>
  <c r="O209" i="5"/>
  <c r="S196" i="5"/>
  <c r="C184" i="5"/>
  <c r="G171" i="5"/>
  <c r="K158" i="5"/>
  <c r="O145" i="5"/>
  <c r="S132" i="5"/>
  <c r="C120" i="5"/>
  <c r="G107" i="5"/>
  <c r="K94" i="5"/>
  <c r="O81" i="5"/>
  <c r="S68" i="5"/>
  <c r="C56" i="5"/>
  <c r="G43" i="5"/>
  <c r="K30" i="5"/>
  <c r="O17" i="5"/>
  <c r="AE411" i="3"/>
  <c r="AI395" i="3"/>
  <c r="C380" i="3"/>
  <c r="F364" i="3"/>
  <c r="J348" i="3"/>
  <c r="AI332" i="3"/>
  <c r="D317" i="3"/>
  <c r="H301" i="3"/>
  <c r="J285" i="3"/>
  <c r="J269" i="3"/>
  <c r="AG253" i="3"/>
  <c r="AJ237" i="3"/>
  <c r="B222" i="3"/>
  <c r="D206" i="3"/>
  <c r="I190" i="3"/>
  <c r="AH174" i="3"/>
  <c r="AJ158" i="3"/>
  <c r="C143" i="3"/>
  <c r="D127" i="3"/>
  <c r="H111" i="3"/>
  <c r="AD95" i="3"/>
  <c r="AF79" i="3"/>
  <c r="AH63" i="3"/>
  <c r="A48" i="3"/>
  <c r="C32" i="3"/>
  <c r="F555" i="25"/>
  <c r="F56" i="25"/>
  <c r="G1" i="23"/>
  <c r="E5" i="21"/>
  <c r="G165" i="19"/>
  <c r="G46" i="19"/>
  <c r="N378" i="17"/>
  <c r="N346" i="17"/>
  <c r="N314" i="17"/>
  <c r="N282" i="17"/>
  <c r="N250" i="17"/>
  <c r="N218" i="17"/>
  <c r="N186" i="17"/>
  <c r="N154" i="17"/>
  <c r="N122" i="17"/>
  <c r="N90" i="17"/>
  <c r="N58" i="17"/>
  <c r="N26" i="17"/>
  <c r="E97" i="15"/>
  <c r="E33" i="15"/>
  <c r="G14" i="13"/>
  <c r="F199" i="12"/>
  <c r="H156" i="12"/>
  <c r="C114" i="12"/>
  <c r="F71" i="12"/>
  <c r="H28" i="12"/>
  <c r="A228" i="11"/>
  <c r="D185" i="11"/>
  <c r="G142" i="11"/>
  <c r="A100" i="11"/>
  <c r="D57" i="11"/>
  <c r="G14" i="11"/>
  <c r="B1" i="9"/>
  <c r="F28" i="8"/>
  <c r="B18" i="8"/>
  <c r="B7" i="8"/>
  <c r="G15" i="7"/>
  <c r="C5" i="7"/>
  <c r="D287" i="6"/>
  <c r="H276" i="6"/>
  <c r="D266" i="6"/>
  <c r="D255" i="6"/>
  <c r="H244" i="6"/>
  <c r="D234" i="6"/>
  <c r="D223" i="6"/>
  <c r="H212" i="6"/>
  <c r="D202" i="6"/>
  <c r="D191" i="6"/>
  <c r="H180" i="6"/>
  <c r="D170" i="6"/>
  <c r="D159" i="6"/>
  <c r="H148" i="6"/>
  <c r="D138" i="6"/>
  <c r="D130" i="6"/>
  <c r="D122" i="6"/>
  <c r="D114" i="6"/>
  <c r="D106" i="6"/>
  <c r="D98" i="6"/>
  <c r="D90" i="6"/>
  <c r="D82" i="6"/>
  <c r="D74" i="6"/>
  <c r="D66" i="6"/>
  <c r="D58" i="6"/>
  <c r="D50" i="6"/>
  <c r="D42" i="6"/>
  <c r="D34" i="6"/>
  <c r="D26" i="6"/>
  <c r="D18" i="6"/>
  <c r="D10" i="6"/>
  <c r="D2" i="6"/>
  <c r="E411" i="5"/>
  <c r="A408" i="5"/>
  <c r="Q404" i="5"/>
  <c r="M401" i="5"/>
  <c r="I398" i="5"/>
  <c r="E395" i="5"/>
  <c r="A392" i="5"/>
  <c r="Q388" i="5"/>
  <c r="M385" i="5"/>
  <c r="I382" i="5"/>
  <c r="E379" i="5"/>
  <c r="A376" i="5"/>
  <c r="Q372" i="5"/>
  <c r="M369" i="5"/>
  <c r="I366" i="5"/>
  <c r="E363" i="5"/>
  <c r="A360" i="5"/>
  <c r="Q356" i="5"/>
  <c r="M353" i="5"/>
  <c r="I350" i="5"/>
  <c r="E347" i="5"/>
  <c r="A344" i="5"/>
  <c r="Q340" i="5"/>
  <c r="M337" i="5"/>
  <c r="I334" i="5"/>
  <c r="E331" i="5"/>
  <c r="A328" i="5"/>
  <c r="Q324" i="5"/>
  <c r="M321" i="5"/>
  <c r="I318" i="5"/>
  <c r="E315" i="5"/>
  <c r="A312" i="5"/>
  <c r="Q308" i="5"/>
  <c r="M305" i="5"/>
  <c r="I302" i="5"/>
  <c r="E299" i="5"/>
  <c r="A296" i="5"/>
  <c r="Q292" i="5"/>
  <c r="M289" i="5"/>
  <c r="I286" i="5"/>
  <c r="E283" i="5"/>
  <c r="A280" i="5"/>
  <c r="Q276" i="5"/>
  <c r="M273" i="5"/>
  <c r="I270" i="5"/>
  <c r="E267" i="5"/>
  <c r="A264" i="5"/>
  <c r="Q260" i="5"/>
  <c r="M257" i="5"/>
  <c r="I254" i="5"/>
  <c r="E251" i="5"/>
  <c r="A248" i="5"/>
  <c r="Q244" i="5"/>
  <c r="M241" i="5"/>
  <c r="I238" i="5"/>
  <c r="E235" i="5"/>
  <c r="A232" i="5"/>
  <c r="Q228" i="5"/>
  <c r="M225" i="5"/>
  <c r="I222" i="5"/>
  <c r="E219" i="5"/>
  <c r="A216" i="5"/>
  <c r="Q212" i="5"/>
  <c r="M209" i="5"/>
  <c r="I206" i="5"/>
  <c r="E203" i="5"/>
  <c r="A200" i="5"/>
  <c r="Q196" i="5"/>
  <c r="M193" i="5"/>
  <c r="I190" i="5"/>
  <c r="E187" i="5"/>
  <c r="A184" i="5"/>
  <c r="Q180" i="5"/>
  <c r="M177" i="5"/>
  <c r="I174" i="5"/>
  <c r="E171" i="5"/>
  <c r="A168" i="5"/>
  <c r="Q164" i="5"/>
  <c r="M161" i="5"/>
  <c r="I158" i="5"/>
  <c r="E155" i="5"/>
  <c r="A152" i="5"/>
  <c r="Q148" i="5"/>
  <c r="M145" i="5"/>
  <c r="I142" i="5"/>
  <c r="E139" i="5"/>
  <c r="A136" i="5"/>
  <c r="Q132" i="5"/>
  <c r="M129" i="5"/>
  <c r="I126" i="5"/>
  <c r="E123" i="5"/>
  <c r="A120" i="5"/>
  <c r="Q116" i="5"/>
  <c r="M113" i="5"/>
  <c r="I110" i="5"/>
  <c r="E107" i="5"/>
  <c r="A104" i="5"/>
  <c r="Q100" i="5"/>
  <c r="M97" i="5"/>
  <c r="I94" i="5"/>
  <c r="E91" i="5"/>
  <c r="A88" i="5"/>
  <c r="Q84" i="5"/>
  <c r="M81" i="5"/>
  <c r="I78" i="5"/>
  <c r="E75" i="5"/>
  <c r="A72" i="5"/>
  <c r="Q68" i="5"/>
  <c r="M65" i="5"/>
  <c r="I62" i="5"/>
  <c r="E59" i="5"/>
  <c r="A56" i="5"/>
  <c r="Q52" i="5"/>
  <c r="M49" i="5"/>
  <c r="I46" i="5"/>
  <c r="E43" i="5"/>
  <c r="A40" i="5"/>
  <c r="Q36" i="5"/>
  <c r="M33" i="5"/>
  <c r="I30" i="5"/>
  <c r="E27" i="5"/>
  <c r="A24" i="5"/>
  <c r="Q20" i="5"/>
  <c r="M17" i="5"/>
  <c r="H14" i="5"/>
  <c r="D11" i="5"/>
  <c r="T7" i="5"/>
  <c r="I411" i="3"/>
  <c r="AD407" i="3"/>
  <c r="AF403" i="3"/>
  <c r="AF399" i="3"/>
  <c r="AG395" i="3"/>
  <c r="AH391" i="3"/>
  <c r="AI387" i="3"/>
  <c r="AI383" i="3"/>
  <c r="A380" i="3"/>
  <c r="B376" i="3"/>
  <c r="D372" i="3"/>
  <c r="D368" i="3"/>
  <c r="D364" i="3"/>
  <c r="D360" i="3"/>
  <c r="E356" i="3"/>
  <c r="F352" i="3"/>
  <c r="H348" i="3"/>
  <c r="I344" i="3"/>
  <c r="J340" i="3"/>
  <c r="AE336" i="3"/>
  <c r="AG332" i="3"/>
  <c r="AI328" i="3"/>
  <c r="AJ324" i="3"/>
  <c r="B321" i="3"/>
  <c r="B317" i="3"/>
  <c r="C313" i="3"/>
  <c r="D309" i="3"/>
  <c r="E305" i="3"/>
  <c r="F301" i="3"/>
  <c r="F297" i="3"/>
  <c r="G293" i="3"/>
  <c r="G289" i="3"/>
  <c r="H285" i="3"/>
  <c r="H281" i="3"/>
  <c r="H277" i="3"/>
  <c r="H273" i="3"/>
  <c r="H269" i="3"/>
  <c r="I265" i="3"/>
  <c r="I261" i="3"/>
  <c r="J257" i="3"/>
  <c r="AE253" i="3"/>
  <c r="AF249" i="3"/>
  <c r="AG245" i="3"/>
  <c r="AH241" i="3"/>
  <c r="AH237" i="3"/>
  <c r="AI233" i="3"/>
  <c r="AI229" i="3"/>
  <c r="AJ225" i="3"/>
  <c r="AJ221" i="3"/>
  <c r="A218" i="3"/>
  <c r="A214" i="3"/>
  <c r="B210" i="3"/>
  <c r="B206" i="3"/>
  <c r="B202" i="3"/>
  <c r="C198" i="3"/>
  <c r="E194" i="3"/>
  <c r="G190" i="3"/>
  <c r="H186" i="3"/>
  <c r="I182" i="3"/>
  <c r="AD178" i="3"/>
  <c r="AF174" i="3"/>
  <c r="AF170" i="3"/>
  <c r="AF166" i="3"/>
  <c r="AG162" i="3"/>
  <c r="AH158" i="3"/>
  <c r="AI154" i="3"/>
  <c r="AJ150" i="3"/>
  <c r="A147" i="3"/>
  <c r="A143" i="3"/>
  <c r="B139" i="3"/>
  <c r="B135" i="3"/>
  <c r="B131" i="3"/>
  <c r="B127" i="3"/>
  <c r="C123" i="3"/>
  <c r="D119" i="3"/>
  <c r="E115" i="3"/>
  <c r="F111" i="3"/>
  <c r="F107" i="3"/>
  <c r="F103" i="3"/>
  <c r="F99" i="3"/>
  <c r="I95" i="3"/>
  <c r="I91" i="3"/>
  <c r="J87" i="3"/>
  <c r="J83" i="3"/>
  <c r="AD79" i="3"/>
  <c r="AE75" i="3"/>
  <c r="AE71" i="3"/>
  <c r="AF67" i="3"/>
  <c r="AF63" i="3"/>
  <c r="AG59" i="3"/>
  <c r="AI55" i="3"/>
  <c r="AI51" i="3"/>
  <c r="AI47" i="3"/>
  <c r="AJ43" i="3"/>
  <c r="A40" i="3"/>
  <c r="A36" i="3"/>
  <c r="A32" i="3"/>
  <c r="B28" i="3"/>
  <c r="B24" i="3"/>
  <c r="B12" i="27"/>
  <c r="G562" i="25"/>
  <c r="E289" i="25"/>
  <c r="I61" i="25"/>
  <c r="A174" i="23"/>
  <c r="C3" i="23"/>
  <c r="D77" i="22"/>
  <c r="G236" i="19"/>
  <c r="G108" i="19"/>
  <c r="F12" i="19"/>
  <c r="B364" i="17"/>
  <c r="B332" i="17"/>
  <c r="B300" i="17"/>
  <c r="B268" i="17"/>
  <c r="B236" i="17"/>
  <c r="B204" i="17"/>
  <c r="B172" i="17"/>
  <c r="B140" i="17"/>
  <c r="B108" i="17"/>
  <c r="B76" i="17"/>
  <c r="B44" i="17"/>
  <c r="B12" i="17"/>
  <c r="A67" i="15"/>
  <c r="A3" i="15"/>
  <c r="C223" i="12"/>
  <c r="F180" i="12"/>
  <c r="H137" i="12"/>
  <c r="C95" i="12"/>
  <c r="F52" i="12"/>
  <c r="H9" i="12"/>
  <c r="A209" i="11"/>
  <c r="D166" i="11"/>
  <c r="G123" i="11"/>
  <c r="A81" i="11"/>
  <c r="D38" i="11"/>
  <c r="B2" i="10"/>
  <c r="A33" i="8"/>
  <c r="A17" i="8"/>
  <c r="B1" i="8"/>
  <c r="B4" i="7"/>
  <c r="C281" i="6"/>
  <c r="C265" i="6"/>
  <c r="C249" i="6"/>
  <c r="C233" i="6"/>
  <c r="C217" i="6"/>
  <c r="C201" i="6"/>
  <c r="C185" i="6"/>
  <c r="C169" i="6"/>
  <c r="C153" i="6"/>
  <c r="C137" i="6"/>
  <c r="C121" i="6"/>
  <c r="C105" i="6"/>
  <c r="C89" i="6"/>
  <c r="C73" i="6"/>
  <c r="C57" i="6"/>
  <c r="C41" i="6"/>
  <c r="C25" i="6"/>
  <c r="C9" i="6"/>
  <c r="T410" i="5"/>
  <c r="L404" i="5"/>
  <c r="D398" i="5"/>
  <c r="P391" i="5"/>
  <c r="H385" i="5"/>
  <c r="T378" i="5"/>
  <c r="L372" i="5"/>
  <c r="D366" i="5"/>
  <c r="P359" i="5"/>
  <c r="H353" i="5"/>
  <c r="T346" i="5"/>
  <c r="L340" i="5"/>
  <c r="D334" i="5"/>
  <c r="P327" i="5"/>
  <c r="H321" i="5"/>
  <c r="T314" i="5"/>
  <c r="L308" i="5"/>
  <c r="D302" i="5"/>
  <c r="P295" i="5"/>
  <c r="H289" i="5"/>
  <c r="T282" i="5"/>
  <c r="L276" i="5"/>
  <c r="D270" i="5"/>
  <c r="P263" i="5"/>
  <c r="H257" i="5"/>
  <c r="T250" i="5"/>
  <c r="L244" i="5"/>
  <c r="D238" i="5"/>
  <c r="P231" i="5"/>
  <c r="H225" i="5"/>
  <c r="T218" i="5"/>
  <c r="L212" i="5"/>
  <c r="D206" i="5"/>
  <c r="P199" i="5"/>
  <c r="H193" i="5"/>
  <c r="T186" i="5"/>
  <c r="L180" i="5"/>
  <c r="D174" i="5"/>
  <c r="P167" i="5"/>
  <c r="H161" i="5"/>
  <c r="T154" i="5"/>
  <c r="L148" i="5"/>
  <c r="D142" i="5"/>
  <c r="P135" i="5"/>
  <c r="H129" i="5"/>
  <c r="T122" i="5"/>
  <c r="L116" i="5"/>
  <c r="D110" i="5"/>
  <c r="P103" i="5"/>
  <c r="H97" i="5"/>
  <c r="T90" i="5"/>
  <c r="L84" i="5"/>
  <c r="D78" i="5"/>
  <c r="P71" i="5"/>
  <c r="H65" i="5"/>
  <c r="T58" i="5"/>
  <c r="L52" i="5"/>
  <c r="D46" i="5"/>
  <c r="P39" i="5"/>
  <c r="H33" i="5"/>
  <c r="T26" i="5"/>
  <c r="L20" i="5"/>
  <c r="C14" i="5"/>
  <c r="O7" i="5"/>
  <c r="D407" i="3"/>
  <c r="F399" i="3"/>
  <c r="G391" i="3"/>
  <c r="H383" i="3"/>
  <c r="AE375" i="3"/>
  <c r="AG367" i="3"/>
  <c r="AG359" i="3"/>
  <c r="AI351" i="3"/>
  <c r="B344" i="3"/>
  <c r="E336" i="3"/>
  <c r="H328" i="3"/>
  <c r="AE320" i="3"/>
  <c r="AF312" i="3"/>
  <c r="AH304" i="3"/>
  <c r="AI296" i="3"/>
  <c r="AJ288" i="3"/>
  <c r="A281" i="3"/>
  <c r="A273" i="3"/>
  <c r="B265" i="3"/>
  <c r="C257" i="3"/>
  <c r="F249" i="3"/>
  <c r="G241" i="3"/>
  <c r="H233" i="3"/>
  <c r="I225" i="3"/>
  <c r="J217" i="3"/>
  <c r="AE209" i="3"/>
  <c r="AE201" i="3"/>
  <c r="AH193" i="3"/>
  <c r="A186" i="3"/>
  <c r="D178" i="3"/>
  <c r="E170" i="3"/>
  <c r="F162" i="3"/>
  <c r="I154" i="3"/>
  <c r="J146" i="3"/>
  <c r="AE138" i="3"/>
  <c r="AE130" i="3"/>
  <c r="AF122" i="3"/>
  <c r="AH114" i="3"/>
  <c r="AI106" i="3"/>
  <c r="AI98" i="3"/>
  <c r="B91" i="3"/>
  <c r="C83" i="3"/>
  <c r="D75" i="3"/>
  <c r="E67" i="3"/>
  <c r="F59" i="3"/>
  <c r="H51" i="3"/>
  <c r="I43" i="3"/>
  <c r="J35" i="3"/>
  <c r="AE27" i="3"/>
  <c r="I21" i="3"/>
  <c r="E17" i="3"/>
  <c r="E13" i="3"/>
  <c r="E9" i="3"/>
  <c r="A841" i="25"/>
  <c r="D458" i="25"/>
  <c r="C211" i="25"/>
  <c r="D93" i="24"/>
  <c r="C115" i="23"/>
  <c r="G178" i="22"/>
  <c r="D13" i="22"/>
  <c r="G184" i="19"/>
  <c r="E59" i="19"/>
  <c r="G5" i="18"/>
  <c r="B349" i="17"/>
  <c r="B317" i="17"/>
  <c r="B285" i="17"/>
  <c r="B253" i="17"/>
  <c r="B221" i="17"/>
  <c r="B189" i="17"/>
  <c r="B157" i="17"/>
  <c r="B125" i="17"/>
  <c r="B93" i="17"/>
  <c r="B61" i="17"/>
  <c r="B29" i="17"/>
  <c r="A101" i="15"/>
  <c r="A37" i="15"/>
  <c r="C1" i="14"/>
  <c r="F200" i="12"/>
  <c r="H157" i="12"/>
  <c r="C115" i="12"/>
  <c r="F72" i="12"/>
  <c r="H29" i="12"/>
  <c r="A229" i="11"/>
  <c r="D186" i="11"/>
  <c r="G143" i="11"/>
  <c r="A101" i="11"/>
  <c r="D58" i="11"/>
  <c r="G15" i="11"/>
  <c r="E1" i="9"/>
  <c r="E24" i="8"/>
  <c r="E8" i="8"/>
  <c r="F11" i="7"/>
  <c r="G288" i="6"/>
  <c r="G272" i="6"/>
  <c r="G256" i="6"/>
  <c r="G240" i="6"/>
  <c r="G224" i="6"/>
  <c r="G208" i="6"/>
  <c r="G192" i="6"/>
  <c r="G176" i="6"/>
  <c r="G160" i="6"/>
  <c r="G144" i="6"/>
  <c r="G128" i="6"/>
  <c r="G112" i="6"/>
  <c r="G96" i="6"/>
  <c r="G80" i="6"/>
  <c r="G64" i="6"/>
  <c r="G48" i="6"/>
  <c r="G32" i="6"/>
  <c r="G16" i="6"/>
  <c r="T413" i="5"/>
  <c r="L407" i="5"/>
  <c r="D401" i="5"/>
  <c r="P394" i="5"/>
  <c r="H388" i="5"/>
  <c r="T381" i="5"/>
  <c r="L375" i="5"/>
  <c r="D369" i="5"/>
  <c r="P362" i="5"/>
  <c r="H356" i="5"/>
  <c r="T349" i="5"/>
  <c r="L343" i="5"/>
  <c r="D337" i="5"/>
  <c r="P330" i="5"/>
  <c r="H324" i="5"/>
  <c r="T317" i="5"/>
  <c r="L311" i="5"/>
  <c r="D305" i="5"/>
  <c r="P298" i="5"/>
  <c r="H292" i="5"/>
  <c r="T285" i="5"/>
  <c r="L279" i="5"/>
  <c r="D273" i="5"/>
  <c r="P266" i="5"/>
  <c r="H260" i="5"/>
  <c r="T253" i="5"/>
  <c r="L247" i="5"/>
  <c r="D241" i="5"/>
  <c r="P234" i="5"/>
  <c r="H228" i="5"/>
  <c r="I743" i="25"/>
  <c r="D797" i="25"/>
  <c r="H117" i="25"/>
  <c r="A194" i="22"/>
  <c r="D793" i="25"/>
  <c r="E426" i="25"/>
  <c r="D187" i="25"/>
  <c r="A66" i="24"/>
  <c r="E436" i="25"/>
  <c r="H74" i="24"/>
  <c r="D170" i="22"/>
  <c r="A179" i="19"/>
  <c r="B551" i="25"/>
  <c r="C53" i="25"/>
  <c r="C236" i="22"/>
  <c r="H229" i="19"/>
  <c r="D127" i="19"/>
  <c r="D42" i="19"/>
  <c r="F636" i="25"/>
  <c r="F336" i="25"/>
  <c r="A109" i="25"/>
  <c r="A212" i="23"/>
  <c r="C41" i="23"/>
  <c r="D107" i="22"/>
  <c r="C259" i="19"/>
  <c r="C131" i="19"/>
  <c r="H23" i="19"/>
  <c r="E369" i="17"/>
  <c r="E337" i="17"/>
  <c r="E305" i="17"/>
  <c r="E273" i="17"/>
  <c r="E241" i="17"/>
  <c r="E209" i="17"/>
  <c r="E177" i="17"/>
  <c r="E145" i="17"/>
  <c r="E113" i="17"/>
  <c r="E81" i="17"/>
  <c r="E49" i="17"/>
  <c r="E17" i="17"/>
  <c r="C76" i="15"/>
  <c r="C12" i="15"/>
  <c r="B15" i="27"/>
  <c r="I546" i="25"/>
  <c r="G277" i="25"/>
  <c r="B50" i="25"/>
  <c r="E166" i="23"/>
  <c r="F232" i="22"/>
  <c r="H61" i="22"/>
  <c r="B225" i="19"/>
  <c r="B97" i="19"/>
  <c r="G6" i="19"/>
  <c r="D354" i="17"/>
  <c r="H311" i="17"/>
  <c r="L268" i="17"/>
  <c r="D226" i="17"/>
  <c r="H183" i="17"/>
  <c r="L140" i="17"/>
  <c r="D98" i="17"/>
  <c r="H55" i="17"/>
  <c r="L12" i="17"/>
  <c r="B68" i="15"/>
  <c r="B4" i="15"/>
  <c r="A216" i="12"/>
  <c r="A152" i="12"/>
  <c r="E115" i="12"/>
  <c r="E83" i="12"/>
  <c r="E51" i="12"/>
  <c r="E19" i="12"/>
  <c r="F229" i="11"/>
  <c r="F197" i="11"/>
  <c r="F165" i="11"/>
  <c r="F133" i="11"/>
  <c r="F101" i="11"/>
  <c r="F69" i="11"/>
  <c r="F37" i="11"/>
  <c r="F5" i="11"/>
  <c r="G847" i="25"/>
  <c r="H462" i="25"/>
  <c r="F214" i="25"/>
  <c r="B97" i="24"/>
  <c r="G117" i="23"/>
  <c r="H183" i="22"/>
  <c r="C17" i="22"/>
  <c r="F190" i="19"/>
  <c r="C63" i="19"/>
  <c r="F7" i="18"/>
  <c r="C352" i="17"/>
  <c r="C320" i="17"/>
  <c r="C288" i="17"/>
  <c r="C256" i="17"/>
  <c r="C224" i="17"/>
  <c r="C192" i="17"/>
  <c r="C160" i="17"/>
  <c r="C128" i="17"/>
  <c r="C96" i="17"/>
  <c r="C64" i="17"/>
  <c r="C32" i="17"/>
  <c r="H108" i="15"/>
  <c r="H44" i="15"/>
  <c r="A10" i="14"/>
  <c r="G205" i="12"/>
  <c r="B163" i="12"/>
  <c r="D120" i="12"/>
  <c r="G77" i="12"/>
  <c r="B35" i="12"/>
  <c r="C234" i="11"/>
  <c r="E191" i="11"/>
  <c r="H148" i="11"/>
  <c r="C106" i="11"/>
  <c r="E63" i="11"/>
  <c r="H20" i="11"/>
  <c r="B844" i="25"/>
  <c r="E460" i="25"/>
  <c r="H212" i="25"/>
  <c r="B95" i="24"/>
  <c r="B119" i="23"/>
  <c r="C185" i="22"/>
  <c r="C18" i="22"/>
  <c r="F189" i="19"/>
  <c r="F62" i="19"/>
  <c r="B7" i="18"/>
  <c r="G352" i="17"/>
  <c r="G320" i="17"/>
  <c r="G288" i="17"/>
  <c r="G256" i="17"/>
  <c r="G224" i="17"/>
  <c r="G192" i="17"/>
  <c r="G160" i="17"/>
  <c r="G128" i="17"/>
  <c r="G96" i="17"/>
  <c r="G64" i="17"/>
  <c r="G32" i="17"/>
  <c r="D108" i="15"/>
  <c r="D44" i="15"/>
  <c r="E10" i="14"/>
  <c r="B206" i="12"/>
  <c r="D163" i="12"/>
  <c r="G120" i="12"/>
  <c r="B78" i="12"/>
  <c r="D35" i="12"/>
  <c r="C235" i="11"/>
  <c r="E192" i="11"/>
  <c r="H149" i="11"/>
  <c r="C107" i="11"/>
  <c r="E64" i="11"/>
  <c r="H21" i="11"/>
  <c r="C560" i="25"/>
  <c r="B60" i="25"/>
  <c r="C7" i="23"/>
  <c r="G235" i="19"/>
  <c r="B12" i="19"/>
  <c r="F331" i="17"/>
  <c r="F267" i="17"/>
  <c r="F203" i="17"/>
  <c r="F139" i="17"/>
  <c r="F75" i="17"/>
  <c r="F11" i="17"/>
  <c r="E2" i="15"/>
  <c r="F177" i="12"/>
  <c r="C92" i="12"/>
  <c r="H6" i="12"/>
  <c r="D163" i="11"/>
  <c r="A78" i="11"/>
  <c r="G1" i="10"/>
  <c r="D16" i="8"/>
  <c r="A3" i="7"/>
  <c r="B264" i="6"/>
  <c r="B232" i="6"/>
  <c r="B200" i="6"/>
  <c r="B168" i="6"/>
  <c r="B136" i="6"/>
  <c r="B104" i="6"/>
  <c r="B72" i="6"/>
  <c r="B40" i="6"/>
  <c r="B8" i="6"/>
  <c r="C404" i="5"/>
  <c r="G391" i="5"/>
  <c r="K378" i="5"/>
  <c r="O365" i="5"/>
  <c r="S352" i="5"/>
  <c r="C340" i="5"/>
  <c r="G327" i="5"/>
  <c r="K314" i="5"/>
  <c r="O301" i="5"/>
  <c r="S288" i="5"/>
  <c r="C276" i="5"/>
  <c r="G263" i="5"/>
  <c r="K250" i="5"/>
  <c r="O237" i="5"/>
  <c r="S224" i="5"/>
  <c r="C212" i="5"/>
  <c r="G199" i="5"/>
  <c r="K186" i="5"/>
  <c r="O173" i="5"/>
  <c r="S160" i="5"/>
  <c r="C148" i="5"/>
  <c r="G135" i="5"/>
  <c r="K122" i="5"/>
  <c r="O109" i="5"/>
  <c r="S96" i="5"/>
  <c r="C84" i="5"/>
  <c r="G71" i="5"/>
  <c r="K58" i="5"/>
  <c r="O45" i="5"/>
  <c r="S32" i="5"/>
  <c r="C20" i="5"/>
  <c r="F7" i="5"/>
  <c r="AI398" i="3"/>
  <c r="A383" i="3"/>
  <c r="F367" i="3"/>
  <c r="H351" i="3"/>
  <c r="AH335" i="3"/>
  <c r="D320" i="3"/>
  <c r="G304" i="3"/>
  <c r="I288" i="3"/>
  <c r="J272" i="3"/>
  <c r="AF256" i="3"/>
  <c r="AJ240" i="3"/>
  <c r="B225" i="3"/>
  <c r="D209" i="3"/>
  <c r="H193" i="3"/>
  <c r="AG177" i="3"/>
  <c r="AI161" i="3"/>
  <c r="C146" i="3"/>
  <c r="D130" i="3"/>
  <c r="G114" i="3"/>
  <c r="H98" i="3"/>
  <c r="AF82" i="3"/>
  <c r="AH66" i="3"/>
  <c r="A51" i="3"/>
  <c r="C35" i="3"/>
  <c r="D702" i="25"/>
  <c r="I141" i="25"/>
  <c r="C63" i="23"/>
  <c r="G277" i="19"/>
  <c r="B36" i="19"/>
  <c r="N342" i="17"/>
  <c r="N278" i="17"/>
  <c r="N214" i="17"/>
  <c r="N150" i="17"/>
  <c r="N86" i="17"/>
  <c r="N22" i="17"/>
  <c r="E25" i="15"/>
  <c r="C194" i="12"/>
  <c r="H108" i="12"/>
  <c r="F23" i="12"/>
  <c r="A180" i="11"/>
  <c r="G94" i="11"/>
  <c r="D9" i="11"/>
  <c r="B27" i="8"/>
  <c r="B6" i="8"/>
  <c r="G3" i="7"/>
  <c r="D275" i="6"/>
  <c r="D254" i="6"/>
  <c r="H232" i="6"/>
  <c r="D211" i="6"/>
  <c r="D190" i="6"/>
  <c r="H168" i="6"/>
  <c r="D147" i="6"/>
  <c r="D129" i="6"/>
  <c r="D113" i="6"/>
  <c r="D97" i="6"/>
  <c r="D81" i="6"/>
  <c r="D65" i="6"/>
  <c r="D49" i="6"/>
  <c r="D33" i="6"/>
  <c r="D17" i="6"/>
  <c r="A1" i="6"/>
  <c r="M407" i="5"/>
  <c r="E401" i="5"/>
  <c r="Q394" i="5"/>
  <c r="I388" i="5"/>
  <c r="A382" i="5"/>
  <c r="M375" i="5"/>
  <c r="E369" i="5"/>
  <c r="Q362" i="5"/>
  <c r="I356" i="5"/>
  <c r="A350" i="5"/>
  <c r="M343" i="5"/>
  <c r="E337" i="5"/>
  <c r="Q330" i="5"/>
  <c r="I324" i="5"/>
  <c r="A318" i="5"/>
  <c r="M311" i="5"/>
  <c r="E305" i="5"/>
  <c r="Q298" i="5"/>
  <c r="I292" i="5"/>
  <c r="A286" i="5"/>
  <c r="M279" i="5"/>
  <c r="E273" i="5"/>
  <c r="Q266" i="5"/>
  <c r="I260" i="5"/>
  <c r="A254" i="5"/>
  <c r="M247" i="5"/>
  <c r="E241" i="5"/>
  <c r="Q234" i="5"/>
  <c r="I228" i="5"/>
  <c r="A222" i="5"/>
  <c r="M215" i="5"/>
  <c r="E209" i="5"/>
  <c r="Q202" i="5"/>
  <c r="I196" i="5"/>
  <c r="A190" i="5"/>
  <c r="M183" i="5"/>
  <c r="E177" i="5"/>
  <c r="Q170" i="5"/>
  <c r="I164" i="5"/>
  <c r="A158" i="5"/>
  <c r="M151" i="5"/>
  <c r="E145" i="5"/>
  <c r="Q138" i="5"/>
  <c r="I132" i="5"/>
  <c r="A126" i="5"/>
  <c r="M119" i="5"/>
  <c r="E113" i="5"/>
  <c r="Q106" i="5"/>
  <c r="I100" i="5"/>
  <c r="A94" i="5"/>
  <c r="M87" i="5"/>
  <c r="E81" i="5"/>
  <c r="Q74" i="5"/>
  <c r="I68" i="5"/>
  <c r="A62" i="5"/>
  <c r="M55" i="5"/>
  <c r="E49" i="5"/>
  <c r="Q42" i="5"/>
  <c r="I36" i="5"/>
  <c r="A30" i="5"/>
  <c r="M23" i="5"/>
  <c r="E17" i="5"/>
  <c r="P10" i="5"/>
  <c r="A411" i="3"/>
  <c r="D403" i="3"/>
  <c r="E395" i="3"/>
  <c r="G387" i="3"/>
  <c r="I379" i="3"/>
  <c r="AF371" i="3"/>
  <c r="AF363" i="3"/>
  <c r="AG355" i="3"/>
  <c r="AJ347" i="3"/>
  <c r="B340" i="3"/>
  <c r="F332" i="3"/>
  <c r="I324" i="3"/>
  <c r="J316" i="3"/>
  <c r="AF308" i="3"/>
  <c r="AH300" i="3"/>
  <c r="AI292" i="3"/>
  <c r="AJ284" i="3"/>
  <c r="AJ276" i="3"/>
  <c r="AJ268" i="3"/>
  <c r="A261" i="3"/>
  <c r="D253" i="3"/>
  <c r="F245" i="3"/>
  <c r="G237" i="3"/>
  <c r="G229" i="3"/>
  <c r="H221" i="3"/>
  <c r="I213" i="3"/>
  <c r="J205" i="3"/>
  <c r="AE197" i="3"/>
  <c r="AI189" i="3"/>
  <c r="A182" i="3"/>
  <c r="D174" i="3"/>
  <c r="E166" i="3"/>
  <c r="F158" i="3"/>
  <c r="H150" i="3"/>
  <c r="I142" i="3"/>
  <c r="J134" i="3"/>
  <c r="AD126" i="3"/>
  <c r="AF118" i="3"/>
  <c r="AH110" i="3"/>
  <c r="AH102" i="3"/>
  <c r="A95" i="3"/>
  <c r="B87" i="3"/>
  <c r="C79" i="3"/>
  <c r="C71" i="3"/>
  <c r="D63" i="3"/>
  <c r="G55" i="3"/>
  <c r="G47" i="3"/>
  <c r="I39" i="3"/>
  <c r="I31" i="3"/>
  <c r="J23" i="3"/>
  <c r="G524" i="25"/>
  <c r="E33" i="25"/>
  <c r="G226" i="22"/>
  <c r="G220" i="19"/>
  <c r="F4" i="19"/>
  <c r="B328" i="17"/>
  <c r="B264" i="17"/>
  <c r="B200" i="17"/>
  <c r="B136" i="17"/>
  <c r="B72" i="17"/>
  <c r="A8" i="17"/>
  <c r="B26" i="14"/>
  <c r="C175" i="12"/>
  <c r="H89" i="12"/>
  <c r="F4" i="12"/>
  <c r="A161" i="11"/>
  <c r="G75" i="11"/>
  <c r="A10" i="9"/>
  <c r="A15" i="8"/>
  <c r="B2" i="7"/>
  <c r="C263" i="6"/>
  <c r="C231" i="6"/>
  <c r="C199" i="6"/>
  <c r="C167" i="6"/>
  <c r="C135" i="6"/>
  <c r="C103" i="6"/>
  <c r="C71" i="6"/>
  <c r="C39" i="6"/>
  <c r="C7" i="6"/>
  <c r="P403" i="5"/>
  <c r="T390" i="5"/>
  <c r="D378" i="5"/>
  <c r="H365" i="5"/>
  <c r="L352" i="5"/>
  <c r="P339" i="5"/>
  <c r="T326" i="5"/>
  <c r="D314" i="5"/>
  <c r="H301" i="5"/>
  <c r="L288" i="5"/>
  <c r="P275" i="5"/>
  <c r="T262" i="5"/>
  <c r="D250" i="5"/>
  <c r="H237" i="5"/>
  <c r="L224" i="5"/>
  <c r="P211" i="5"/>
  <c r="T198" i="5"/>
  <c r="D186" i="5"/>
  <c r="H173" i="5"/>
  <c r="L160" i="5"/>
  <c r="P147" i="5"/>
  <c r="T134" i="5"/>
  <c r="D122" i="5"/>
  <c r="H109" i="5"/>
  <c r="L96" i="5"/>
  <c r="P83" i="5"/>
  <c r="T70" i="5"/>
  <c r="D58" i="5"/>
  <c r="H45" i="5"/>
  <c r="L32" i="5"/>
  <c r="P19" i="5"/>
  <c r="S6" i="5"/>
  <c r="F398" i="3"/>
  <c r="I382" i="3"/>
  <c r="AG366" i="3"/>
  <c r="AI350" i="3"/>
  <c r="F335" i="3"/>
  <c r="AE319" i="3"/>
  <c r="AH303" i="3"/>
  <c r="AJ287" i="3"/>
  <c r="A272" i="3"/>
  <c r="C256" i="3"/>
  <c r="G240" i="3"/>
  <c r="I224" i="3"/>
  <c r="AE208" i="3"/>
  <c r="AI192" i="3"/>
  <c r="D177" i="3"/>
  <c r="F161" i="3"/>
  <c r="J145" i="3"/>
  <c r="AE129" i="3"/>
  <c r="AH113" i="3"/>
  <c r="AI97" i="3"/>
  <c r="C82" i="3"/>
  <c r="E66" i="3"/>
  <c r="H50" i="3"/>
  <c r="J34" i="3"/>
  <c r="AH20" i="3"/>
  <c r="AG12" i="3"/>
  <c r="B784" i="25"/>
  <c r="H182" i="25"/>
  <c r="A94" i="23"/>
  <c r="E4" i="21"/>
  <c r="G48" i="19"/>
  <c r="B345" i="17"/>
  <c r="B281" i="17"/>
  <c r="B217" i="17"/>
  <c r="B153" i="17"/>
  <c r="B89" i="17"/>
  <c r="B25" i="17"/>
  <c r="A29" i="15"/>
  <c r="C195" i="12"/>
  <c r="H109" i="12"/>
  <c r="F24" i="12"/>
  <c r="A181" i="11"/>
  <c r="G95" i="11"/>
  <c r="D10" i="11"/>
  <c r="E22" i="8"/>
  <c r="F9" i="7"/>
  <c r="G270" i="6"/>
  <c r="G238" i="6"/>
  <c r="G206" i="6"/>
  <c r="G174" i="6"/>
  <c r="G142" i="6"/>
  <c r="G110" i="6"/>
  <c r="G78" i="6"/>
  <c r="G46" i="6"/>
  <c r="G14" i="6"/>
  <c r="P406" i="5"/>
  <c r="T393" i="5"/>
  <c r="D381" i="5"/>
  <c r="H368" i="5"/>
  <c r="L355" i="5"/>
  <c r="P342" i="5"/>
  <c r="T329" i="5"/>
  <c r="D317" i="5"/>
  <c r="H304" i="5"/>
  <c r="L291" i="5"/>
  <c r="P278" i="5"/>
  <c r="T265" i="5"/>
  <c r="D253" i="5"/>
  <c r="H240" i="5"/>
  <c r="L227" i="5"/>
  <c r="P218" i="5"/>
  <c r="H210" i="5"/>
  <c r="T201" i="5"/>
  <c r="P194" i="5"/>
  <c r="H188" i="5"/>
  <c r="T181" i="5"/>
  <c r="L175" i="5"/>
  <c r="D169" i="5"/>
  <c r="P162" i="5"/>
  <c r="H156" i="5"/>
  <c r="T149" i="5"/>
  <c r="L143" i="5"/>
  <c r="D137" i="5"/>
  <c r="P130" i="5"/>
  <c r="H124" i="5"/>
  <c r="T117" i="5"/>
  <c r="L111" i="5"/>
  <c r="D105" i="5"/>
  <c r="P98" i="5"/>
  <c r="H92" i="5"/>
  <c r="T85" i="5"/>
  <c r="L79" i="5"/>
  <c r="D73" i="5"/>
  <c r="P66" i="5"/>
  <c r="H60" i="5"/>
  <c r="T53" i="5"/>
  <c r="L47" i="5"/>
  <c r="D41" i="5"/>
  <c r="P34" i="5"/>
  <c r="H28" i="5"/>
  <c r="T21" i="5"/>
  <c r="L15" i="5"/>
  <c r="C9" i="5"/>
  <c r="AH408" i="3"/>
  <c r="A401" i="3"/>
  <c r="C393" i="3"/>
  <c r="D385" i="3"/>
  <c r="G377" i="3"/>
  <c r="I369" i="3"/>
  <c r="I361" i="3"/>
  <c r="AD353" i="3"/>
  <c r="AH345" i="3"/>
  <c r="AJ337" i="3"/>
  <c r="D330" i="3"/>
  <c r="G322" i="3"/>
  <c r="G314" i="3"/>
  <c r="J306" i="3"/>
  <c r="AE298" i="3"/>
  <c r="AF290" i="3"/>
  <c r="AG282" i="3"/>
  <c r="AG274" i="3"/>
  <c r="AG266" i="3"/>
  <c r="AI258" i="3"/>
  <c r="A251" i="3"/>
  <c r="C243" i="3"/>
  <c r="D235" i="3"/>
  <c r="E227" i="3"/>
  <c r="F219" i="3"/>
  <c r="F211" i="3"/>
  <c r="G203" i="3"/>
  <c r="I195" i="3"/>
  <c r="AG187" i="3"/>
  <c r="AH179" i="3"/>
  <c r="A172" i="3"/>
  <c r="B164" i="3"/>
  <c r="D156" i="3"/>
  <c r="F148" i="3"/>
  <c r="F140" i="3"/>
  <c r="G132" i="3"/>
  <c r="H124" i="3"/>
  <c r="I116" i="3"/>
  <c r="AE108" i="3"/>
  <c r="AE100" i="3"/>
  <c r="AH92" i="3"/>
  <c r="AI84" i="3"/>
  <c r="AJ76" i="3"/>
  <c r="A69" i="3"/>
  <c r="B61" i="3"/>
  <c r="D53" i="3"/>
  <c r="D45" i="3"/>
  <c r="F37" i="3"/>
  <c r="G29" i="3"/>
  <c r="AE22" i="3"/>
  <c r="C18" i="3"/>
  <c r="C14" i="3"/>
  <c r="C10" i="3"/>
  <c r="O18" i="26"/>
  <c r="D250" i="25"/>
  <c r="F144" i="23"/>
  <c r="D37" i="22"/>
  <c r="G86" i="19"/>
  <c r="J354" i="17"/>
  <c r="J290" i="17"/>
  <c r="J226" i="17"/>
  <c r="J162" i="17"/>
  <c r="J98" i="17"/>
  <c r="J34" i="17"/>
  <c r="A46" i="15"/>
  <c r="C201" i="12"/>
  <c r="H115" i="12"/>
  <c r="F30" i="12"/>
  <c r="G189" i="11"/>
  <c r="D104" i="11"/>
  <c r="A19" i="11"/>
  <c r="G26" i="8"/>
  <c r="H14" i="7"/>
  <c r="A275" i="6"/>
  <c r="A243" i="6"/>
  <c r="A211" i="6"/>
  <c r="A179" i="6"/>
  <c r="A147" i="6"/>
  <c r="A115" i="6"/>
  <c r="A83" i="6"/>
  <c r="A51" i="6"/>
  <c r="A19" i="6"/>
  <c r="B408" i="5"/>
  <c r="F395" i="5"/>
  <c r="J382" i="5"/>
  <c r="N369" i="5"/>
  <c r="R356" i="5"/>
  <c r="B344" i="5"/>
  <c r="F331" i="5"/>
  <c r="J318" i="5"/>
  <c r="N305" i="5"/>
  <c r="R292" i="5"/>
  <c r="B280" i="5"/>
  <c r="F267" i="5"/>
  <c r="J254" i="5"/>
  <c r="N241" i="5"/>
  <c r="R228" i="5"/>
  <c r="B216" i="5"/>
  <c r="F203" i="5"/>
  <c r="J190" i="5"/>
  <c r="N177" i="5"/>
  <c r="R164" i="5"/>
  <c r="B152" i="5"/>
  <c r="F139" i="5"/>
  <c r="J126" i="5"/>
  <c r="N113" i="5"/>
  <c r="R100" i="5"/>
  <c r="B88" i="5"/>
  <c r="F75" i="5"/>
  <c r="J62" i="5"/>
  <c r="N49" i="5"/>
  <c r="R36" i="5"/>
  <c r="B24" i="5"/>
  <c r="E11" i="5"/>
  <c r="AI403" i="3"/>
  <c r="B388" i="3"/>
  <c r="G372" i="3"/>
  <c r="H356" i="3"/>
  <c r="AF340" i="3"/>
  <c r="C325" i="3"/>
  <c r="G309" i="3"/>
  <c r="J293" i="3"/>
  <c r="AE277" i="3"/>
  <c r="AF261" i="3"/>
  <c r="AJ245" i="3"/>
  <c r="B230" i="3"/>
  <c r="D214" i="3"/>
  <c r="F198" i="3"/>
  <c r="AF182" i="3"/>
  <c r="AI166" i="3"/>
  <c r="C151" i="3"/>
  <c r="E135" i="3"/>
  <c r="G119" i="3"/>
  <c r="I103" i="3"/>
  <c r="AG87" i="3"/>
  <c r="AH71" i="3"/>
  <c r="B56" i="3"/>
  <c r="D40" i="3"/>
  <c r="I24" i="3"/>
  <c r="J15" i="3"/>
  <c r="J7" i="3"/>
  <c r="I349" i="25"/>
  <c r="C219" i="23"/>
  <c r="B112" i="22"/>
  <c r="G158" i="19"/>
  <c r="J380" i="17"/>
  <c r="J316" i="17"/>
  <c r="J252" i="17"/>
  <c r="J188" i="17"/>
  <c r="J124" i="17"/>
  <c r="J60" i="17"/>
  <c r="A98" i="15"/>
  <c r="B5" i="14"/>
  <c r="H155" i="12"/>
  <c r="F70" i="12"/>
  <c r="D224" i="11"/>
  <c r="A139" i="11"/>
  <c r="G53" i="11"/>
  <c r="G35" i="8"/>
  <c r="G3" i="8"/>
  <c r="A282" i="6"/>
  <c r="A250" i="6"/>
  <c r="A218" i="6"/>
  <c r="A186" i="6"/>
  <c r="A154" i="6"/>
  <c r="A122" i="6"/>
  <c r="A90" i="6"/>
  <c r="A58" i="6"/>
  <c r="A26" i="6"/>
  <c r="N411" i="5"/>
  <c r="R398" i="5"/>
  <c r="B386" i="5"/>
  <c r="F373" i="5"/>
  <c r="J360" i="5"/>
  <c r="N347" i="5"/>
  <c r="R334" i="5"/>
  <c r="B322" i="5"/>
  <c r="F309" i="5"/>
  <c r="J296" i="5"/>
  <c r="N283" i="5"/>
  <c r="R270" i="5"/>
  <c r="B258" i="5"/>
  <c r="F245" i="5"/>
  <c r="J232" i="5"/>
  <c r="N219" i="5"/>
  <c r="R206" i="5"/>
  <c r="B194" i="5"/>
  <c r="F181" i="5"/>
  <c r="J168" i="5"/>
  <c r="N155" i="5"/>
  <c r="R142" i="5"/>
  <c r="B130" i="5"/>
  <c r="F117" i="5"/>
  <c r="J104" i="5"/>
  <c r="N91" i="5"/>
  <c r="R78" i="5"/>
  <c r="B66" i="5"/>
  <c r="F53" i="5"/>
  <c r="J40" i="5"/>
  <c r="N27" i="5"/>
  <c r="Q14" i="5"/>
  <c r="E408" i="3"/>
  <c r="I392" i="3"/>
  <c r="AG376" i="3"/>
  <c r="AI360" i="3"/>
  <c r="D345" i="3"/>
  <c r="J329" i="3"/>
  <c r="AG313" i="3"/>
  <c r="A298" i="3"/>
  <c r="C282" i="3"/>
  <c r="D266" i="3"/>
  <c r="G250" i="3"/>
  <c r="J234" i="3"/>
  <c r="AF218" i="3"/>
  <c r="AG202" i="3"/>
  <c r="C187" i="3"/>
  <c r="G171" i="3"/>
  <c r="J155" i="3"/>
  <c r="AF139" i="3"/>
  <c r="AH123" i="3"/>
  <c r="A108" i="3"/>
  <c r="D92" i="3"/>
  <c r="F76" i="3"/>
  <c r="H60" i="3"/>
  <c r="AD44" i="3"/>
  <c r="AG28" i="3"/>
  <c r="AH17" i="3"/>
  <c r="AH9" i="3"/>
  <c r="A412" i="2"/>
  <c r="O409" i="2"/>
  <c r="C407" i="2"/>
  <c r="Q404" i="2"/>
  <c r="E402" i="2"/>
  <c r="S399" i="2"/>
  <c r="G397" i="2"/>
  <c r="U394" i="2"/>
  <c r="I392" i="2"/>
  <c r="W389" i="2"/>
  <c r="K387" i="2"/>
  <c r="Y384" i="2"/>
  <c r="M382" i="2"/>
  <c r="A380" i="2"/>
  <c r="O377" i="2"/>
  <c r="C375" i="2"/>
  <c r="Q372" i="2"/>
  <c r="E370" i="2"/>
  <c r="S367" i="2"/>
  <c r="G365" i="2"/>
  <c r="U362" i="2"/>
  <c r="I360" i="2"/>
  <c r="W357" i="2"/>
  <c r="K355" i="2"/>
  <c r="Y352" i="2"/>
  <c r="M350" i="2"/>
  <c r="A348" i="2"/>
  <c r="O345" i="2"/>
  <c r="C343" i="2"/>
  <c r="Q340" i="2"/>
  <c r="E338" i="2"/>
  <c r="S335" i="2"/>
  <c r="G333" i="2"/>
  <c r="U330" i="2"/>
  <c r="I328" i="2"/>
  <c r="W325" i="2"/>
  <c r="K323" i="2"/>
  <c r="Y320" i="2"/>
  <c r="M318" i="2"/>
  <c r="A316" i="2"/>
  <c r="O313" i="2"/>
  <c r="C311" i="2"/>
  <c r="Q308" i="2"/>
  <c r="E306" i="2"/>
  <c r="S303" i="2"/>
  <c r="G301" i="2"/>
  <c r="U298" i="2"/>
  <c r="I296" i="2"/>
  <c r="W293" i="2"/>
  <c r="K291" i="2"/>
  <c r="Y288" i="2"/>
  <c r="M286" i="2"/>
  <c r="A284" i="2"/>
  <c r="O281" i="2"/>
  <c r="C279" i="2"/>
  <c r="Q276" i="2"/>
  <c r="E274" i="2"/>
  <c r="S271" i="2"/>
  <c r="G269" i="2"/>
  <c r="U266" i="2"/>
  <c r="I264" i="2"/>
  <c r="W261" i="2"/>
  <c r="K259" i="2"/>
  <c r="Y256" i="2"/>
  <c r="M254" i="2"/>
  <c r="A252" i="2"/>
  <c r="O249" i="2"/>
  <c r="C247" i="2"/>
  <c r="Q244" i="2"/>
  <c r="E242" i="2"/>
  <c r="S239" i="2"/>
  <c r="G237" i="2"/>
  <c r="U234" i="2"/>
  <c r="I232" i="2"/>
  <c r="W229" i="2"/>
  <c r="K227" i="2"/>
  <c r="Y224" i="2"/>
  <c r="M222" i="2"/>
  <c r="A220" i="2"/>
  <c r="O217" i="2"/>
  <c r="C215" i="2"/>
  <c r="Q212" i="2"/>
  <c r="E210" i="2"/>
  <c r="S207" i="2"/>
  <c r="G205" i="2"/>
  <c r="U202" i="2"/>
  <c r="I200" i="2"/>
  <c r="W197" i="2"/>
  <c r="K195" i="2"/>
  <c r="Y192" i="2"/>
  <c r="M190" i="2"/>
  <c r="A188" i="2"/>
  <c r="O185" i="2"/>
  <c r="C183" i="2"/>
  <c r="Q180" i="2"/>
  <c r="E178" i="2"/>
  <c r="S175" i="2"/>
  <c r="G173" i="2"/>
  <c r="U170" i="2"/>
  <c r="I168" i="2"/>
  <c r="W165" i="2"/>
  <c r="K163" i="2"/>
  <c r="Y160" i="2"/>
  <c r="M158" i="2"/>
  <c r="A156" i="2"/>
  <c r="O153" i="2"/>
  <c r="C151" i="2"/>
  <c r="Q148" i="2"/>
  <c r="E146" i="2"/>
  <c r="S143" i="2"/>
  <c r="G141" i="2"/>
  <c r="U138" i="2"/>
  <c r="I136" i="2"/>
  <c r="W133" i="2"/>
  <c r="K131" i="2"/>
  <c r="Y128" i="2"/>
  <c r="M126" i="2"/>
  <c r="A124" i="2"/>
  <c r="O121" i="2"/>
  <c r="C119" i="2"/>
  <c r="Q116" i="2"/>
  <c r="E114" i="2"/>
  <c r="S111" i="2"/>
  <c r="G109" i="2"/>
  <c r="U106" i="2"/>
  <c r="I104" i="2"/>
  <c r="W101" i="2"/>
  <c r="K99" i="2"/>
  <c r="Y96" i="2"/>
  <c r="M94" i="2"/>
  <c r="A92" i="2"/>
  <c r="O89" i="2"/>
  <c r="C87" i="2"/>
  <c r="Q84" i="2"/>
  <c r="E82" i="2"/>
  <c r="S79" i="2"/>
  <c r="G77" i="2"/>
  <c r="U74" i="2"/>
  <c r="I72" i="2"/>
  <c r="W69" i="2"/>
  <c r="K67" i="2"/>
  <c r="Y64" i="2"/>
  <c r="M62" i="2"/>
  <c r="A60" i="2"/>
  <c r="O57" i="2"/>
  <c r="C55" i="2"/>
  <c r="Q52" i="2"/>
  <c r="E50" i="2"/>
  <c r="S47" i="2"/>
  <c r="G45" i="2"/>
  <c r="U42" i="2"/>
  <c r="I40" i="2"/>
  <c r="W37" i="2"/>
  <c r="K35" i="2"/>
  <c r="Y32" i="2"/>
  <c r="M30" i="2"/>
  <c r="A28" i="2"/>
  <c r="O25" i="2"/>
  <c r="C23" i="2"/>
  <c r="Q20" i="2"/>
  <c r="E18" i="2"/>
  <c r="S15" i="2"/>
  <c r="G13" i="2"/>
  <c r="T10" i="2"/>
  <c r="H8" i="2"/>
  <c r="F876" i="25"/>
  <c r="A229" i="25"/>
  <c r="F128" i="23"/>
  <c r="D23" i="22"/>
  <c r="G60" i="19"/>
  <c r="J355" i="17"/>
  <c r="J291" i="17"/>
  <c r="J227" i="17"/>
  <c r="J163" i="17"/>
  <c r="J99" i="17"/>
  <c r="J35" i="17"/>
  <c r="A48" i="15"/>
  <c r="H207" i="12"/>
  <c r="G8" i="19"/>
  <c r="H227" i="17"/>
  <c r="L56" i="17"/>
  <c r="A218" i="12"/>
  <c r="E52" i="12"/>
  <c r="F166" i="11"/>
  <c r="F38" i="11"/>
  <c r="G221" i="25"/>
  <c r="C21" i="22"/>
  <c r="C353" i="17"/>
  <c r="C225" i="17"/>
  <c r="C97" i="17"/>
  <c r="H46" i="15"/>
  <c r="G121" i="12"/>
  <c r="H192" i="11"/>
  <c r="C22" i="11"/>
  <c r="B103" i="24"/>
  <c r="F193" i="19"/>
  <c r="G321" i="17"/>
  <c r="G193" i="17"/>
  <c r="G65" i="17"/>
  <c r="D78" i="15"/>
  <c r="D6" i="15"/>
  <c r="D223" i="12"/>
  <c r="G180" i="12"/>
  <c r="B138" i="12"/>
  <c r="D95" i="12"/>
  <c r="G52" i="12"/>
  <c r="B10" i="12"/>
  <c r="H209" i="11"/>
  <c r="C167" i="11"/>
  <c r="E124" i="11"/>
  <c r="H81" i="11"/>
  <c r="C39" i="11"/>
  <c r="D13" i="26"/>
  <c r="A245" i="25"/>
  <c r="A146" i="23"/>
  <c r="B44" i="22"/>
  <c r="G83" i="19"/>
  <c r="F357" i="17"/>
  <c r="F293" i="17"/>
  <c r="F229" i="17"/>
  <c r="F165" i="17"/>
  <c r="F101" i="17"/>
  <c r="F37" i="17"/>
  <c r="E54" i="15"/>
  <c r="C212" i="12"/>
  <c r="H126" i="12"/>
  <c r="F41" i="12"/>
  <c r="A198" i="11"/>
  <c r="G112" i="11"/>
  <c r="D27" i="11"/>
  <c r="D29" i="8"/>
  <c r="A16" i="7"/>
  <c r="B277" i="6"/>
  <c r="B245" i="6"/>
  <c r="B213" i="6"/>
  <c r="B181" i="6"/>
  <c r="B149" i="6"/>
  <c r="B117" i="6"/>
  <c r="B85" i="6"/>
  <c r="B53" i="6"/>
  <c r="B21" i="6"/>
  <c r="G409" i="5"/>
  <c r="K396" i="5"/>
  <c r="O383" i="5"/>
  <c r="S370" i="5"/>
  <c r="C358" i="5"/>
  <c r="G345" i="5"/>
  <c r="K332" i="5"/>
  <c r="O319" i="5"/>
  <c r="S306" i="5"/>
  <c r="C294" i="5"/>
  <c r="G281" i="5"/>
  <c r="K268" i="5"/>
  <c r="O255" i="5"/>
  <c r="S242" i="5"/>
  <c r="C230" i="5"/>
  <c r="G217" i="5"/>
  <c r="K204" i="5"/>
  <c r="O191" i="5"/>
  <c r="S178" i="5"/>
  <c r="C166" i="5"/>
  <c r="G153" i="5"/>
  <c r="K140" i="5"/>
  <c r="O127" i="5"/>
  <c r="S114" i="5"/>
  <c r="C102" i="5"/>
  <c r="G89" i="5"/>
  <c r="K76" i="5"/>
  <c r="O63" i="5"/>
  <c r="S50" i="5"/>
  <c r="C38" i="5"/>
  <c r="G25" i="5"/>
  <c r="J12" i="5"/>
  <c r="F405" i="3"/>
  <c r="I389" i="3"/>
  <c r="AG373" i="3"/>
  <c r="AH357" i="3"/>
  <c r="C342" i="3"/>
  <c r="J326" i="3"/>
  <c r="AG310" i="3"/>
  <c r="AJ294" i="3"/>
  <c r="B279" i="3"/>
  <c r="C263" i="3"/>
  <c r="G247" i="3"/>
  <c r="I231" i="3"/>
  <c r="AE215" i="3"/>
  <c r="AF199" i="3"/>
  <c r="C184" i="3"/>
  <c r="F168" i="3"/>
  <c r="J152" i="3"/>
  <c r="AF136" i="3"/>
  <c r="AG120" i="3"/>
  <c r="AJ104" i="3"/>
  <c r="C89" i="3"/>
  <c r="E73" i="3"/>
  <c r="I57" i="3"/>
  <c r="J41" i="3"/>
  <c r="AF25" i="3"/>
  <c r="H326" i="25"/>
  <c r="A202" i="23"/>
  <c r="B100" i="22"/>
  <c r="G125" i="19"/>
  <c r="N368" i="17"/>
  <c r="N304" i="17"/>
  <c r="N240" i="17"/>
  <c r="N176" i="17"/>
  <c r="N112" i="17"/>
  <c r="N48" i="17"/>
  <c r="E77" i="15"/>
  <c r="H228" i="12"/>
  <c r="F143" i="12"/>
  <c r="C58" i="12"/>
  <c r="G214" i="11"/>
  <c r="D129" i="11"/>
  <c r="A44" i="11"/>
  <c r="F16" i="35"/>
  <c r="E386" i="25"/>
  <c r="A44" i="22"/>
  <c r="B321" i="25"/>
  <c r="B888" i="25"/>
  <c r="C134" i="23"/>
  <c r="E73" i="19"/>
  <c r="E199" i="23"/>
  <c r="D177" i="19"/>
  <c r="E12" i="26"/>
  <c r="D242" i="25"/>
  <c r="C141" i="23"/>
  <c r="G36" i="22"/>
  <c r="C78" i="19"/>
  <c r="A356" i="17"/>
  <c r="A292" i="17"/>
  <c r="A228" i="17"/>
  <c r="A164" i="17"/>
  <c r="A100" i="17"/>
  <c r="A36" i="17"/>
  <c r="G49" i="15"/>
  <c r="E785" i="25"/>
  <c r="E183" i="25"/>
  <c r="G95" i="23"/>
  <c r="H10" i="21"/>
  <c r="A51" i="19"/>
  <c r="H336" i="17"/>
  <c r="D251" i="17"/>
  <c r="L165" i="17"/>
  <c r="H80" i="17"/>
  <c r="F105" i="15"/>
  <c r="G7" i="14"/>
  <c r="A134" i="12"/>
  <c r="A70" i="12"/>
  <c r="A6" i="12"/>
  <c r="B184" i="11"/>
  <c r="B120" i="11"/>
  <c r="B56" i="11"/>
  <c r="D7" i="9"/>
  <c r="B346" i="25"/>
  <c r="E216" i="23"/>
  <c r="H111" i="22"/>
  <c r="F136" i="19"/>
  <c r="K370" i="17"/>
  <c r="K306" i="17"/>
  <c r="K242" i="17"/>
  <c r="K178" i="17"/>
  <c r="K114" i="17"/>
  <c r="K50" i="17"/>
  <c r="H81" i="15"/>
  <c r="D230" i="12"/>
  <c r="B145" i="12"/>
  <c r="G59" i="12"/>
  <c r="C216" i="11"/>
  <c r="H130" i="11"/>
  <c r="E45" i="11"/>
  <c r="B652" i="25"/>
  <c r="H116" i="25"/>
  <c r="B47" i="23"/>
  <c r="F263" i="19"/>
  <c r="F26" i="19"/>
  <c r="O338" i="17"/>
  <c r="O274" i="17"/>
  <c r="O210" i="17"/>
  <c r="O146" i="17"/>
  <c r="O82" i="17"/>
  <c r="O18" i="17"/>
  <c r="D17" i="15"/>
  <c r="B188" i="12"/>
  <c r="G102" i="12"/>
  <c r="D17" i="12"/>
  <c r="E174" i="11"/>
  <c r="C89" i="11"/>
  <c r="H3" i="11"/>
  <c r="F204" i="23"/>
  <c r="G127" i="19"/>
  <c r="F304" i="17"/>
  <c r="F176" i="17"/>
  <c r="F48" i="17"/>
  <c r="H226" i="12"/>
  <c r="C56" i="12"/>
  <c r="D127" i="11"/>
  <c r="H34" i="8"/>
  <c r="F282" i="6"/>
  <c r="F218" i="6"/>
  <c r="F154" i="6"/>
  <c r="F90" i="6"/>
  <c r="F26" i="6"/>
  <c r="O398" i="5"/>
  <c r="C373" i="5"/>
  <c r="K347" i="5"/>
  <c r="S321" i="5"/>
  <c r="G296" i="5"/>
  <c r="O270" i="5"/>
  <c r="C245" i="5"/>
  <c r="K219" i="5"/>
  <c r="S193" i="5"/>
  <c r="G168" i="5"/>
  <c r="O142" i="5"/>
  <c r="C117" i="5"/>
  <c r="K91" i="5"/>
  <c r="S65" i="5"/>
  <c r="G40" i="5"/>
  <c r="N14" i="5"/>
  <c r="D392" i="3"/>
  <c r="J360" i="3"/>
  <c r="E329" i="3"/>
  <c r="AF297" i="3"/>
  <c r="AI265" i="3"/>
  <c r="E234" i="3"/>
  <c r="H202" i="3"/>
  <c r="B171" i="3"/>
  <c r="H139" i="3"/>
  <c r="AF107" i="3"/>
  <c r="A76" i="3"/>
  <c r="F44" i="3"/>
  <c r="D413" i="25"/>
  <c r="G158" i="22"/>
  <c r="N379" i="17"/>
  <c r="N251" i="17"/>
  <c r="N123" i="17"/>
  <c r="E99" i="15"/>
  <c r="C158" i="12"/>
  <c r="D229" i="11"/>
  <c r="G58" i="11"/>
  <c r="F18" i="8"/>
  <c r="D288" i="6"/>
  <c r="D245" i="6"/>
  <c r="H202" i="6"/>
  <c r="D160" i="6"/>
  <c r="H122" i="6"/>
  <c r="H90" i="6"/>
  <c r="H58" i="6"/>
  <c r="H26" i="6"/>
  <c r="I411" i="5"/>
  <c r="M398" i="5"/>
  <c r="Q385" i="5"/>
  <c r="A373" i="5"/>
  <c r="E360" i="5"/>
  <c r="I347" i="5"/>
  <c r="M334" i="5"/>
  <c r="Q321" i="5"/>
  <c r="A309" i="5"/>
  <c r="E296" i="5"/>
  <c r="I283" i="5"/>
  <c r="M270" i="5"/>
  <c r="Q257" i="5"/>
  <c r="A245" i="5"/>
  <c r="E232" i="5"/>
  <c r="I219" i="5"/>
  <c r="M206" i="5"/>
  <c r="Q193" i="5"/>
  <c r="A181" i="5"/>
  <c r="E168" i="5"/>
  <c r="I155" i="5"/>
  <c r="M142" i="5"/>
  <c r="Q129" i="5"/>
  <c r="A117" i="5"/>
  <c r="E104" i="5"/>
  <c r="I91" i="5"/>
  <c r="M78" i="5"/>
  <c r="Q65" i="5"/>
  <c r="A53" i="5"/>
  <c r="E40" i="5"/>
  <c r="I27" i="5"/>
  <c r="L14" i="5"/>
  <c r="AH407" i="3"/>
  <c r="B392" i="3"/>
  <c r="F376" i="3"/>
  <c r="H360" i="3"/>
  <c r="AG344" i="3"/>
  <c r="C329" i="3"/>
  <c r="G313" i="3"/>
  <c r="J297" i="3"/>
  <c r="AF281" i="3"/>
  <c r="AG265" i="3"/>
  <c r="AJ249" i="3"/>
  <c r="C234" i="3"/>
  <c r="E218" i="3"/>
  <c r="F202" i="3"/>
  <c r="AF186" i="3"/>
  <c r="AJ170" i="3"/>
  <c r="C155" i="3"/>
  <c r="F139" i="3"/>
  <c r="G123" i="3"/>
  <c r="J107" i="3"/>
  <c r="AG91" i="3"/>
  <c r="AI75" i="3"/>
  <c r="A60" i="3"/>
  <c r="D44" i="3"/>
  <c r="F28" i="3"/>
  <c r="G303" i="25"/>
  <c r="B88" i="22"/>
  <c r="B366" i="17"/>
  <c r="B238" i="17"/>
  <c r="B110" i="17"/>
  <c r="A71" i="15"/>
  <c r="F140" i="12"/>
  <c r="G211" i="11"/>
  <c r="A41" i="11"/>
  <c r="A2" i="8"/>
  <c r="C250" i="6"/>
  <c r="C186" i="6"/>
  <c r="C122" i="6"/>
  <c r="C58" i="6"/>
  <c r="H411" i="5"/>
  <c r="P385" i="5"/>
  <c r="D360" i="5"/>
  <c r="L334" i="5"/>
  <c r="T308" i="5"/>
  <c r="H283" i="5"/>
  <c r="P257" i="5"/>
  <c r="D232" i="5"/>
  <c r="L206" i="5"/>
  <c r="T180" i="5"/>
  <c r="H155" i="5"/>
  <c r="P129" i="5"/>
  <c r="D104" i="5"/>
  <c r="L78" i="5"/>
  <c r="T52" i="5"/>
  <c r="H27" i="5"/>
  <c r="AE407" i="3"/>
  <c r="C376" i="3"/>
  <c r="J344" i="3"/>
  <c r="D313" i="3"/>
  <c r="I281" i="3"/>
  <c r="AG249" i="3"/>
  <c r="B218" i="3"/>
  <c r="I186" i="3"/>
  <c r="AJ154" i="3"/>
  <c r="D123" i="3"/>
  <c r="J91" i="3"/>
  <c r="AH59" i="3"/>
  <c r="C28" i="3"/>
  <c r="I9" i="3"/>
  <c r="D109" i="24"/>
  <c r="G192" i="19"/>
  <c r="B319" i="17"/>
  <c r="B191" i="17"/>
  <c r="B63" i="17"/>
  <c r="B4" i="14"/>
  <c r="C75" i="12"/>
  <c r="D146" i="11"/>
  <c r="F2" i="9"/>
  <c r="G289" i="6"/>
  <c r="G225" i="6"/>
  <c r="G161" i="6"/>
  <c r="G97" i="6"/>
  <c r="G33" i="6"/>
  <c r="L401" i="5"/>
  <c r="T375" i="5"/>
  <c r="H350" i="5"/>
  <c r="P324" i="5"/>
  <c r="D299" i="5"/>
  <c r="L273" i="5"/>
  <c r="T247" i="5"/>
  <c r="H222" i="5"/>
  <c r="I29" i="45"/>
  <c r="F447" i="25"/>
  <c r="E69" i="22"/>
  <c r="H343" i="25"/>
  <c r="B18" i="27"/>
  <c r="C168" i="23"/>
  <c r="A99" i="19"/>
  <c r="F11" i="24"/>
  <c r="D186" i="19"/>
  <c r="C46" i="26"/>
  <c r="E265" i="25"/>
  <c r="F158" i="23"/>
  <c r="B54" i="22"/>
  <c r="C91" i="19"/>
  <c r="E359" i="17"/>
  <c r="E295" i="17"/>
  <c r="E231" i="17"/>
  <c r="E167" i="17"/>
  <c r="E103" i="17"/>
  <c r="E39" i="17"/>
  <c r="C56" i="15"/>
  <c r="G831" i="25"/>
  <c r="F206" i="25"/>
  <c r="B113" i="23"/>
  <c r="G13" i="22"/>
  <c r="F59" i="19"/>
  <c r="L340" i="17"/>
  <c r="H255" i="17"/>
  <c r="D170" i="17"/>
  <c r="L84" i="17"/>
  <c r="B112" i="15"/>
  <c r="C14" i="14"/>
  <c r="E137" i="12"/>
  <c r="E73" i="12"/>
  <c r="E9" i="12"/>
  <c r="F187" i="11"/>
  <c r="F123" i="11"/>
  <c r="F59" i="11"/>
  <c r="H10" i="9"/>
  <c r="A371" i="25"/>
  <c r="B17" i="24"/>
  <c r="F130" i="22"/>
  <c r="F150" i="19"/>
  <c r="C374" i="17"/>
  <c r="C310" i="17"/>
  <c r="C246" i="17"/>
  <c r="C182" i="17"/>
  <c r="C118" i="17"/>
  <c r="C54" i="17"/>
  <c r="H88" i="15"/>
  <c r="B5" i="13"/>
  <c r="G149" i="12"/>
  <c r="D64" i="12"/>
  <c r="H220" i="11"/>
  <c r="E135" i="11"/>
  <c r="C50" i="11"/>
  <c r="I701" i="25"/>
  <c r="G141" i="25"/>
  <c r="G65" i="23"/>
  <c r="F277" i="19"/>
  <c r="A36" i="19"/>
  <c r="G342" i="17"/>
  <c r="G278" i="17"/>
  <c r="G214" i="17"/>
  <c r="G150" i="17"/>
  <c r="G86" i="17"/>
  <c r="G22" i="17"/>
  <c r="D24" i="15"/>
  <c r="G192" i="12"/>
  <c r="D107" i="12"/>
  <c r="B22" i="12"/>
  <c r="C179" i="11"/>
  <c r="H93" i="11"/>
  <c r="E8" i="11"/>
  <c r="D19" i="24"/>
  <c r="G155" i="19"/>
  <c r="F311" i="17"/>
  <c r="F183" i="17"/>
  <c r="F55" i="17"/>
  <c r="G7" i="13"/>
  <c r="F65" i="12"/>
  <c r="G136" i="11"/>
  <c r="D38" i="8"/>
  <c r="B286" i="6"/>
  <c r="B222" i="6"/>
  <c r="B158" i="6"/>
  <c r="B94" i="6"/>
  <c r="B30" i="6"/>
  <c r="S412" i="5"/>
  <c r="C400" i="5"/>
  <c r="G387" i="5"/>
  <c r="K374" i="5"/>
  <c r="O361" i="5"/>
  <c r="S348" i="5"/>
  <c r="C336" i="5"/>
  <c r="G323" i="5"/>
  <c r="K310" i="5"/>
  <c r="O297" i="5"/>
  <c r="S284" i="5"/>
  <c r="C272" i="5"/>
  <c r="G259" i="5"/>
  <c r="K246" i="5"/>
  <c r="O233" i="5"/>
  <c r="S220" i="5"/>
  <c r="C208" i="5"/>
  <c r="G195" i="5"/>
  <c r="K182" i="5"/>
  <c r="O169" i="5"/>
  <c r="S156" i="5"/>
  <c r="C144" i="5"/>
  <c r="G131" i="5"/>
  <c r="K118" i="5"/>
  <c r="O105" i="5"/>
  <c r="S92" i="5"/>
  <c r="C80" i="5"/>
  <c r="G67" i="5"/>
  <c r="K54" i="5"/>
  <c r="O41" i="5"/>
  <c r="S28" i="5"/>
  <c r="C16" i="5"/>
  <c r="AE409" i="3"/>
  <c r="AI393" i="3"/>
  <c r="C378" i="3"/>
  <c r="F362" i="3"/>
  <c r="AE346" i="3"/>
  <c r="AJ330" i="3"/>
  <c r="D315" i="3"/>
  <c r="H299" i="3"/>
  <c r="J283" i="3"/>
  <c r="J267" i="3"/>
  <c r="AH251" i="3"/>
  <c r="A236" i="3"/>
  <c r="B220" i="3"/>
  <c r="D204" i="3"/>
  <c r="J188" i="3"/>
  <c r="AH172" i="3"/>
  <c r="A157" i="3"/>
  <c r="C141" i="3"/>
  <c r="E125" i="3"/>
  <c r="H109" i="3"/>
  <c r="AE93" i="3"/>
  <c r="AG77" i="3"/>
  <c r="AH61" i="3"/>
  <c r="A46" i="3"/>
  <c r="C30" i="3"/>
  <c r="G479" i="25"/>
  <c r="D111" i="24"/>
  <c r="B196" i="22"/>
  <c r="G261" i="19"/>
  <c r="G133" i="19"/>
  <c r="E25" i="19"/>
  <c r="N370" i="17"/>
  <c r="N338" i="17"/>
  <c r="N306" i="17"/>
  <c r="N274" i="17"/>
  <c r="N242" i="17"/>
  <c r="N210" i="17"/>
  <c r="N178" i="17"/>
  <c r="N146" i="17"/>
  <c r="N114" i="17"/>
  <c r="N82" i="17"/>
  <c r="N50" i="17"/>
  <c r="N18" i="17"/>
  <c r="E81" i="15"/>
  <c r="E17" i="15"/>
  <c r="F231" i="12"/>
  <c r="H188" i="12"/>
  <c r="C146" i="12"/>
  <c r="F103" i="12"/>
  <c r="H60" i="12"/>
  <c r="C18" i="12"/>
  <c r="D217" i="11"/>
  <c r="G174" i="11"/>
  <c r="A132" i="11"/>
  <c r="D89" i="11"/>
  <c r="G46" i="11"/>
  <c r="A4" i="11"/>
  <c r="F36" i="8"/>
  <c r="B26" i="8"/>
  <c r="B15" i="8"/>
  <c r="F4" i="8"/>
  <c r="C13" i="7"/>
  <c r="C2" i="7"/>
  <c r="H284" i="6"/>
  <c r="D274" i="6"/>
  <c r="D263" i="6"/>
  <c r="H252" i="6"/>
  <c r="D242" i="6"/>
  <c r="D231" i="6"/>
  <c r="H220" i="6"/>
  <c r="D210" i="6"/>
  <c r="D199" i="6"/>
  <c r="H188" i="6"/>
  <c r="D178" i="6"/>
  <c r="D167" i="6"/>
  <c r="H156" i="6"/>
  <c r="D146" i="6"/>
  <c r="D136" i="6"/>
  <c r="D128" i="6"/>
  <c r="D120" i="6"/>
  <c r="D112" i="6"/>
  <c r="D104" i="6"/>
  <c r="D96" i="6"/>
  <c r="D88" i="6"/>
  <c r="D80" i="6"/>
  <c r="D72" i="6"/>
  <c r="D64" i="6"/>
  <c r="D56" i="6"/>
  <c r="D48" i="6"/>
  <c r="D40" i="6"/>
  <c r="D32" i="6"/>
  <c r="D24" i="6"/>
  <c r="D16" i="6"/>
  <c r="D8" i="6"/>
  <c r="M413" i="5"/>
  <c r="I410" i="5"/>
  <c r="E407" i="5"/>
  <c r="A404" i="5"/>
  <c r="Q400" i="5"/>
  <c r="M397" i="5"/>
  <c r="I394" i="5"/>
  <c r="E391" i="5"/>
  <c r="A388" i="5"/>
  <c r="Q384" i="5"/>
  <c r="M381" i="5"/>
  <c r="I378" i="5"/>
  <c r="E375" i="5"/>
  <c r="A372" i="5"/>
  <c r="Q368" i="5"/>
  <c r="M365" i="5"/>
  <c r="I362" i="5"/>
  <c r="E359" i="5"/>
  <c r="A356" i="5"/>
  <c r="Q352" i="5"/>
  <c r="M349" i="5"/>
  <c r="I346" i="5"/>
  <c r="E343" i="5"/>
  <c r="A340" i="5"/>
  <c r="Q336" i="5"/>
  <c r="M333" i="5"/>
  <c r="I330" i="5"/>
  <c r="E327" i="5"/>
  <c r="A324" i="5"/>
  <c r="Q320" i="5"/>
  <c r="M317" i="5"/>
  <c r="I314" i="5"/>
  <c r="E311" i="5"/>
  <c r="A308" i="5"/>
  <c r="Q304" i="5"/>
  <c r="M301" i="5"/>
  <c r="I298" i="5"/>
  <c r="E295" i="5"/>
  <c r="A292" i="5"/>
  <c r="Q288" i="5"/>
  <c r="M285" i="5"/>
  <c r="I282" i="5"/>
  <c r="E279" i="5"/>
  <c r="A276" i="5"/>
  <c r="Q272" i="5"/>
  <c r="M269" i="5"/>
  <c r="I266" i="5"/>
  <c r="E263" i="5"/>
  <c r="A260" i="5"/>
  <c r="Q256" i="5"/>
  <c r="M253" i="5"/>
  <c r="I250" i="5"/>
  <c r="E247" i="5"/>
  <c r="A244" i="5"/>
  <c r="Q240" i="5"/>
  <c r="M237" i="5"/>
  <c r="I234" i="5"/>
  <c r="E231" i="5"/>
  <c r="A228" i="5"/>
  <c r="Q224" i="5"/>
  <c r="M221" i="5"/>
  <c r="I218" i="5"/>
  <c r="E215" i="5"/>
  <c r="A212" i="5"/>
  <c r="Q208" i="5"/>
  <c r="M205" i="5"/>
  <c r="I202" i="5"/>
  <c r="E199" i="5"/>
  <c r="A196" i="5"/>
  <c r="Q192" i="5"/>
  <c r="M189" i="5"/>
  <c r="I186" i="5"/>
  <c r="E183" i="5"/>
  <c r="A180" i="5"/>
  <c r="Q176" i="5"/>
  <c r="M173" i="5"/>
  <c r="I170" i="5"/>
  <c r="E167" i="5"/>
  <c r="A164" i="5"/>
  <c r="Q160" i="5"/>
  <c r="M157" i="5"/>
  <c r="I154" i="5"/>
  <c r="E151" i="5"/>
  <c r="A148" i="5"/>
  <c r="Q144" i="5"/>
  <c r="M141" i="5"/>
  <c r="I138" i="5"/>
  <c r="E135" i="5"/>
  <c r="A132" i="5"/>
  <c r="Q128" i="5"/>
  <c r="M125" i="5"/>
  <c r="I122" i="5"/>
  <c r="E119" i="5"/>
  <c r="A116" i="5"/>
  <c r="Q112" i="5"/>
  <c r="M109" i="5"/>
  <c r="I106" i="5"/>
  <c r="E103" i="5"/>
  <c r="A100" i="5"/>
  <c r="Q96" i="5"/>
  <c r="M93" i="5"/>
  <c r="I90" i="5"/>
  <c r="E87" i="5"/>
  <c r="A84" i="5"/>
  <c r="Q80" i="5"/>
  <c r="M77" i="5"/>
  <c r="I74" i="5"/>
  <c r="E71" i="5"/>
  <c r="A68" i="5"/>
  <c r="Q64" i="5"/>
  <c r="M61" i="5"/>
  <c r="I58" i="5"/>
  <c r="E55" i="5"/>
  <c r="A52" i="5"/>
  <c r="Q48" i="5"/>
  <c r="M45" i="5"/>
  <c r="I42" i="5"/>
  <c r="E39" i="5"/>
  <c r="A36" i="5"/>
  <c r="Q32" i="5"/>
  <c r="M29" i="5"/>
  <c r="I26" i="5"/>
  <c r="E23" i="5"/>
  <c r="A20" i="5"/>
  <c r="Q16" i="5"/>
  <c r="L13" i="5"/>
  <c r="H10" i="5"/>
  <c r="D7" i="5"/>
  <c r="I410" i="3"/>
  <c r="AE406" i="3"/>
  <c r="AF402" i="3"/>
  <c r="AG398" i="3"/>
  <c r="AG394" i="3"/>
  <c r="AH390" i="3"/>
  <c r="AI386" i="3"/>
  <c r="AI382" i="3"/>
  <c r="A379" i="3"/>
  <c r="B375" i="3"/>
  <c r="D371" i="3"/>
  <c r="D367" i="3"/>
  <c r="D363" i="3"/>
  <c r="D359" i="3"/>
  <c r="E355" i="3"/>
  <c r="F351" i="3"/>
  <c r="I347" i="3"/>
  <c r="I343" i="3"/>
  <c r="AD339" i="3"/>
  <c r="AF335" i="3"/>
  <c r="AH331" i="3"/>
  <c r="AI327" i="3"/>
  <c r="A324" i="3"/>
  <c r="B320" i="3"/>
  <c r="B316" i="3"/>
  <c r="C312" i="3"/>
  <c r="E308" i="3"/>
  <c r="E304" i="3"/>
  <c r="F300" i="3"/>
  <c r="F296" i="3"/>
  <c r="G292" i="3"/>
  <c r="G288" i="3"/>
  <c r="H284" i="3"/>
  <c r="H280" i="3"/>
  <c r="H276" i="3"/>
  <c r="H272" i="3"/>
  <c r="H268" i="3"/>
  <c r="I264" i="3"/>
  <c r="J260" i="3"/>
  <c r="J256" i="3"/>
  <c r="AF252" i="3"/>
  <c r="AG248" i="3"/>
  <c r="AH244" i="3"/>
  <c r="AH240" i="3"/>
  <c r="AI236" i="3"/>
  <c r="AI232" i="3"/>
  <c r="AI228" i="3"/>
  <c r="AJ224" i="3"/>
  <c r="AJ220" i="3"/>
  <c r="A217" i="3"/>
  <c r="A213" i="3"/>
  <c r="B209" i="3"/>
  <c r="B205" i="3"/>
  <c r="B201" i="3"/>
  <c r="C197" i="3"/>
  <c r="F193" i="3"/>
  <c r="G189" i="3"/>
  <c r="I185" i="3"/>
  <c r="I181" i="3"/>
  <c r="AE177" i="3"/>
  <c r="AF173" i="3"/>
  <c r="AF169" i="3"/>
  <c r="AG165" i="3"/>
  <c r="AG161" i="3"/>
  <c r="AH157" i="3"/>
  <c r="AJ153" i="3"/>
  <c r="AJ149" i="3"/>
  <c r="A146" i="3"/>
  <c r="A142" i="3"/>
  <c r="B138" i="3"/>
  <c r="B134" i="3"/>
  <c r="B130" i="3"/>
  <c r="C126" i="3"/>
  <c r="C122" i="3"/>
  <c r="D118" i="3"/>
  <c r="E114" i="3"/>
  <c r="F110" i="3"/>
  <c r="F106" i="3"/>
  <c r="F102" i="3"/>
  <c r="F98" i="3"/>
  <c r="I94" i="3"/>
  <c r="I90" i="3"/>
  <c r="J86" i="3"/>
  <c r="J82" i="3"/>
  <c r="AE78" i="3"/>
  <c r="AE74" i="3"/>
  <c r="AE70" i="3"/>
  <c r="AF66" i="3"/>
  <c r="AF62" i="3"/>
  <c r="AG58" i="3"/>
  <c r="AI54" i="3"/>
  <c r="AI50" i="3"/>
  <c r="AI46" i="3"/>
  <c r="AJ42" i="3"/>
  <c r="A39" i="3"/>
  <c r="A35" i="3"/>
  <c r="A31" i="3"/>
  <c r="B27" i="3"/>
  <c r="B23" i="3"/>
  <c r="G883" i="25"/>
  <c r="H486" i="25"/>
  <c r="F232" i="25"/>
  <c r="A5" i="25"/>
  <c r="C131" i="23"/>
  <c r="D205" i="22"/>
  <c r="G34" i="22"/>
  <c r="G204" i="19"/>
  <c r="G76" i="19"/>
  <c r="G15" i="18"/>
  <c r="B356" i="17"/>
  <c r="B324" i="17"/>
  <c r="B292" i="17"/>
  <c r="B260" i="17"/>
  <c r="B228" i="17"/>
  <c r="B196" i="17"/>
  <c r="B164" i="17"/>
  <c r="B132" i="17"/>
  <c r="B100" i="17"/>
  <c r="B68" i="17"/>
  <c r="B36" i="17"/>
  <c r="A115" i="15"/>
  <c r="A51" i="15"/>
  <c r="B18" i="14"/>
  <c r="F212" i="12"/>
  <c r="H169" i="12"/>
  <c r="C127" i="12"/>
  <c r="F84" i="12"/>
  <c r="H41" i="12"/>
  <c r="A241" i="11"/>
  <c r="D198" i="11"/>
  <c r="G155" i="11"/>
  <c r="A113" i="11"/>
  <c r="D70" i="11"/>
  <c r="G27" i="11"/>
  <c r="C7" i="9"/>
  <c r="A29" i="8"/>
  <c r="A13" i="8"/>
  <c r="B16" i="7"/>
  <c r="C293" i="6"/>
  <c r="C277" i="6"/>
  <c r="C261" i="6"/>
  <c r="C245" i="6"/>
  <c r="C229" i="6"/>
  <c r="C213" i="6"/>
  <c r="C197" i="6"/>
  <c r="C181" i="6"/>
  <c r="C165" i="6"/>
  <c r="C149" i="6"/>
  <c r="C133" i="6"/>
  <c r="C117" i="6"/>
  <c r="C101" i="6"/>
  <c r="C85" i="6"/>
  <c r="C69" i="6"/>
  <c r="C53" i="6"/>
  <c r="C37" i="6"/>
  <c r="C21" i="6"/>
  <c r="C5" i="6"/>
  <c r="H409" i="5"/>
  <c r="T402" i="5"/>
  <c r="L396" i="5"/>
  <c r="D390" i="5"/>
  <c r="P383" i="5"/>
  <c r="H377" i="5"/>
  <c r="T370" i="5"/>
  <c r="L364" i="5"/>
  <c r="D358" i="5"/>
  <c r="P351" i="5"/>
  <c r="H345" i="5"/>
  <c r="T338" i="5"/>
  <c r="L332" i="5"/>
  <c r="D326" i="5"/>
  <c r="P319" i="5"/>
  <c r="H313" i="5"/>
  <c r="T306" i="5"/>
  <c r="L300" i="5"/>
  <c r="D294" i="5"/>
  <c r="P287" i="5"/>
  <c r="H281" i="5"/>
  <c r="T274" i="5"/>
  <c r="L268" i="5"/>
  <c r="D262" i="5"/>
  <c r="P255" i="5"/>
  <c r="H249" i="5"/>
  <c r="T242" i="5"/>
  <c r="L236" i="5"/>
  <c r="D230" i="5"/>
  <c r="P223" i="5"/>
  <c r="H217" i="5"/>
  <c r="T210" i="5"/>
  <c r="L204" i="5"/>
  <c r="D198" i="5"/>
  <c r="P191" i="5"/>
  <c r="H185" i="5"/>
  <c r="T178" i="5"/>
  <c r="L172" i="5"/>
  <c r="D166" i="5"/>
  <c r="P159" i="5"/>
  <c r="H153" i="5"/>
  <c r="T146" i="5"/>
  <c r="L140" i="5"/>
  <c r="D134" i="5"/>
  <c r="P127" i="5"/>
  <c r="H121" i="5"/>
  <c r="T114" i="5"/>
  <c r="L108" i="5"/>
  <c r="D102" i="5"/>
  <c r="P95" i="5"/>
  <c r="H89" i="5"/>
  <c r="T82" i="5"/>
  <c r="L76" i="5"/>
  <c r="D70" i="5"/>
  <c r="P63" i="5"/>
  <c r="H57" i="5"/>
  <c r="T50" i="5"/>
  <c r="L44" i="5"/>
  <c r="D38" i="5"/>
  <c r="P31" i="5"/>
  <c r="H25" i="5"/>
  <c r="T18" i="5"/>
  <c r="K12" i="5"/>
  <c r="C6" i="5"/>
  <c r="E405" i="3"/>
  <c r="F397" i="3"/>
  <c r="H389" i="3"/>
  <c r="I381" i="3"/>
  <c r="AF373" i="3"/>
  <c r="AG365" i="3"/>
  <c r="AG357" i="3"/>
  <c r="AI349" i="3"/>
  <c r="B342" i="3"/>
  <c r="F334" i="3"/>
  <c r="I326" i="3"/>
  <c r="AE318" i="3"/>
  <c r="AF310" i="3"/>
  <c r="AH302" i="3"/>
  <c r="AI294" i="3"/>
  <c r="A287" i="3"/>
  <c r="A279" i="3"/>
  <c r="A271" i="3"/>
  <c r="B263" i="3"/>
  <c r="D255" i="3"/>
  <c r="F247" i="3"/>
  <c r="G239" i="3"/>
  <c r="H231" i="3"/>
  <c r="I223" i="3"/>
  <c r="J215" i="3"/>
  <c r="AE207" i="3"/>
  <c r="AE199" i="3"/>
  <c r="AJ191" i="3"/>
  <c r="B184" i="3"/>
  <c r="D176" i="3"/>
  <c r="E168" i="3"/>
  <c r="F160" i="3"/>
  <c r="I152" i="3"/>
  <c r="J144" i="3"/>
  <c r="AE136" i="3"/>
  <c r="AE128" i="3"/>
  <c r="AF120" i="3"/>
  <c r="AH112" i="3"/>
  <c r="AI104" i="3"/>
  <c r="AJ96" i="3"/>
  <c r="B89" i="3"/>
  <c r="C81" i="3"/>
  <c r="D73" i="3"/>
  <c r="E65" i="3"/>
  <c r="H57" i="3"/>
  <c r="H49" i="3"/>
  <c r="I41" i="3"/>
  <c r="J33" i="3"/>
  <c r="AE25" i="3"/>
  <c r="E20" i="3"/>
  <c r="E16" i="3"/>
  <c r="E12" i="3"/>
  <c r="E8" i="3"/>
  <c r="C727" i="25"/>
  <c r="E382" i="25"/>
  <c r="D154" i="25"/>
  <c r="D29" i="24"/>
  <c r="F72" i="23"/>
  <c r="B136" i="22"/>
  <c r="G280" i="19"/>
  <c r="G152" i="19"/>
  <c r="B38" i="19"/>
  <c r="B373" i="17"/>
  <c r="B341" i="17"/>
  <c r="B309" i="17"/>
  <c r="B277" i="17"/>
  <c r="B245" i="17"/>
  <c r="B213" i="17"/>
  <c r="B181" i="17"/>
  <c r="B149" i="17"/>
  <c r="B117" i="17"/>
  <c r="B85" i="17"/>
  <c r="B53" i="17"/>
  <c r="B21" i="17"/>
  <c r="A85" i="15"/>
  <c r="A21" i="15"/>
  <c r="F1" i="13"/>
  <c r="H189" i="12"/>
  <c r="C147" i="12"/>
  <c r="F104" i="12"/>
  <c r="H61" i="12"/>
  <c r="C19" i="12"/>
  <c r="D218" i="11"/>
  <c r="G175" i="11"/>
  <c r="A133" i="11"/>
  <c r="D90" i="11"/>
  <c r="G47" i="11"/>
  <c r="A5" i="11"/>
  <c r="E36" i="8"/>
  <c r="E20" i="8"/>
  <c r="E4" i="8"/>
  <c r="F7" i="7"/>
  <c r="G284" i="6"/>
  <c r="G268" i="6"/>
  <c r="G252" i="6"/>
  <c r="G236" i="6"/>
  <c r="G220" i="6"/>
  <c r="G204" i="6"/>
  <c r="G188" i="6"/>
  <c r="G172" i="6"/>
  <c r="G156" i="6"/>
  <c r="G140" i="6"/>
  <c r="G124" i="6"/>
  <c r="G108" i="6"/>
  <c r="G92" i="6"/>
  <c r="G76" i="6"/>
  <c r="G60" i="6"/>
  <c r="G44" i="6"/>
  <c r="G28" i="6"/>
  <c r="G12" i="6"/>
  <c r="H412" i="5"/>
  <c r="T405" i="5"/>
  <c r="L399" i="5"/>
  <c r="D393" i="5"/>
  <c r="P386" i="5"/>
  <c r="H380" i="5"/>
  <c r="T373" i="5"/>
  <c r="L367" i="5"/>
  <c r="D361" i="5"/>
  <c r="P354" i="5"/>
  <c r="H348" i="5"/>
  <c r="T341" i="5"/>
  <c r="L335" i="5"/>
  <c r="D329" i="5"/>
  <c r="P322" i="5"/>
  <c r="H316" i="5"/>
  <c r="T309" i="5"/>
  <c r="L303" i="5"/>
  <c r="D297" i="5"/>
  <c r="P290" i="5"/>
  <c r="H284" i="5"/>
  <c r="T277" i="5"/>
  <c r="L271" i="5"/>
  <c r="D265" i="5"/>
  <c r="P258" i="5"/>
  <c r="H252" i="5"/>
  <c r="T245" i="5"/>
  <c r="L239" i="5"/>
  <c r="D233" i="5"/>
  <c r="A26" i="38"/>
  <c r="D516" i="25"/>
  <c r="E485" i="25"/>
  <c r="A4" i="25"/>
  <c r="E85" i="22"/>
  <c r="F679" i="25"/>
  <c r="A358" i="25"/>
  <c r="E130" i="25"/>
  <c r="A2" i="24"/>
  <c r="F308" i="25"/>
  <c r="F189" i="23"/>
  <c r="B85" i="22"/>
  <c r="A115" i="19"/>
  <c r="D399" i="25"/>
  <c r="F43" i="24"/>
  <c r="H150" i="22"/>
  <c r="H192" i="19"/>
  <c r="D106" i="19"/>
  <c r="C26" i="33"/>
  <c r="F549" i="25"/>
  <c r="G279" i="25"/>
  <c r="B52" i="25"/>
  <c r="C169" i="23"/>
  <c r="D235" i="22"/>
  <c r="G64" i="22"/>
  <c r="C227" i="19"/>
  <c r="C99" i="19"/>
  <c r="H7" i="19"/>
  <c r="E361" i="17"/>
  <c r="E329" i="17"/>
  <c r="E297" i="17"/>
  <c r="E265" i="17"/>
  <c r="E233" i="17"/>
  <c r="E201" i="17"/>
  <c r="E169" i="17"/>
  <c r="E137" i="17"/>
  <c r="E105" i="17"/>
  <c r="E73" i="17"/>
  <c r="E41" i="17"/>
  <c r="L8" i="17"/>
  <c r="C60" i="15"/>
  <c r="D26" i="14"/>
  <c r="B860" i="25"/>
  <c r="B471" i="25"/>
  <c r="H220" i="25"/>
  <c r="B102" i="24"/>
  <c r="G123" i="23"/>
  <c r="H189" i="22"/>
  <c r="G21" i="22"/>
  <c r="B193" i="19"/>
  <c r="B65" i="19"/>
  <c r="H8" i="18"/>
  <c r="H343" i="17"/>
  <c r="L300" i="17"/>
  <c r="D258" i="17"/>
  <c r="H215" i="17"/>
  <c r="L172" i="17"/>
  <c r="D130" i="17"/>
  <c r="H87" i="17"/>
  <c r="L44" i="17"/>
  <c r="B116" i="15"/>
  <c r="B52" i="15"/>
  <c r="C18" i="14"/>
  <c r="A200" i="12"/>
  <c r="E139" i="12"/>
  <c r="E107" i="12"/>
  <c r="E75" i="12"/>
  <c r="E43" i="12"/>
  <c r="E11" i="12"/>
  <c r="F221" i="11"/>
  <c r="F189" i="11"/>
  <c r="F157" i="11"/>
  <c r="F125" i="11"/>
  <c r="F93" i="11"/>
  <c r="F61" i="11"/>
  <c r="F29" i="11"/>
  <c r="G2" i="10"/>
  <c r="I733" i="25"/>
  <c r="I386" i="25"/>
  <c r="G157" i="25"/>
  <c r="B33" i="24"/>
  <c r="B75" i="23"/>
  <c r="C141" i="22"/>
  <c r="F1" i="20"/>
  <c r="F158" i="19"/>
  <c r="A42" i="19"/>
  <c r="C376" i="17"/>
  <c r="C344" i="17"/>
  <c r="C312" i="17"/>
  <c r="C280" i="17"/>
  <c r="C248" i="17"/>
  <c r="C216" i="17"/>
  <c r="C184" i="17"/>
  <c r="C152" i="17"/>
  <c r="C120" i="17"/>
  <c r="C88" i="17"/>
  <c r="C56" i="17"/>
  <c r="C24" i="17"/>
  <c r="H92" i="15"/>
  <c r="H28" i="15"/>
  <c r="B9" i="13"/>
  <c r="B195" i="12"/>
  <c r="D152" i="12"/>
  <c r="G109" i="12"/>
  <c r="B67" i="12"/>
  <c r="D24" i="12"/>
  <c r="E223" i="11"/>
  <c r="H180" i="11"/>
  <c r="C138" i="11"/>
  <c r="E95" i="11"/>
  <c r="H52" i="11"/>
  <c r="C10" i="11"/>
  <c r="D730" i="25"/>
  <c r="F384" i="25"/>
  <c r="I155" i="25"/>
  <c r="B31" i="24"/>
  <c r="E76" i="23"/>
  <c r="F142" i="22"/>
  <c r="F285" i="19"/>
  <c r="F157" i="19"/>
  <c r="C41" i="19"/>
  <c r="G376" i="17"/>
  <c r="G344" i="17"/>
  <c r="G312" i="17"/>
  <c r="G280" i="17"/>
  <c r="G248" i="17"/>
  <c r="G216" i="17"/>
  <c r="G184" i="17"/>
  <c r="G152" i="17"/>
  <c r="G120" i="17"/>
  <c r="G88" i="17"/>
  <c r="G56" i="17"/>
  <c r="G24" i="17"/>
  <c r="D92" i="15"/>
  <c r="D28" i="15"/>
  <c r="F9" i="13"/>
  <c r="D195" i="12"/>
  <c r="G152" i="12"/>
  <c r="B110" i="12"/>
  <c r="D67" i="12"/>
  <c r="G24" i="12"/>
  <c r="E224" i="11"/>
  <c r="H181" i="11"/>
  <c r="C139" i="11"/>
  <c r="E96" i="11"/>
  <c r="H53" i="11"/>
  <c r="C11" i="11"/>
  <c r="F408" i="25"/>
  <c r="D51" i="24"/>
  <c r="D161" i="22"/>
  <c r="G171" i="19"/>
  <c r="F379" i="17"/>
  <c r="F315" i="17"/>
  <c r="F251" i="17"/>
  <c r="F187" i="17"/>
  <c r="F123" i="17"/>
  <c r="F59" i="17"/>
  <c r="E98" i="15"/>
  <c r="G15" i="13"/>
  <c r="C156" i="12"/>
  <c r="H70" i="12"/>
  <c r="D227" i="11"/>
  <c r="A142" i="11"/>
  <c r="G56" i="11"/>
  <c r="D1" i="9"/>
  <c r="D8" i="8"/>
  <c r="B288" i="6"/>
  <c r="B256" i="6"/>
  <c r="B224" i="6"/>
  <c r="B192" i="6"/>
  <c r="B160" i="6"/>
  <c r="B128" i="6"/>
  <c r="B96" i="6"/>
  <c r="B64" i="6"/>
  <c r="B32" i="6"/>
  <c r="O413" i="5"/>
  <c r="S400" i="5"/>
  <c r="C388" i="5"/>
  <c r="G375" i="5"/>
  <c r="K362" i="5"/>
  <c r="O349" i="5"/>
  <c r="S336" i="5"/>
  <c r="C324" i="5"/>
  <c r="G311" i="5"/>
  <c r="K298" i="5"/>
  <c r="O285" i="5"/>
  <c r="S272" i="5"/>
  <c r="C260" i="5"/>
  <c r="G247" i="5"/>
  <c r="K234" i="5"/>
  <c r="O221" i="5"/>
  <c r="S208" i="5"/>
  <c r="C196" i="5"/>
  <c r="G183" i="5"/>
  <c r="K170" i="5"/>
  <c r="O157" i="5"/>
  <c r="S144" i="5"/>
  <c r="C132" i="5"/>
  <c r="G119" i="5"/>
  <c r="K106" i="5"/>
  <c r="O93" i="5"/>
  <c r="S80" i="5"/>
  <c r="C68" i="5"/>
  <c r="G55" i="5"/>
  <c r="K42" i="5"/>
  <c r="O29" i="5"/>
  <c r="S16" i="5"/>
  <c r="AE410" i="3"/>
  <c r="AI394" i="3"/>
  <c r="C379" i="3"/>
  <c r="F363" i="3"/>
  <c r="AD347" i="3"/>
  <c r="AJ331" i="3"/>
  <c r="D316" i="3"/>
  <c r="H300" i="3"/>
  <c r="J284" i="3"/>
  <c r="J268" i="3"/>
  <c r="AH252" i="3"/>
  <c r="A237" i="3"/>
  <c r="B221" i="3"/>
  <c r="D205" i="3"/>
  <c r="I189" i="3"/>
  <c r="AH173" i="3"/>
  <c r="AJ157" i="3"/>
  <c r="C142" i="3"/>
  <c r="E126" i="3"/>
  <c r="H110" i="3"/>
  <c r="AE94" i="3"/>
  <c r="AG78" i="3"/>
  <c r="AH62" i="3"/>
  <c r="A47" i="3"/>
  <c r="C31" i="3"/>
  <c r="F517" i="25"/>
  <c r="B28" i="25"/>
  <c r="D217" i="22"/>
  <c r="G213" i="19"/>
  <c r="C18" i="18"/>
  <c r="N326" i="17"/>
  <c r="N262" i="17"/>
  <c r="N198" i="17"/>
  <c r="N134" i="17"/>
  <c r="N70" i="17"/>
  <c r="M6" i="17"/>
  <c r="F22" i="14"/>
  <c r="H172" i="12"/>
  <c r="F87" i="12"/>
  <c r="C2" i="12"/>
  <c r="G158" i="11"/>
  <c r="D73" i="11"/>
  <c r="G8" i="9"/>
  <c r="B22" i="8"/>
  <c r="G19" i="7"/>
  <c r="D291" i="6"/>
  <c r="D270" i="6"/>
  <c r="H248" i="6"/>
  <c r="D227" i="6"/>
  <c r="D206" i="6"/>
  <c r="H184" i="6"/>
  <c r="D163" i="6"/>
  <c r="D142" i="6"/>
  <c r="D125" i="6"/>
  <c r="D109" i="6"/>
  <c r="D93" i="6"/>
  <c r="D77" i="6"/>
  <c r="D61" i="6"/>
  <c r="D45" i="6"/>
  <c r="D29" i="6"/>
  <c r="D13" i="6"/>
  <c r="I412" i="5"/>
  <c r="A406" i="5"/>
  <c r="M399" i="5"/>
  <c r="E393" i="5"/>
  <c r="Q386" i="5"/>
  <c r="I380" i="5"/>
  <c r="A374" i="5"/>
  <c r="M367" i="5"/>
  <c r="E361" i="5"/>
  <c r="Q354" i="5"/>
  <c r="I348" i="5"/>
  <c r="A342" i="5"/>
  <c r="M335" i="5"/>
  <c r="E329" i="5"/>
  <c r="Q322" i="5"/>
  <c r="I316" i="5"/>
  <c r="A310" i="5"/>
  <c r="M303" i="5"/>
  <c r="E297" i="5"/>
  <c r="Q290" i="5"/>
  <c r="I284" i="5"/>
  <c r="A278" i="5"/>
  <c r="M271" i="5"/>
  <c r="E265" i="5"/>
  <c r="Q258" i="5"/>
  <c r="I252" i="5"/>
  <c r="A246" i="5"/>
  <c r="M239" i="5"/>
  <c r="E233" i="5"/>
  <c r="Q226" i="5"/>
  <c r="I220" i="5"/>
  <c r="A214" i="5"/>
  <c r="M207" i="5"/>
  <c r="E201" i="5"/>
  <c r="Q194" i="5"/>
  <c r="I188" i="5"/>
  <c r="A182" i="5"/>
  <c r="M175" i="5"/>
  <c r="E169" i="5"/>
  <c r="Q162" i="5"/>
  <c r="I156" i="5"/>
  <c r="A150" i="5"/>
  <c r="M143" i="5"/>
  <c r="E137" i="5"/>
  <c r="Q130" i="5"/>
  <c r="I124" i="5"/>
  <c r="A118" i="5"/>
  <c r="M111" i="5"/>
  <c r="E105" i="5"/>
  <c r="Q98" i="5"/>
  <c r="I92" i="5"/>
  <c r="A86" i="5"/>
  <c r="M79" i="5"/>
  <c r="E73" i="5"/>
  <c r="Q66" i="5"/>
  <c r="I60" i="5"/>
  <c r="A54" i="5"/>
  <c r="M47" i="5"/>
  <c r="E41" i="5"/>
  <c r="Q34" i="5"/>
  <c r="I28" i="5"/>
  <c r="A22" i="5"/>
  <c r="M15" i="5"/>
  <c r="D9" i="5"/>
  <c r="A409" i="3"/>
  <c r="D401" i="3"/>
  <c r="F393" i="3"/>
  <c r="G385" i="3"/>
  <c r="J377" i="3"/>
  <c r="AF369" i="3"/>
  <c r="AF361" i="3"/>
  <c r="AG353" i="3"/>
  <c r="A346" i="3"/>
  <c r="C338" i="3"/>
  <c r="G330" i="3"/>
  <c r="J322" i="3"/>
  <c r="J314" i="3"/>
  <c r="AG306" i="3"/>
  <c r="AH298" i="3"/>
  <c r="AI290" i="3"/>
  <c r="AJ282" i="3"/>
  <c r="AJ274" i="3"/>
  <c r="AJ266" i="3"/>
  <c r="B259" i="3"/>
  <c r="D251" i="3"/>
  <c r="F243" i="3"/>
  <c r="G235" i="3"/>
  <c r="H227" i="3"/>
  <c r="I219" i="3"/>
  <c r="I211" i="3"/>
  <c r="J203" i="3"/>
  <c r="AE195" i="3"/>
  <c r="AJ187" i="3"/>
  <c r="A180" i="3"/>
  <c r="D172" i="3"/>
  <c r="E164" i="3"/>
  <c r="G156" i="3"/>
  <c r="I148" i="3"/>
  <c r="I140" i="3"/>
  <c r="J132" i="3"/>
  <c r="AE124" i="3"/>
  <c r="AF116" i="3"/>
  <c r="AH108" i="3"/>
  <c r="AH100" i="3"/>
  <c r="A93" i="3"/>
  <c r="B85" i="3"/>
  <c r="C77" i="3"/>
  <c r="D69" i="3"/>
  <c r="E61" i="3"/>
  <c r="G53" i="3"/>
  <c r="G45" i="3"/>
  <c r="I37" i="3"/>
  <c r="J29" i="3"/>
  <c r="AE21" i="3"/>
  <c r="H374" i="25"/>
  <c r="D21" i="24"/>
  <c r="D141" i="22"/>
  <c r="G156" i="19"/>
  <c r="B376" i="17"/>
  <c r="B312" i="17"/>
  <c r="B248" i="17"/>
  <c r="B184" i="17"/>
  <c r="B120" i="17"/>
  <c r="B56" i="17"/>
  <c r="A91" i="15"/>
  <c r="C10" i="13"/>
  <c r="H153" i="12"/>
  <c r="F68" i="12"/>
  <c r="A225" i="11"/>
  <c r="G139" i="11"/>
  <c r="D54" i="11"/>
  <c r="A39" i="8"/>
  <c r="A7" i="8"/>
  <c r="C287" i="6"/>
  <c r="C255" i="6"/>
  <c r="C223" i="6"/>
  <c r="C191" i="6"/>
  <c r="C159" i="6"/>
  <c r="C127" i="6"/>
  <c r="C95" i="6"/>
  <c r="C63" i="6"/>
  <c r="C31" i="6"/>
  <c r="H413" i="5"/>
  <c r="L400" i="5"/>
  <c r="P387" i="5"/>
  <c r="T374" i="5"/>
  <c r="D362" i="5"/>
  <c r="H349" i="5"/>
  <c r="L336" i="5"/>
  <c r="P323" i="5"/>
  <c r="T310" i="5"/>
  <c r="D298" i="5"/>
  <c r="H285" i="5"/>
  <c r="L272" i="5"/>
  <c r="P259" i="5"/>
  <c r="T246" i="5"/>
  <c r="D234" i="5"/>
  <c r="H221" i="5"/>
  <c r="L208" i="5"/>
  <c r="P195" i="5"/>
  <c r="T182" i="5"/>
  <c r="D170" i="5"/>
  <c r="H157" i="5"/>
  <c r="L144" i="5"/>
  <c r="P131" i="5"/>
  <c r="T118" i="5"/>
  <c r="D106" i="5"/>
  <c r="H93" i="5"/>
  <c r="L80" i="5"/>
  <c r="P67" i="5"/>
  <c r="T54" i="5"/>
  <c r="D42" i="5"/>
  <c r="H29" i="5"/>
  <c r="L16" i="5"/>
  <c r="B410" i="3"/>
  <c r="F394" i="3"/>
  <c r="J378" i="3"/>
  <c r="AG362" i="3"/>
  <c r="B347" i="3"/>
  <c r="G331" i="3"/>
  <c r="AE315" i="3"/>
  <c r="AI299" i="3"/>
  <c r="A284" i="3"/>
  <c r="A268" i="3"/>
  <c r="E252" i="3"/>
  <c r="H236" i="3"/>
  <c r="I220" i="3"/>
  <c r="AE204" i="3"/>
  <c r="AJ188" i="3"/>
  <c r="E173" i="3"/>
  <c r="H157" i="3"/>
  <c r="J141" i="3"/>
  <c r="AF125" i="3"/>
  <c r="AI109" i="3"/>
  <c r="B94" i="3"/>
  <c r="D78" i="3"/>
  <c r="E62" i="3"/>
  <c r="H46" i="3"/>
  <c r="J30" i="3"/>
  <c r="AG18" i="3"/>
  <c r="AG10" i="3"/>
  <c r="B572" i="25"/>
  <c r="A69" i="25"/>
  <c r="F8" i="23"/>
  <c r="G232" i="19"/>
  <c r="F10" i="19"/>
  <c r="B329" i="17"/>
  <c r="B265" i="17"/>
  <c r="B201" i="17"/>
  <c r="B137" i="17"/>
  <c r="B73" i="17"/>
  <c r="A9" i="17"/>
  <c r="B24" i="14"/>
  <c r="H173" i="12"/>
  <c r="F88" i="12"/>
  <c r="C3" i="12"/>
  <c r="G159" i="11"/>
  <c r="D74" i="11"/>
  <c r="C9" i="9"/>
  <c r="E14" i="8"/>
  <c r="G1" i="7"/>
  <c r="G262" i="6"/>
  <c r="G230" i="6"/>
  <c r="G198" i="6"/>
  <c r="G166" i="6"/>
  <c r="G134" i="6"/>
  <c r="G102" i="6"/>
  <c r="G70" i="6"/>
  <c r="G38" i="6"/>
  <c r="G6" i="6"/>
  <c r="L403" i="5"/>
  <c r="P390" i="5"/>
  <c r="T377" i="5"/>
  <c r="D365" i="5"/>
  <c r="H352" i="5"/>
  <c r="L339" i="5"/>
  <c r="P326" i="5"/>
  <c r="H355" i="17"/>
  <c r="L184" i="17"/>
  <c r="D14" i="17"/>
  <c r="A154" i="12"/>
  <c r="E20" i="12"/>
  <c r="F134" i="11"/>
  <c r="F6" i="11"/>
  <c r="B105" i="24"/>
  <c r="F194" i="19"/>
  <c r="C321" i="17"/>
  <c r="C193" i="17"/>
  <c r="C65" i="17"/>
  <c r="A12" i="14"/>
  <c r="B79" i="12"/>
  <c r="C150" i="11"/>
  <c r="D858" i="25"/>
  <c r="E124" i="23"/>
  <c r="F65" i="19"/>
  <c r="G289" i="17"/>
  <c r="G161" i="17"/>
  <c r="G33" i="17"/>
  <c r="D58" i="15"/>
  <c r="E20" i="14"/>
  <c r="G212" i="12"/>
  <c r="B170" i="12"/>
  <c r="D127" i="12"/>
  <c r="G84" i="12"/>
  <c r="B42" i="12"/>
  <c r="H241" i="11"/>
  <c r="C199" i="11"/>
  <c r="E156" i="11"/>
  <c r="H113" i="11"/>
  <c r="C71" i="11"/>
  <c r="E28" i="11"/>
  <c r="A681" i="25"/>
  <c r="C131" i="25"/>
  <c r="F60" i="23"/>
  <c r="G275" i="19"/>
  <c r="G34" i="19"/>
  <c r="F341" i="17"/>
  <c r="F277" i="17"/>
  <c r="F213" i="17"/>
  <c r="F149" i="17"/>
  <c r="F85" i="17"/>
  <c r="F21" i="17"/>
  <c r="E22" i="15"/>
  <c r="H190" i="12"/>
  <c r="F105" i="12"/>
  <c r="C20" i="12"/>
  <c r="G176" i="11"/>
  <c r="D91" i="11"/>
  <c r="A6" i="11"/>
  <c r="D21" i="8"/>
  <c r="A8" i="7"/>
  <c r="B269" i="6"/>
  <c r="B237" i="6"/>
  <c r="B205" i="6"/>
  <c r="B173" i="6"/>
  <c r="B141" i="6"/>
  <c r="B109" i="6"/>
  <c r="B77" i="6"/>
  <c r="B45" i="6"/>
  <c r="B13" i="6"/>
  <c r="C406" i="5"/>
  <c r="G393" i="5"/>
  <c r="K380" i="5"/>
  <c r="O367" i="5"/>
  <c r="S354" i="5"/>
  <c r="C342" i="5"/>
  <c r="G329" i="5"/>
  <c r="K316" i="5"/>
  <c r="O303" i="5"/>
  <c r="S290" i="5"/>
  <c r="C278" i="5"/>
  <c r="G265" i="5"/>
  <c r="K252" i="5"/>
  <c r="O239" i="5"/>
  <c r="S226" i="5"/>
  <c r="C214" i="5"/>
  <c r="G201" i="5"/>
  <c r="K188" i="5"/>
  <c r="O175" i="5"/>
  <c r="S162" i="5"/>
  <c r="C150" i="5"/>
  <c r="G137" i="5"/>
  <c r="K124" i="5"/>
  <c r="O111" i="5"/>
  <c r="S98" i="5"/>
  <c r="C86" i="5"/>
  <c r="G73" i="5"/>
  <c r="K60" i="5"/>
  <c r="O47" i="5"/>
  <c r="S34" i="5"/>
  <c r="C22" i="5"/>
  <c r="F9" i="5"/>
  <c r="F401" i="3"/>
  <c r="I385" i="3"/>
  <c r="AH369" i="3"/>
  <c r="AI353" i="3"/>
  <c r="E338" i="3"/>
  <c r="AE322" i="3"/>
  <c r="AI306" i="3"/>
  <c r="A291" i="3"/>
  <c r="B275" i="3"/>
  <c r="D259" i="3"/>
  <c r="H243" i="3"/>
  <c r="J227" i="3"/>
  <c r="AE211" i="3"/>
  <c r="AG195" i="3"/>
  <c r="C180" i="3"/>
  <c r="G164" i="3"/>
  <c r="AD148" i="3"/>
  <c r="AF132" i="3"/>
  <c r="AH116" i="3"/>
  <c r="AJ100" i="3"/>
  <c r="D85" i="3"/>
  <c r="F69" i="3"/>
  <c r="I53" i="3"/>
  <c r="AE37" i="3"/>
  <c r="F844" i="25"/>
  <c r="A213" i="25"/>
  <c r="F116" i="23"/>
  <c r="D18" i="22"/>
  <c r="G62" i="19"/>
  <c r="N352" i="17"/>
  <c r="N288" i="17"/>
  <c r="N224" i="17"/>
  <c r="N160" i="17"/>
  <c r="N96" i="17"/>
  <c r="N32" i="17"/>
  <c r="E45" i="15"/>
  <c r="F207" i="12"/>
  <c r="C122" i="12"/>
  <c r="H36" i="12"/>
  <c r="D193" i="11"/>
  <c r="A108" i="11"/>
  <c r="G22" i="11"/>
  <c r="F822" i="25"/>
  <c r="D157" i="25"/>
  <c r="D833" i="25"/>
  <c r="D207" i="25"/>
  <c r="H489" i="25"/>
  <c r="D200" i="22"/>
  <c r="A605" i="25"/>
  <c r="G28" i="23"/>
  <c r="H134" i="19"/>
  <c r="G675" i="25"/>
  <c r="F128" i="25"/>
  <c r="A56" i="23"/>
  <c r="C270" i="19"/>
  <c r="B31" i="19"/>
  <c r="A340" i="17"/>
  <c r="A276" i="17"/>
  <c r="A212" i="17"/>
  <c r="A148" i="17"/>
  <c r="A84" i="17"/>
  <c r="A20" i="17"/>
  <c r="G17" i="15"/>
  <c r="A573" i="25"/>
  <c r="G69" i="25"/>
  <c r="E10" i="23"/>
  <c r="B236" i="19"/>
  <c r="C12" i="19"/>
  <c r="D315" i="17"/>
  <c r="L229" i="17"/>
  <c r="H144" i="17"/>
  <c r="D59" i="17"/>
  <c r="F73" i="15"/>
  <c r="E221" i="12"/>
  <c r="A118" i="12"/>
  <c r="A54" i="12"/>
  <c r="B232" i="11"/>
  <c r="B168" i="11"/>
  <c r="B104" i="11"/>
  <c r="B40" i="11"/>
  <c r="C883" i="25"/>
  <c r="D232" i="25"/>
  <c r="B131" i="23"/>
  <c r="C27" i="22"/>
  <c r="F72" i="19"/>
  <c r="K354" i="17"/>
  <c r="K290" i="17"/>
  <c r="K226" i="17"/>
  <c r="K162" i="17"/>
  <c r="K98" i="17"/>
  <c r="K34" i="17"/>
  <c r="H49" i="15"/>
  <c r="B209" i="12"/>
  <c r="G123" i="12"/>
  <c r="D38" i="12"/>
  <c r="H194" i="11"/>
  <c r="E109" i="11"/>
  <c r="C24" i="11"/>
  <c r="B484" i="25"/>
  <c r="B115" i="24"/>
  <c r="F198" i="22"/>
  <c r="F199" i="19"/>
  <c r="B12" i="18"/>
  <c r="O322" i="17"/>
  <c r="O258" i="17"/>
  <c r="O194" i="17"/>
  <c r="O130" i="17"/>
  <c r="O66" i="17"/>
  <c r="D113" i="15"/>
  <c r="E15" i="14"/>
  <c r="G166" i="12"/>
  <c r="D81" i="12"/>
  <c r="E238" i="11"/>
  <c r="C153" i="11"/>
  <c r="H67" i="11"/>
  <c r="I609" i="25"/>
  <c r="A34" i="23"/>
  <c r="B22" i="19"/>
  <c r="F272" i="17"/>
  <c r="F144" i="17"/>
  <c r="F16" i="17"/>
  <c r="C184" i="12"/>
  <c r="F13" i="12"/>
  <c r="G84" i="11"/>
  <c r="H18" i="8"/>
  <c r="F266" i="6"/>
  <c r="F202" i="6"/>
  <c r="F138" i="6"/>
  <c r="F74" i="6"/>
  <c r="F10" i="6"/>
  <c r="G392" i="5"/>
  <c r="O366" i="5"/>
  <c r="C341" i="5"/>
  <c r="K315" i="5"/>
  <c r="S289" i="5"/>
  <c r="G264" i="5"/>
  <c r="O238" i="5"/>
  <c r="C213" i="5"/>
  <c r="K187" i="5"/>
  <c r="S161" i="5"/>
  <c r="G136" i="5"/>
  <c r="O110" i="5"/>
  <c r="C85" i="5"/>
  <c r="K59" i="5"/>
  <c r="S33" i="5"/>
  <c r="F8" i="5"/>
  <c r="E384" i="3"/>
  <c r="AF352" i="3"/>
  <c r="H321" i="3"/>
  <c r="AG289" i="3"/>
  <c r="AJ257" i="3"/>
  <c r="F226" i="3"/>
  <c r="AD194" i="3"/>
  <c r="C163" i="3"/>
  <c r="H131" i="3"/>
  <c r="AF99" i="3"/>
  <c r="B68" i="3"/>
  <c r="G36" i="3"/>
  <c r="E177" i="25"/>
  <c r="E9" i="21"/>
  <c r="N347" i="17"/>
  <c r="N219" i="17"/>
  <c r="N91" i="17"/>
  <c r="E35" i="15"/>
  <c r="F115" i="12"/>
  <c r="G186" i="11"/>
  <c r="A16" i="11"/>
  <c r="B8" i="8"/>
  <c r="D277" i="6"/>
  <c r="H234" i="6"/>
  <c r="D192" i="6"/>
  <c r="D149" i="6"/>
  <c r="H114" i="6"/>
  <c r="H82" i="6"/>
  <c r="H50" i="6"/>
  <c r="H18" i="6"/>
  <c r="E408" i="5"/>
  <c r="I395" i="5"/>
  <c r="M382" i="5"/>
  <c r="Q369" i="5"/>
  <c r="A357" i="5"/>
  <c r="E344" i="5"/>
  <c r="I331" i="5"/>
  <c r="M318" i="5"/>
  <c r="Q305" i="5"/>
  <c r="A293" i="5"/>
  <c r="E280" i="5"/>
  <c r="I267" i="5"/>
  <c r="M254" i="5"/>
  <c r="Q241" i="5"/>
  <c r="A229" i="5"/>
  <c r="E216" i="5"/>
  <c r="I203" i="5"/>
  <c r="M190" i="5"/>
  <c r="Q177" i="5"/>
  <c r="A165" i="5"/>
  <c r="E152" i="5"/>
  <c r="I139" i="5"/>
  <c r="M126" i="5"/>
  <c r="Q113" i="5"/>
  <c r="A101" i="5"/>
  <c r="E88" i="5"/>
  <c r="I75" i="5"/>
  <c r="M62" i="5"/>
  <c r="Q49" i="5"/>
  <c r="A37" i="5"/>
  <c r="E24" i="5"/>
  <c r="H11" i="5"/>
  <c r="AJ403" i="3"/>
  <c r="C388" i="3"/>
  <c r="H372" i="3"/>
  <c r="I356" i="3"/>
  <c r="AG340" i="3"/>
  <c r="D325" i="3"/>
  <c r="H309" i="3"/>
  <c r="AD293" i="3"/>
  <c r="AF277" i="3"/>
  <c r="AG261" i="3"/>
  <c r="A246" i="3"/>
  <c r="C230" i="3"/>
  <c r="E214" i="3"/>
  <c r="G198" i="3"/>
  <c r="AG182" i="3"/>
  <c r="AJ166" i="3"/>
  <c r="D151" i="3"/>
  <c r="F135" i="3"/>
  <c r="H119" i="3"/>
  <c r="J103" i="3"/>
  <c r="AH87" i="3"/>
  <c r="AI71" i="3"/>
  <c r="C56" i="3"/>
  <c r="E40" i="3"/>
  <c r="F24" i="3"/>
  <c r="B76" i="25"/>
  <c r="G244" i="19"/>
  <c r="B334" i="17"/>
  <c r="B206" i="17"/>
  <c r="B78" i="17"/>
  <c r="A7" i="15"/>
  <c r="H97" i="12"/>
  <c r="A169" i="11"/>
  <c r="A4" i="10"/>
  <c r="B5" i="7"/>
  <c r="C234" i="6"/>
  <c r="C170" i="6"/>
  <c r="C106" i="6"/>
  <c r="C42" i="6"/>
  <c r="T404" i="5"/>
  <c r="H379" i="5"/>
  <c r="P353" i="5"/>
  <c r="D328" i="5"/>
  <c r="L302" i="5"/>
  <c r="T276" i="5"/>
  <c r="H251" i="5"/>
  <c r="P225" i="5"/>
  <c r="D200" i="5"/>
  <c r="L174" i="5"/>
  <c r="T148" i="5"/>
  <c r="H123" i="5"/>
  <c r="P97" i="5"/>
  <c r="D72" i="5"/>
  <c r="L46" i="5"/>
  <c r="T20" i="5"/>
  <c r="AG399" i="3"/>
  <c r="E368" i="3"/>
  <c r="AF336" i="3"/>
  <c r="F305" i="3"/>
  <c r="I273" i="3"/>
  <c r="AI241" i="3"/>
  <c r="C210" i="3"/>
  <c r="AE178" i="3"/>
  <c r="B147" i="3"/>
  <c r="F115" i="3"/>
  <c r="AE83" i="3"/>
  <c r="AJ51" i="3"/>
  <c r="AH21" i="3"/>
  <c r="E869" i="25"/>
  <c r="A126" i="23"/>
  <c r="G64" i="19"/>
  <c r="B287" i="17"/>
  <c r="B159" i="17"/>
  <c r="B31" i="17"/>
  <c r="C203" i="12"/>
  <c r="F32" i="12"/>
  <c r="G103" i="11"/>
  <c r="E25" i="8"/>
  <c r="G273" i="6"/>
  <c r="G209" i="6"/>
  <c r="G145" i="6"/>
  <c r="G81" i="6"/>
  <c r="G17" i="6"/>
  <c r="D395" i="5"/>
  <c r="L369" i="5"/>
  <c r="T343" i="5"/>
  <c r="H318" i="5"/>
  <c r="P292" i="5"/>
  <c r="D267" i="5"/>
  <c r="L241" i="5"/>
  <c r="T215" i="5"/>
  <c r="J17" i="26"/>
  <c r="B203" i="25"/>
  <c r="G878" i="25"/>
  <c r="A230" i="25"/>
  <c r="C550" i="25"/>
  <c r="D234" i="22"/>
  <c r="G695" i="25"/>
  <c r="G62" i="23"/>
  <c r="D143" i="19"/>
  <c r="I721" i="25"/>
  <c r="G151" i="25"/>
  <c r="C73" i="23"/>
  <c r="C283" i="19"/>
  <c r="G39" i="19"/>
  <c r="E343" i="17"/>
  <c r="E279" i="17"/>
  <c r="E215" i="17"/>
  <c r="E151" i="17"/>
  <c r="E87" i="17"/>
  <c r="E23" i="17"/>
  <c r="C24" i="15"/>
  <c r="B604" i="25"/>
  <c r="H92" i="25"/>
  <c r="G27" i="23"/>
  <c r="B249" i="19"/>
  <c r="G18" i="19"/>
  <c r="H319" i="17"/>
  <c r="D234" i="17"/>
  <c r="L148" i="17"/>
  <c r="H63" i="17"/>
  <c r="B80" i="15"/>
  <c r="A228" i="12"/>
  <c r="E121" i="12"/>
  <c r="E57" i="12"/>
  <c r="F235" i="11"/>
  <c r="F171" i="11"/>
  <c r="F107" i="11"/>
  <c r="F43" i="11"/>
  <c r="C26" i="26"/>
  <c r="C257" i="25"/>
  <c r="G149" i="23"/>
  <c r="C45" i="22"/>
  <c r="F86" i="19"/>
  <c r="C358" i="17"/>
  <c r="C294" i="17"/>
  <c r="C230" i="17"/>
  <c r="C166" i="17"/>
  <c r="C102" i="17"/>
  <c r="C38" i="17"/>
  <c r="H56" i="15"/>
  <c r="G213" i="12"/>
  <c r="D128" i="12"/>
  <c r="B43" i="12"/>
  <c r="E199" i="11"/>
  <c r="C114" i="11"/>
  <c r="H28" i="11"/>
  <c r="D517" i="25"/>
  <c r="I27" i="25"/>
  <c r="C217" i="22"/>
  <c r="F213" i="19"/>
  <c r="B1" i="19"/>
  <c r="G326" i="17"/>
  <c r="G262" i="17"/>
  <c r="G198" i="17"/>
  <c r="G134" i="17"/>
  <c r="G70" i="17"/>
  <c r="F6" i="17"/>
  <c r="E22" i="14"/>
  <c r="D171" i="12"/>
  <c r="B86" i="12"/>
  <c r="C1" i="12"/>
  <c r="H157" i="11"/>
  <c r="E72" i="11"/>
  <c r="E709" i="25"/>
  <c r="C71" i="23"/>
  <c r="B40" i="19"/>
  <c r="F279" i="17"/>
  <c r="F151" i="17"/>
  <c r="F23" i="17"/>
  <c r="F193" i="12"/>
  <c r="H22" i="12"/>
  <c r="A94" i="11"/>
  <c r="D22" i="8"/>
  <c r="B270" i="6"/>
  <c r="B206" i="6"/>
  <c r="B142" i="6"/>
  <c r="B78" i="6"/>
  <c r="B18" i="6"/>
  <c r="C408" i="5"/>
  <c r="G395" i="5"/>
  <c r="K382" i="5"/>
  <c r="O369" i="5"/>
  <c r="S356" i="5"/>
  <c r="C344" i="5"/>
  <c r="G331" i="5"/>
  <c r="K318" i="5"/>
  <c r="O305" i="5"/>
  <c r="S292" i="5"/>
  <c r="C280" i="5"/>
  <c r="G267" i="5"/>
  <c r="K254" i="5"/>
  <c r="O241" i="5"/>
  <c r="S228" i="5"/>
  <c r="C216" i="5"/>
  <c r="G203" i="5"/>
  <c r="K190" i="5"/>
  <c r="O177" i="5"/>
  <c r="S164" i="5"/>
  <c r="C152" i="5"/>
  <c r="G139" i="5"/>
  <c r="K126" i="5"/>
  <c r="O113" i="5"/>
  <c r="S100" i="5"/>
  <c r="C88" i="5"/>
  <c r="G75" i="5"/>
  <c r="K62" i="5"/>
  <c r="O49" i="5"/>
  <c r="S36" i="5"/>
  <c r="C24" i="5"/>
  <c r="F11" i="5"/>
  <c r="AH403" i="3"/>
  <c r="A388" i="3"/>
  <c r="F372" i="3"/>
  <c r="G356" i="3"/>
  <c r="AE340" i="3"/>
  <c r="B325" i="3"/>
  <c r="F309" i="3"/>
  <c r="I293" i="3"/>
  <c r="J277" i="3"/>
  <c r="AE261" i="3"/>
  <c r="AI245" i="3"/>
  <c r="A230" i="3"/>
  <c r="C214" i="3"/>
  <c r="E198" i="3"/>
  <c r="AE182" i="3"/>
  <c r="AH166" i="3"/>
  <c r="B151" i="3"/>
  <c r="D135" i="3"/>
  <c r="F119" i="3"/>
  <c r="H103" i="3"/>
  <c r="AF87" i="3"/>
  <c r="AG71" i="3"/>
  <c r="A56" i="3"/>
  <c r="C40" i="3"/>
  <c r="F5" i="31"/>
  <c r="B284" i="25"/>
  <c r="A170" i="23"/>
  <c r="B68" i="22"/>
  <c r="G229" i="19"/>
  <c r="G101" i="19"/>
  <c r="B9" i="19"/>
  <c r="N362" i="17"/>
  <c r="N330" i="17"/>
  <c r="N298" i="17"/>
  <c r="N266" i="17"/>
  <c r="N234" i="17"/>
  <c r="N202" i="17"/>
  <c r="N170" i="17"/>
  <c r="N138" i="17"/>
  <c r="N106" i="17"/>
  <c r="N74" i="17"/>
  <c r="N42" i="17"/>
  <c r="M10" i="17"/>
  <c r="E65" i="15"/>
  <c r="F30" i="14"/>
  <c r="H220" i="12"/>
  <c r="C178" i="12"/>
  <c r="F135" i="12"/>
  <c r="H92" i="12"/>
  <c r="C50" i="12"/>
  <c r="F7" i="12"/>
  <c r="G206" i="11"/>
  <c r="A164" i="11"/>
  <c r="D121" i="11"/>
  <c r="G78" i="11"/>
  <c r="A36" i="11"/>
  <c r="E1" i="10"/>
  <c r="B34" i="8"/>
  <c r="B23" i="8"/>
  <c r="F12" i="8"/>
  <c r="B2" i="8"/>
  <c r="C10" i="7"/>
  <c r="H292" i="6"/>
  <c r="D282" i="6"/>
  <c r="D271" i="6"/>
  <c r="H260" i="6"/>
  <c r="D250" i="6"/>
  <c r="D239" i="6"/>
  <c r="H228" i="6"/>
  <c r="D218" i="6"/>
  <c r="D207" i="6"/>
  <c r="H196" i="6"/>
  <c r="D186" i="6"/>
  <c r="D175" i="6"/>
  <c r="H164" i="6"/>
  <c r="D154" i="6"/>
  <c r="D143" i="6"/>
  <c r="D134" i="6"/>
  <c r="D126" i="6"/>
  <c r="D118" i="6"/>
  <c r="D110" i="6"/>
  <c r="D102" i="6"/>
  <c r="D94" i="6"/>
  <c r="D86" i="6"/>
  <c r="D78" i="6"/>
  <c r="D70" i="6"/>
  <c r="D62" i="6"/>
  <c r="D54" i="6"/>
  <c r="D46" i="6"/>
  <c r="D38" i="6"/>
  <c r="D30" i="6"/>
  <c r="D22" i="6"/>
  <c r="D14" i="6"/>
  <c r="D6" i="6"/>
  <c r="Q412" i="5"/>
  <c r="M409" i="5"/>
  <c r="I406" i="5"/>
  <c r="E403" i="5"/>
  <c r="A400" i="5"/>
  <c r="Q396" i="5"/>
  <c r="M393" i="5"/>
  <c r="I390" i="5"/>
  <c r="E387" i="5"/>
  <c r="A384" i="5"/>
  <c r="Q380" i="5"/>
  <c r="M377" i="5"/>
  <c r="I374" i="5"/>
  <c r="E371" i="5"/>
  <c r="A368" i="5"/>
  <c r="Q364" i="5"/>
  <c r="M361" i="5"/>
  <c r="I358" i="5"/>
  <c r="E355" i="5"/>
  <c r="A352" i="5"/>
  <c r="Q348" i="5"/>
  <c r="M345" i="5"/>
  <c r="I342" i="5"/>
  <c r="E339" i="5"/>
  <c r="A336" i="5"/>
  <c r="Q332" i="5"/>
  <c r="M329" i="5"/>
  <c r="I326" i="5"/>
  <c r="E323" i="5"/>
  <c r="A320" i="5"/>
  <c r="Q316" i="5"/>
  <c r="M313" i="5"/>
  <c r="I310" i="5"/>
  <c r="E307" i="5"/>
  <c r="A304" i="5"/>
  <c r="Q300" i="5"/>
  <c r="M297" i="5"/>
  <c r="I294" i="5"/>
  <c r="E291" i="5"/>
  <c r="A288" i="5"/>
  <c r="Q284" i="5"/>
  <c r="M281" i="5"/>
  <c r="I278" i="5"/>
  <c r="E275" i="5"/>
  <c r="A272" i="5"/>
  <c r="Q268" i="5"/>
  <c r="M265" i="5"/>
  <c r="I262" i="5"/>
  <c r="E259" i="5"/>
  <c r="A256" i="5"/>
  <c r="Q252" i="5"/>
  <c r="M249" i="5"/>
  <c r="I246" i="5"/>
  <c r="E243" i="5"/>
  <c r="A240" i="5"/>
  <c r="Q236" i="5"/>
  <c r="M233" i="5"/>
  <c r="I230" i="5"/>
  <c r="E227" i="5"/>
  <c r="A224" i="5"/>
  <c r="Q220" i="5"/>
  <c r="M217" i="5"/>
  <c r="I214" i="5"/>
  <c r="E211" i="5"/>
  <c r="A208" i="5"/>
  <c r="Q204" i="5"/>
  <c r="M201" i="5"/>
  <c r="I198" i="5"/>
  <c r="E195" i="5"/>
  <c r="A192" i="5"/>
  <c r="Q188" i="5"/>
  <c r="M185" i="5"/>
  <c r="I182" i="5"/>
  <c r="E179" i="5"/>
  <c r="A176" i="5"/>
  <c r="Q172" i="5"/>
  <c r="M169" i="5"/>
  <c r="I166" i="5"/>
  <c r="E163" i="5"/>
  <c r="A160" i="5"/>
  <c r="Q156" i="5"/>
  <c r="M153" i="5"/>
  <c r="I150" i="5"/>
  <c r="E147" i="5"/>
  <c r="A144" i="5"/>
  <c r="Q140" i="5"/>
  <c r="M137" i="5"/>
  <c r="I134" i="5"/>
  <c r="E131" i="5"/>
  <c r="A128" i="5"/>
  <c r="Q124" i="5"/>
  <c r="M121" i="5"/>
  <c r="I118" i="5"/>
  <c r="E115" i="5"/>
  <c r="A112" i="5"/>
  <c r="Q108" i="5"/>
  <c r="M105" i="5"/>
  <c r="I102" i="5"/>
  <c r="E99" i="5"/>
  <c r="A96" i="5"/>
  <c r="Q92" i="5"/>
  <c r="M89" i="5"/>
  <c r="I86" i="5"/>
  <c r="E83" i="5"/>
  <c r="A80" i="5"/>
  <c r="Q76" i="5"/>
  <c r="M73" i="5"/>
  <c r="I70" i="5"/>
  <c r="E67" i="5"/>
  <c r="A64" i="5"/>
  <c r="Q60" i="5"/>
  <c r="M57" i="5"/>
  <c r="I54" i="5"/>
  <c r="E51" i="5"/>
  <c r="A48" i="5"/>
  <c r="Q44" i="5"/>
  <c r="M41" i="5"/>
  <c r="I38" i="5"/>
  <c r="E35" i="5"/>
  <c r="A32" i="5"/>
  <c r="Q28" i="5"/>
  <c r="M25" i="5"/>
  <c r="I22" i="5"/>
  <c r="E19" i="5"/>
  <c r="A16" i="5"/>
  <c r="P12" i="5"/>
  <c r="L9" i="5"/>
  <c r="H6" i="5"/>
  <c r="I409" i="3"/>
  <c r="AF405" i="3"/>
  <c r="AF401" i="3"/>
  <c r="AG397" i="3"/>
  <c r="AG393" i="3"/>
  <c r="AH389" i="3"/>
  <c r="AI385" i="3"/>
  <c r="AJ381" i="3"/>
  <c r="A378" i="3"/>
  <c r="C374" i="3"/>
  <c r="D370" i="3"/>
  <c r="D366" i="3"/>
  <c r="D362" i="3"/>
  <c r="D358" i="3"/>
  <c r="E354" i="3"/>
  <c r="F350" i="3"/>
  <c r="I346" i="3"/>
  <c r="I342" i="3"/>
  <c r="AE338" i="3"/>
  <c r="AG334" i="3"/>
  <c r="AH330" i="3"/>
  <c r="AJ326" i="3"/>
  <c r="A323" i="3"/>
  <c r="B319" i="3"/>
  <c r="B315" i="3"/>
  <c r="C311" i="3"/>
  <c r="E307" i="3"/>
  <c r="E303" i="3"/>
  <c r="F299" i="3"/>
  <c r="F295" i="3"/>
  <c r="G291" i="3"/>
  <c r="H287" i="3"/>
  <c r="H283" i="3"/>
  <c r="H279" i="3"/>
  <c r="H275" i="3"/>
  <c r="H271" i="3"/>
  <c r="H267" i="3"/>
  <c r="I263" i="3"/>
  <c r="J259" i="3"/>
  <c r="AD255" i="3"/>
  <c r="AF251" i="3"/>
  <c r="AG247" i="3"/>
  <c r="AH243" i="3"/>
  <c r="AH239" i="3"/>
  <c r="AI235" i="3"/>
  <c r="AI231" i="3"/>
  <c r="AJ227" i="3"/>
  <c r="AJ223" i="3"/>
  <c r="AJ219" i="3"/>
  <c r="A216" i="3"/>
  <c r="A212" i="3"/>
  <c r="B208" i="3"/>
  <c r="B204" i="3"/>
  <c r="B200" i="3"/>
  <c r="C196" i="3"/>
  <c r="G192" i="3"/>
  <c r="H188" i="3"/>
  <c r="I184" i="3"/>
  <c r="I180" i="3"/>
  <c r="AE176" i="3"/>
  <c r="AF172" i="3"/>
  <c r="AF168" i="3"/>
  <c r="AG164" i="3"/>
  <c r="AG160" i="3"/>
  <c r="AI156" i="3"/>
  <c r="AJ152" i="3"/>
  <c r="AJ148" i="3"/>
  <c r="A145" i="3"/>
  <c r="A141" i="3"/>
  <c r="B137" i="3"/>
  <c r="B133" i="3"/>
  <c r="B129" i="3"/>
  <c r="C125" i="3"/>
  <c r="C121" i="3"/>
  <c r="D117" i="3"/>
  <c r="E113" i="3"/>
  <c r="F109" i="3"/>
  <c r="F105" i="3"/>
  <c r="F101" i="3"/>
  <c r="G97" i="3"/>
  <c r="I93" i="3"/>
  <c r="I89" i="3"/>
  <c r="J85" i="3"/>
  <c r="J81" i="3"/>
  <c r="AE77" i="3"/>
  <c r="AE73" i="3"/>
  <c r="AF69" i="3"/>
  <c r="AF65" i="3"/>
  <c r="AF61" i="3"/>
  <c r="AH57" i="3"/>
  <c r="AI53" i="3"/>
  <c r="AI49" i="3"/>
  <c r="AI45" i="3"/>
  <c r="AJ41" i="3"/>
  <c r="A38" i="3"/>
  <c r="A34" i="3"/>
  <c r="A30" i="3"/>
  <c r="B26" i="3"/>
  <c r="C22" i="3"/>
  <c r="I769" i="25"/>
  <c r="I410" i="25"/>
  <c r="G175" i="25"/>
  <c r="D53" i="24"/>
  <c r="F88" i="23"/>
  <c r="G162" i="22"/>
  <c r="E8" i="21"/>
  <c r="G172" i="19"/>
  <c r="E51" i="19"/>
  <c r="B380" i="17"/>
  <c r="B348" i="17"/>
  <c r="B316" i="17"/>
  <c r="B284" i="17"/>
  <c r="B252" i="17"/>
  <c r="B220" i="17"/>
  <c r="B188" i="17"/>
  <c r="B156" i="17"/>
  <c r="B124" i="17"/>
  <c r="B92" i="17"/>
  <c r="B60" i="17"/>
  <c r="B28" i="17"/>
  <c r="A99" i="15"/>
  <c r="A35" i="15"/>
  <c r="B2" i="14"/>
  <c r="H201" i="12"/>
  <c r="C159" i="12"/>
  <c r="F116" i="12"/>
  <c r="H73" i="12"/>
  <c r="C31" i="12"/>
  <c r="D230" i="11"/>
  <c r="G187" i="11"/>
  <c r="A145" i="11"/>
  <c r="D102" i="11"/>
  <c r="G59" i="11"/>
  <c r="A17" i="11"/>
  <c r="A2" i="9"/>
  <c r="A25" i="8"/>
  <c r="A9" i="8"/>
  <c r="B12" i="7"/>
  <c r="C289" i="6"/>
  <c r="C273" i="6"/>
  <c r="C257" i="6"/>
  <c r="C241" i="6"/>
  <c r="C225" i="6"/>
  <c r="C209" i="6"/>
  <c r="C193" i="6"/>
  <c r="C177" i="6"/>
  <c r="C161" i="6"/>
  <c r="C145" i="6"/>
  <c r="C129" i="6"/>
  <c r="C113" i="6"/>
  <c r="C97" i="6"/>
  <c r="C81" i="6"/>
  <c r="C65" i="6"/>
  <c r="C49" i="6"/>
  <c r="C33" i="6"/>
  <c r="C17" i="6"/>
  <c r="D1" i="6"/>
  <c r="P407" i="5"/>
  <c r="H401" i="5"/>
  <c r="T394" i="5"/>
  <c r="L388" i="5"/>
  <c r="D382" i="5"/>
  <c r="P375" i="5"/>
  <c r="H369" i="5"/>
  <c r="T362" i="5"/>
  <c r="L356" i="5"/>
  <c r="D350" i="5"/>
  <c r="P343" i="5"/>
  <c r="H337" i="5"/>
  <c r="T330" i="5"/>
  <c r="L324" i="5"/>
  <c r="D318" i="5"/>
  <c r="P311" i="5"/>
  <c r="H305" i="5"/>
  <c r="T298" i="5"/>
  <c r="L292" i="5"/>
  <c r="D286" i="5"/>
  <c r="P279" i="5"/>
  <c r="H273" i="5"/>
  <c r="T266" i="5"/>
  <c r="L260" i="5"/>
  <c r="D254" i="5"/>
  <c r="P247" i="5"/>
  <c r="H241" i="5"/>
  <c r="T234" i="5"/>
  <c r="L228" i="5"/>
  <c r="D222" i="5"/>
  <c r="P215" i="5"/>
  <c r="H209" i="5"/>
  <c r="T202" i="5"/>
  <c r="L196" i="5"/>
  <c r="D190" i="5"/>
  <c r="P183" i="5"/>
  <c r="H177" i="5"/>
  <c r="T170" i="5"/>
  <c r="L164" i="5"/>
  <c r="D158" i="5"/>
  <c r="P151" i="5"/>
  <c r="H145" i="5"/>
  <c r="T138" i="5"/>
  <c r="L132" i="5"/>
  <c r="D126" i="5"/>
  <c r="P119" i="5"/>
  <c r="H113" i="5"/>
  <c r="T106" i="5"/>
  <c r="L100" i="5"/>
  <c r="D94" i="5"/>
  <c r="P87" i="5"/>
  <c r="H81" i="5"/>
  <c r="T74" i="5"/>
  <c r="L68" i="5"/>
  <c r="D62" i="5"/>
  <c r="P55" i="5"/>
  <c r="H49" i="5"/>
  <c r="T42" i="5"/>
  <c r="L36" i="5"/>
  <c r="D30" i="5"/>
  <c r="P23" i="5"/>
  <c r="H17" i="5"/>
  <c r="S10" i="5"/>
  <c r="B411" i="3"/>
  <c r="E403" i="3"/>
  <c r="F395" i="3"/>
  <c r="H387" i="3"/>
  <c r="J379" i="3"/>
  <c r="AG371" i="3"/>
  <c r="AG363" i="3"/>
  <c r="AH355" i="3"/>
  <c r="A348" i="3"/>
  <c r="C340" i="3"/>
  <c r="G332" i="3"/>
  <c r="J324" i="3"/>
  <c r="AE316" i="3"/>
  <c r="AG308" i="3"/>
  <c r="AI300" i="3"/>
  <c r="AJ292" i="3"/>
  <c r="A285" i="3"/>
  <c r="A277" i="3"/>
  <c r="A269" i="3"/>
  <c r="B261" i="3"/>
  <c r="E253" i="3"/>
  <c r="G245" i="3"/>
  <c r="H237" i="3"/>
  <c r="H229" i="3"/>
  <c r="I221" i="3"/>
  <c r="J213" i="3"/>
  <c r="AE205" i="3"/>
  <c r="AF197" i="3"/>
  <c r="AJ189" i="3"/>
  <c r="B182" i="3"/>
  <c r="E174" i="3"/>
  <c r="F166" i="3"/>
  <c r="G158" i="3"/>
  <c r="I150" i="3"/>
  <c r="J142" i="3"/>
  <c r="AE134" i="3"/>
  <c r="AE126" i="3"/>
  <c r="AG118" i="3"/>
  <c r="AI110" i="3"/>
  <c r="AI102" i="3"/>
  <c r="B95" i="3"/>
  <c r="C87" i="3"/>
  <c r="D79" i="3"/>
  <c r="D71" i="3"/>
  <c r="E63" i="3"/>
  <c r="H55" i="3"/>
  <c r="H47" i="3"/>
  <c r="J39" i="3"/>
  <c r="J31" i="3"/>
  <c r="C24" i="3"/>
  <c r="E19" i="3"/>
  <c r="E15" i="3"/>
  <c r="E11" i="3"/>
  <c r="E7" i="3"/>
  <c r="E613" i="25"/>
  <c r="A325" i="25"/>
  <c r="E97" i="25"/>
  <c r="F200" i="23"/>
  <c r="A30" i="23"/>
  <c r="D93" i="22"/>
  <c r="G248" i="19"/>
  <c r="G120" i="19"/>
  <c r="F18" i="19"/>
  <c r="B365" i="17"/>
  <c r="B333" i="17"/>
  <c r="B301" i="17"/>
  <c r="B269" i="17"/>
  <c r="B237" i="17"/>
  <c r="B205" i="17"/>
  <c r="B173" i="17"/>
  <c r="B141" i="17"/>
  <c r="B109" i="17"/>
  <c r="B77" i="17"/>
  <c r="B45" i="17"/>
  <c r="B13" i="17"/>
  <c r="A69" i="15"/>
  <c r="A5" i="15"/>
  <c r="H221" i="12"/>
  <c r="C179" i="12"/>
  <c r="F136" i="12"/>
  <c r="H93" i="12"/>
  <c r="C51" i="12"/>
  <c r="F8" i="12"/>
  <c r="G207" i="11"/>
  <c r="A165" i="11"/>
  <c r="D122" i="11"/>
  <c r="G79" i="11"/>
  <c r="A37" i="11"/>
  <c r="B3" i="10"/>
  <c r="E32" i="8"/>
  <c r="E16" i="8"/>
  <c r="F19" i="7"/>
  <c r="F3" i="7"/>
  <c r="G280" i="6"/>
  <c r="G264" i="6"/>
  <c r="G248" i="6"/>
  <c r="G232" i="6"/>
  <c r="G216" i="6"/>
  <c r="G200" i="6"/>
  <c r="G184" i="6"/>
  <c r="G168" i="6"/>
  <c r="G152" i="6"/>
  <c r="G136" i="6"/>
  <c r="G120" i="6"/>
  <c r="G104" i="6"/>
  <c r="G88" i="6"/>
  <c r="G72" i="6"/>
  <c r="G56" i="6"/>
  <c r="G40" i="6"/>
  <c r="G24" i="6"/>
  <c r="G8" i="6"/>
  <c r="P410" i="5"/>
  <c r="H404" i="5"/>
  <c r="T397" i="5"/>
  <c r="L391" i="5"/>
  <c r="D385" i="5"/>
  <c r="P378" i="5"/>
  <c r="H372" i="5"/>
  <c r="T365" i="5"/>
  <c r="L359" i="5"/>
  <c r="D353" i="5"/>
  <c r="P346" i="5"/>
  <c r="H340" i="5"/>
  <c r="T333" i="5"/>
  <c r="L327" i="5"/>
  <c r="D321" i="5"/>
  <c r="P314" i="5"/>
  <c r="H308" i="5"/>
  <c r="T301" i="5"/>
  <c r="L295" i="5"/>
  <c r="D289" i="5"/>
  <c r="P282" i="5"/>
  <c r="H276" i="5"/>
  <c r="T269" i="5"/>
  <c r="L263" i="5"/>
  <c r="D257" i="5"/>
  <c r="P250" i="5"/>
  <c r="H244" i="5"/>
  <c r="T237" i="5"/>
  <c r="L231" i="5"/>
  <c r="D73" i="33"/>
  <c r="J32" i="26"/>
  <c r="D345" i="25"/>
  <c r="D213" i="23"/>
  <c r="E82" i="33"/>
  <c r="C578" i="25"/>
  <c r="B301" i="25"/>
  <c r="F73" i="25"/>
  <c r="B808" i="25"/>
  <c r="H194" i="25"/>
  <c r="C104" i="23"/>
  <c r="B7" i="22"/>
  <c r="B21" i="27"/>
  <c r="H280" i="25"/>
  <c r="E169" i="23"/>
  <c r="F65" i="22"/>
  <c r="D170" i="19"/>
  <c r="H84" i="19"/>
  <c r="B864" i="25"/>
  <c r="H473" i="25"/>
  <c r="H222" i="25"/>
  <c r="D106" i="24"/>
  <c r="F126" i="23"/>
  <c r="G192" i="22"/>
  <c r="H23" i="22"/>
  <c r="C195" i="19"/>
  <c r="C67" i="19"/>
  <c r="E9" i="18"/>
  <c r="E353" i="17"/>
  <c r="E321" i="17"/>
  <c r="E289" i="17"/>
  <c r="E257" i="17"/>
  <c r="E225" i="17"/>
  <c r="E193" i="17"/>
  <c r="E161" i="17"/>
  <c r="E129" i="17"/>
  <c r="E97" i="17"/>
  <c r="E65" i="17"/>
  <c r="E33" i="17"/>
  <c r="C108" i="15"/>
  <c r="C44" i="15"/>
  <c r="D10" i="14"/>
  <c r="D746" i="25"/>
  <c r="C395" i="25"/>
  <c r="I163" i="25"/>
  <c r="B38" i="24"/>
  <c r="B81" i="23"/>
  <c r="C147" i="22"/>
  <c r="A4" i="20"/>
  <c r="B161" i="19"/>
  <c r="F43" i="19"/>
  <c r="H375" i="17"/>
  <c r="L332" i="17"/>
  <c r="D290" i="17"/>
  <c r="H247" i="17"/>
  <c r="L204" i="17"/>
  <c r="D162" i="17"/>
  <c r="H119" i="17"/>
  <c r="L76" i="17"/>
  <c r="D34" i="17"/>
  <c r="B100" i="15"/>
  <c r="B36" i="15"/>
  <c r="C2" i="14"/>
  <c r="A184" i="12"/>
  <c r="E131" i="12"/>
  <c r="E99" i="12"/>
  <c r="E67" i="12"/>
  <c r="E35" i="12"/>
  <c r="E3" i="12"/>
  <c r="F213" i="11"/>
  <c r="F181" i="11"/>
  <c r="F149" i="11"/>
  <c r="F117" i="11"/>
  <c r="F85" i="11"/>
  <c r="F53" i="11"/>
  <c r="F21" i="11"/>
  <c r="H4" i="9"/>
  <c r="B620" i="25"/>
  <c r="D328" i="25"/>
  <c r="H100" i="25"/>
  <c r="B203" i="23"/>
  <c r="E32" i="23"/>
  <c r="F98" i="22"/>
  <c r="F254" i="19"/>
  <c r="F126" i="19"/>
  <c r="E21" i="19"/>
  <c r="C368" i="17"/>
  <c r="C336" i="17"/>
  <c r="C304" i="17"/>
  <c r="C272" i="17"/>
  <c r="C240" i="17"/>
  <c r="C208" i="17"/>
  <c r="C176" i="17"/>
  <c r="C144" i="17"/>
  <c r="C112" i="17"/>
  <c r="C80" i="17"/>
  <c r="C48" i="17"/>
  <c r="C16" i="17"/>
  <c r="H76" i="15"/>
  <c r="H12" i="15"/>
  <c r="B227" i="12"/>
  <c r="D184" i="12"/>
  <c r="G141" i="12"/>
  <c r="B99" i="12"/>
  <c r="D56" i="12"/>
  <c r="G13" i="12"/>
  <c r="H212" i="11"/>
  <c r="C170" i="11"/>
  <c r="E127" i="11"/>
  <c r="H84" i="11"/>
  <c r="C42" i="11"/>
  <c r="D4" i="10"/>
  <c r="F616" i="25"/>
  <c r="F326" i="25"/>
  <c r="A99" i="25"/>
  <c r="E204" i="23"/>
  <c r="G33" i="23"/>
  <c r="H99" i="22"/>
  <c r="F253" i="19"/>
  <c r="F125" i="19"/>
  <c r="A21" i="19"/>
  <c r="G368" i="17"/>
  <c r="G336" i="17"/>
  <c r="G304" i="17"/>
  <c r="G272" i="17"/>
  <c r="G240" i="17"/>
  <c r="G208" i="17"/>
  <c r="G176" i="17"/>
  <c r="G144" i="17"/>
  <c r="G112" i="17"/>
  <c r="G80" i="17"/>
  <c r="G48" i="17"/>
  <c r="G16" i="17"/>
  <c r="D76" i="15"/>
  <c r="D12" i="15"/>
  <c r="D227" i="12"/>
  <c r="G184" i="12"/>
  <c r="B142" i="12"/>
  <c r="D99" i="12"/>
  <c r="G56" i="12"/>
  <c r="B14" i="12"/>
  <c r="H213" i="11"/>
  <c r="C171" i="11"/>
  <c r="E128" i="11"/>
  <c r="H85" i="11"/>
  <c r="C43" i="11"/>
  <c r="B36" i="27"/>
  <c r="G287" i="25"/>
  <c r="A178" i="23"/>
  <c r="B76" i="22"/>
  <c r="G107" i="19"/>
  <c r="F363" i="17"/>
  <c r="F299" i="17"/>
  <c r="F235" i="17"/>
  <c r="F171" i="17"/>
  <c r="F107" i="17"/>
  <c r="F43" i="17"/>
  <c r="E66" i="15"/>
  <c r="C220" i="12"/>
  <c r="H134" i="12"/>
  <c r="F49" i="12"/>
  <c r="A206" i="11"/>
  <c r="G120" i="11"/>
  <c r="D35" i="11"/>
  <c r="D32" i="8"/>
  <c r="A19" i="7"/>
  <c r="B280" i="6"/>
  <c r="B248" i="6"/>
  <c r="B216" i="6"/>
  <c r="B184" i="6"/>
  <c r="B152" i="6"/>
  <c r="B120" i="6"/>
  <c r="B88" i="6"/>
  <c r="B56" i="6"/>
  <c r="B24" i="6"/>
  <c r="K410" i="5"/>
  <c r="O397" i="5"/>
  <c r="S384" i="5"/>
  <c r="C372" i="5"/>
  <c r="G359" i="5"/>
  <c r="K346" i="5"/>
  <c r="O333" i="5"/>
  <c r="S320" i="5"/>
  <c r="C308" i="5"/>
  <c r="G295" i="5"/>
  <c r="K282" i="5"/>
  <c r="O269" i="5"/>
  <c r="S256" i="5"/>
  <c r="C244" i="5"/>
  <c r="G231" i="5"/>
  <c r="K218" i="5"/>
  <c r="O205" i="5"/>
  <c r="S192" i="5"/>
  <c r="C180" i="5"/>
  <c r="G167" i="5"/>
  <c r="K154" i="5"/>
  <c r="O141" i="5"/>
  <c r="S128" i="5"/>
  <c r="C116" i="5"/>
  <c r="G103" i="5"/>
  <c r="K90" i="5"/>
  <c r="O77" i="5"/>
  <c r="S64" i="5"/>
  <c r="C52" i="5"/>
  <c r="G39" i="5"/>
  <c r="K26" i="5"/>
  <c r="N13" i="5"/>
  <c r="AG406" i="3"/>
  <c r="AJ390" i="3"/>
  <c r="D375" i="3"/>
  <c r="F359" i="3"/>
  <c r="AE343" i="3"/>
  <c r="A328" i="3"/>
  <c r="E312" i="3"/>
  <c r="H296" i="3"/>
  <c r="J280" i="3"/>
  <c r="AE264" i="3"/>
  <c r="AI248" i="3"/>
  <c r="A233" i="3"/>
  <c r="C217" i="3"/>
  <c r="D201" i="3"/>
  <c r="AD185" i="3"/>
  <c r="AH169" i="3"/>
  <c r="B154" i="3"/>
  <c r="D138" i="3"/>
  <c r="E122" i="3"/>
  <c r="H106" i="3"/>
  <c r="AE90" i="3"/>
  <c r="AG74" i="3"/>
  <c r="AI58" i="3"/>
  <c r="B43" i="3"/>
  <c r="D27" i="3"/>
  <c r="E369" i="25"/>
  <c r="D15" i="24"/>
  <c r="B132" i="22"/>
  <c r="G149" i="19"/>
  <c r="N374" i="17"/>
  <c r="N310" i="17"/>
  <c r="N246" i="17"/>
  <c r="N182" i="17"/>
  <c r="N118" i="17"/>
  <c r="N54" i="17"/>
  <c r="E89" i="15"/>
  <c r="G6" i="13"/>
  <c r="F151" i="12"/>
  <c r="C66" i="12"/>
  <c r="G222" i="11"/>
  <c r="D137" i="11"/>
  <c r="A52" i="11"/>
  <c r="B38" i="8"/>
  <c r="F16" i="8"/>
  <c r="C14" i="7"/>
  <c r="D286" i="6"/>
  <c r="H264" i="6"/>
  <c r="D243" i="6"/>
  <c r="D222" i="6"/>
  <c r="H200" i="6"/>
  <c r="D179" i="6"/>
  <c r="D158" i="6"/>
  <c r="D137" i="6"/>
  <c r="D121" i="6"/>
  <c r="D105" i="6"/>
  <c r="D89" i="6"/>
  <c r="D73" i="6"/>
  <c r="D57" i="6"/>
  <c r="D41" i="6"/>
  <c r="D25" i="6"/>
  <c r="D9" i="6"/>
  <c r="Q410" i="5"/>
  <c r="I404" i="5"/>
  <c r="A398" i="5"/>
  <c r="M391" i="5"/>
  <c r="E385" i="5"/>
  <c r="Q378" i="5"/>
  <c r="I372" i="5"/>
  <c r="A366" i="5"/>
  <c r="M359" i="5"/>
  <c r="E353" i="5"/>
  <c r="Q346" i="5"/>
  <c r="I340" i="5"/>
  <c r="A334" i="5"/>
  <c r="M327" i="5"/>
  <c r="E321" i="5"/>
  <c r="Q314" i="5"/>
  <c r="I308" i="5"/>
  <c r="A302" i="5"/>
  <c r="M295" i="5"/>
  <c r="E289" i="5"/>
  <c r="Q282" i="5"/>
  <c r="I276" i="5"/>
  <c r="A270" i="5"/>
  <c r="M263" i="5"/>
  <c r="E257" i="5"/>
  <c r="Q250" i="5"/>
  <c r="I244" i="5"/>
  <c r="A238" i="5"/>
  <c r="M231" i="5"/>
  <c r="E225" i="5"/>
  <c r="Q218" i="5"/>
  <c r="I212" i="5"/>
  <c r="A206" i="5"/>
  <c r="M199" i="5"/>
  <c r="E193" i="5"/>
  <c r="Q186" i="5"/>
  <c r="I180" i="5"/>
  <c r="A174" i="5"/>
  <c r="M167" i="5"/>
  <c r="E161" i="5"/>
  <c r="Q154" i="5"/>
  <c r="I148" i="5"/>
  <c r="A142" i="5"/>
  <c r="M135" i="5"/>
  <c r="E129" i="5"/>
  <c r="Q122" i="5"/>
  <c r="I116" i="5"/>
  <c r="A110" i="5"/>
  <c r="M103" i="5"/>
  <c r="E97" i="5"/>
  <c r="Q90" i="5"/>
  <c r="I84" i="5"/>
  <c r="A78" i="5"/>
  <c r="M71" i="5"/>
  <c r="E65" i="5"/>
  <c r="Q58" i="5"/>
  <c r="I52" i="5"/>
  <c r="A46" i="5"/>
  <c r="M39" i="5"/>
  <c r="E33" i="5"/>
  <c r="Q26" i="5"/>
  <c r="I20" i="5"/>
  <c r="T13" i="5"/>
  <c r="L7" i="5"/>
  <c r="C407" i="3"/>
  <c r="E399" i="3"/>
  <c r="F391" i="3"/>
  <c r="G383" i="3"/>
  <c r="J375" i="3"/>
  <c r="AF367" i="3"/>
  <c r="AF359" i="3"/>
  <c r="AH351" i="3"/>
  <c r="A344" i="3"/>
  <c r="D336" i="3"/>
  <c r="G328" i="3"/>
  <c r="J320" i="3"/>
  <c r="AE312" i="3"/>
  <c r="AG304" i="3"/>
  <c r="AH296" i="3"/>
  <c r="AI288" i="3"/>
  <c r="AJ280" i="3"/>
  <c r="AJ272" i="3"/>
  <c r="A265" i="3"/>
  <c r="B257" i="3"/>
  <c r="E249" i="3"/>
  <c r="F241" i="3"/>
  <c r="G233" i="3"/>
  <c r="H225" i="3"/>
  <c r="I217" i="3"/>
  <c r="J209" i="3"/>
  <c r="J201" i="3"/>
  <c r="AG193" i="3"/>
  <c r="AJ185" i="3"/>
  <c r="C178" i="3"/>
  <c r="D170" i="3"/>
  <c r="E162" i="3"/>
  <c r="H154" i="3"/>
  <c r="I146" i="3"/>
  <c r="J138" i="3"/>
  <c r="J130" i="3"/>
  <c r="AE122" i="3"/>
  <c r="AG114" i="3"/>
  <c r="AH106" i="3"/>
  <c r="AH98" i="3"/>
  <c r="A91" i="3"/>
  <c r="B83" i="3"/>
  <c r="C75" i="3"/>
  <c r="D67" i="3"/>
  <c r="E59" i="3"/>
  <c r="G51" i="3"/>
  <c r="H43" i="3"/>
  <c r="I35" i="3"/>
  <c r="J27" i="3"/>
  <c r="C30" i="26"/>
  <c r="A261" i="25"/>
  <c r="F152" i="23"/>
  <c r="B56" i="22"/>
  <c r="G92" i="19"/>
  <c r="B360" i="17"/>
  <c r="B296" i="17"/>
  <c r="B232" i="17"/>
  <c r="B168" i="17"/>
  <c r="B104" i="17"/>
  <c r="B40" i="17"/>
  <c r="A59" i="15"/>
  <c r="H217" i="12"/>
  <c r="F132" i="12"/>
  <c r="C47" i="12"/>
  <c r="G203" i="11"/>
  <c r="D118" i="11"/>
  <c r="A33" i="11"/>
  <c r="A31" i="8"/>
  <c r="B18" i="7"/>
  <c r="C279" i="6"/>
  <c r="C247" i="6"/>
  <c r="C215" i="6"/>
  <c r="C183" i="6"/>
  <c r="C151" i="6"/>
  <c r="C119" i="6"/>
  <c r="C87" i="6"/>
  <c r="C55" i="6"/>
  <c r="C23" i="6"/>
  <c r="D410" i="5"/>
  <c r="H397" i="5"/>
  <c r="L384" i="5"/>
  <c r="P371" i="5"/>
  <c r="T358" i="5"/>
  <c r="D346" i="5"/>
  <c r="H333" i="5"/>
  <c r="L320" i="5"/>
  <c r="P307" i="5"/>
  <c r="T294" i="5"/>
  <c r="D282" i="5"/>
  <c r="H269" i="5"/>
  <c r="L256" i="5"/>
  <c r="P243" i="5"/>
  <c r="T230" i="5"/>
  <c r="D218" i="5"/>
  <c r="H205" i="5"/>
  <c r="L192" i="5"/>
  <c r="P179" i="5"/>
  <c r="T166" i="5"/>
  <c r="D154" i="5"/>
  <c r="H141" i="5"/>
  <c r="L128" i="5"/>
  <c r="P115" i="5"/>
  <c r="T102" i="5"/>
  <c r="D90" i="5"/>
  <c r="H77" i="5"/>
  <c r="L64" i="5"/>
  <c r="P51" i="5"/>
  <c r="T38" i="5"/>
  <c r="D26" i="5"/>
  <c r="G13" i="5"/>
  <c r="E406" i="3"/>
  <c r="G390" i="3"/>
  <c r="AE374" i="3"/>
  <c r="AG358" i="3"/>
  <c r="B343" i="3"/>
  <c r="I327" i="3"/>
  <c r="AF311" i="3"/>
  <c r="AI295" i="3"/>
  <c r="A280" i="3"/>
  <c r="B264" i="3"/>
  <c r="F248" i="3"/>
  <c r="H232" i="3"/>
  <c r="J216" i="3"/>
  <c r="AE200" i="3"/>
  <c r="B185" i="3"/>
  <c r="E169" i="3"/>
  <c r="I153" i="3"/>
  <c r="AE137" i="3"/>
  <c r="AF121" i="3"/>
  <c r="AI105" i="3"/>
  <c r="B90" i="3"/>
  <c r="D74" i="3"/>
  <c r="G58" i="3"/>
  <c r="I42" i="3"/>
  <c r="AE26" i="3"/>
  <c r="AG16" i="3"/>
  <c r="AG8" i="3"/>
  <c r="E420" i="25"/>
  <c r="D61" i="24"/>
  <c r="D157" i="22"/>
  <c r="G168" i="19"/>
  <c r="B377" i="17"/>
  <c r="B313" i="17"/>
  <c r="B249" i="17"/>
  <c r="B185" i="17"/>
  <c r="B121" i="17"/>
  <c r="B57" i="17"/>
  <c r="A93" i="15"/>
  <c r="C8" i="13"/>
  <c r="F152" i="12"/>
  <c r="C67" i="12"/>
  <c r="G223" i="11"/>
  <c r="D138" i="11"/>
  <c r="A53" i="11"/>
  <c r="E38" i="8"/>
  <c r="E6" i="8"/>
  <c r="G286" i="6"/>
  <c r="G254" i="6"/>
  <c r="G222" i="6"/>
  <c r="G190" i="6"/>
  <c r="G158" i="6"/>
  <c r="G126" i="6"/>
  <c r="G94" i="6"/>
  <c r="G62" i="6"/>
  <c r="G30" i="6"/>
  <c r="D413" i="5"/>
  <c r="H400" i="5"/>
  <c r="L387" i="5"/>
  <c r="P374" i="5"/>
  <c r="T361" i="5"/>
  <c r="D349" i="5"/>
  <c r="H336" i="5"/>
  <c r="L323" i="5"/>
  <c r="P310" i="5"/>
  <c r="T297" i="5"/>
  <c r="D285" i="5"/>
  <c r="H272" i="5"/>
  <c r="L259" i="5"/>
  <c r="P246" i="5"/>
  <c r="T233" i="5"/>
  <c r="D223" i="5"/>
  <c r="P214" i="5"/>
  <c r="T205" i="5"/>
  <c r="T197" i="5"/>
  <c r="L191" i="5"/>
  <c r="D185" i="5"/>
  <c r="P178" i="5"/>
  <c r="H172" i="5"/>
  <c r="T165" i="5"/>
  <c r="L159" i="5"/>
  <c r="D153" i="5"/>
  <c r="P146" i="5"/>
  <c r="H140" i="5"/>
  <c r="T133" i="5"/>
  <c r="L127" i="5"/>
  <c r="D121" i="5"/>
  <c r="P114" i="5"/>
  <c r="H108" i="5"/>
  <c r="T101" i="5"/>
  <c r="L95" i="5"/>
  <c r="D89" i="5"/>
  <c r="P82" i="5"/>
  <c r="H76" i="5"/>
  <c r="T69" i="5"/>
  <c r="L63" i="5"/>
  <c r="D57" i="5"/>
  <c r="P50" i="5"/>
  <c r="H44" i="5"/>
  <c r="T37" i="5"/>
  <c r="L31" i="5"/>
  <c r="D25" i="5"/>
  <c r="P18" i="5"/>
  <c r="G12" i="5"/>
  <c r="AG412" i="3"/>
  <c r="A405" i="3"/>
  <c r="B397" i="3"/>
  <c r="D389" i="3"/>
  <c r="E381" i="3"/>
  <c r="I373" i="3"/>
  <c r="I365" i="3"/>
  <c r="J357" i="3"/>
  <c r="AE349" i="3"/>
  <c r="AH341" i="3"/>
  <c r="B334" i="3"/>
  <c r="E326" i="3"/>
  <c r="G318" i="3"/>
  <c r="H310" i="3"/>
  <c r="J302" i="3"/>
  <c r="AE294" i="3"/>
  <c r="AG286" i="3"/>
  <c r="AG278" i="3"/>
  <c r="AG270" i="3"/>
  <c r="AH262" i="3"/>
  <c r="AJ254" i="3"/>
  <c r="B247" i="3"/>
  <c r="C239" i="3"/>
  <c r="D231" i="3"/>
  <c r="E223" i="3"/>
  <c r="F215" i="3"/>
  <c r="G207" i="3"/>
  <c r="G199" i="3"/>
  <c r="AF191" i="3"/>
  <c r="AH183" i="3"/>
  <c r="AJ175" i="3"/>
  <c r="A168" i="3"/>
  <c r="B160" i="3"/>
  <c r="E152" i="3"/>
  <c r="F144" i="3"/>
  <c r="G136" i="3"/>
  <c r="G128" i="3"/>
  <c r="I120" i="3"/>
  <c r="AD112" i="3"/>
  <c r="AE104" i="3"/>
  <c r="AF96" i="3"/>
  <c r="AH88" i="3"/>
  <c r="AI80" i="3"/>
  <c r="AJ72" i="3"/>
  <c r="A65" i="3"/>
  <c r="D57" i="3"/>
  <c r="D49" i="3"/>
  <c r="E41" i="3"/>
  <c r="F33" i="3"/>
  <c r="G25" i="3"/>
  <c r="C20" i="3"/>
  <c r="C16" i="3"/>
  <c r="C12" i="3"/>
  <c r="C8" i="3"/>
  <c r="E510" i="25"/>
  <c r="H22" i="25"/>
  <c r="B208" i="22"/>
  <c r="G214" i="19"/>
  <c r="G16" i="18"/>
  <c r="J322" i="17"/>
  <c r="J258" i="17"/>
  <c r="J194" i="17"/>
  <c r="J130" i="17"/>
  <c r="J66" i="17"/>
  <c r="A110" i="15"/>
  <c r="B9" i="14"/>
  <c r="F158" i="12"/>
  <c r="C73" i="12"/>
  <c r="D232" i="11"/>
  <c r="A147" i="11"/>
  <c r="G61" i="11"/>
  <c r="A3" i="9"/>
  <c r="G10" i="8"/>
  <c r="A291" i="6"/>
  <c r="A259" i="6"/>
  <c r="A227" i="6"/>
  <c r="A195" i="6"/>
  <c r="A163" i="6"/>
  <c r="A131" i="6"/>
  <c r="A99" i="6"/>
  <c r="A67" i="6"/>
  <c r="A35" i="6"/>
  <c r="A3" i="6"/>
  <c r="N401" i="5"/>
  <c r="R388" i="5"/>
  <c r="B376" i="5"/>
  <c r="F363" i="5"/>
  <c r="J350" i="5"/>
  <c r="N337" i="5"/>
  <c r="R324" i="5"/>
  <c r="B312" i="5"/>
  <c r="F299" i="5"/>
  <c r="J286" i="5"/>
  <c r="N273" i="5"/>
  <c r="R260" i="5"/>
  <c r="B248" i="5"/>
  <c r="F235" i="5"/>
  <c r="J222" i="5"/>
  <c r="N209" i="5"/>
  <c r="R196" i="5"/>
  <c r="B184" i="5"/>
  <c r="F171" i="5"/>
  <c r="J158" i="5"/>
  <c r="N145" i="5"/>
  <c r="R132" i="5"/>
  <c r="B120" i="5"/>
  <c r="F107" i="5"/>
  <c r="J94" i="5"/>
  <c r="N81" i="5"/>
  <c r="R68" i="5"/>
  <c r="B56" i="5"/>
  <c r="F43" i="5"/>
  <c r="J30" i="5"/>
  <c r="N17" i="5"/>
  <c r="AF411" i="3"/>
  <c r="AJ395" i="3"/>
  <c r="D380" i="3"/>
  <c r="G364" i="3"/>
  <c r="AD348" i="3"/>
  <c r="AJ332" i="3"/>
  <c r="E317" i="3"/>
  <c r="I301" i="3"/>
  <c r="AE285" i="3"/>
  <c r="AE269" i="3"/>
  <c r="AH253" i="3"/>
  <c r="A238" i="3"/>
  <c r="C222" i="3"/>
  <c r="E206" i="3"/>
  <c r="J190" i="3"/>
  <c r="AI174" i="3"/>
  <c r="A159" i="3"/>
  <c r="D143" i="3"/>
  <c r="E127" i="3"/>
  <c r="I111" i="3"/>
  <c r="AE95" i="3"/>
  <c r="AG79" i="3"/>
  <c r="AI63" i="3"/>
  <c r="B48" i="3"/>
  <c r="D32" i="3"/>
  <c r="J19" i="3"/>
  <c r="J11" i="3"/>
  <c r="C663" i="25"/>
  <c r="D122" i="25"/>
  <c r="F48" i="23"/>
  <c r="G1" i="20"/>
  <c r="B42" i="19"/>
  <c r="J348" i="17"/>
  <c r="J284" i="17"/>
  <c r="J220" i="17"/>
  <c r="J156" i="17"/>
  <c r="J92" i="17"/>
  <c r="J28" i="17"/>
  <c r="A34" i="15"/>
  <c r="F198" i="12"/>
  <c r="C113" i="12"/>
  <c r="H27" i="12"/>
  <c r="G181" i="11"/>
  <c r="D96" i="11"/>
  <c r="A11" i="11"/>
  <c r="G19" i="8"/>
  <c r="H5" i="7"/>
  <c r="A266" i="6"/>
  <c r="A234" i="6"/>
  <c r="A202" i="6"/>
  <c r="A170" i="6"/>
  <c r="A138" i="6"/>
  <c r="A106" i="6"/>
  <c r="A74" i="6"/>
  <c r="A42" i="6"/>
  <c r="A10" i="6"/>
  <c r="F405" i="5"/>
  <c r="J392" i="5"/>
  <c r="N379" i="5"/>
  <c r="R366" i="5"/>
  <c r="B354" i="5"/>
  <c r="F341" i="5"/>
  <c r="J328" i="5"/>
  <c r="N315" i="5"/>
  <c r="R302" i="5"/>
  <c r="B290" i="5"/>
  <c r="F277" i="5"/>
  <c r="J264" i="5"/>
  <c r="N251" i="5"/>
  <c r="R238" i="5"/>
  <c r="B226" i="5"/>
  <c r="F213" i="5"/>
  <c r="J200" i="5"/>
  <c r="N187" i="5"/>
  <c r="R174" i="5"/>
  <c r="B162" i="5"/>
  <c r="F149" i="5"/>
  <c r="J136" i="5"/>
  <c r="N123" i="5"/>
  <c r="R110" i="5"/>
  <c r="B98" i="5"/>
  <c r="F85" i="5"/>
  <c r="J72" i="5"/>
  <c r="N59" i="5"/>
  <c r="R46" i="5"/>
  <c r="B34" i="5"/>
  <c r="F21" i="5"/>
  <c r="I8" i="5"/>
  <c r="G400" i="3"/>
  <c r="J384" i="3"/>
  <c r="AI368" i="3"/>
  <c r="A353" i="3"/>
  <c r="F337" i="3"/>
  <c r="AG321" i="3"/>
  <c r="AJ305" i="3"/>
  <c r="B290" i="3"/>
  <c r="C274" i="3"/>
  <c r="E258" i="3"/>
  <c r="I242" i="3"/>
  <c r="AE226" i="3"/>
  <c r="AF210" i="3"/>
  <c r="AI194" i="3"/>
  <c r="E179" i="3"/>
  <c r="H163" i="3"/>
  <c r="AF147" i="3"/>
  <c r="AG131" i="3"/>
  <c r="AI115" i="3"/>
  <c r="A100" i="3"/>
  <c r="E84" i="3"/>
  <c r="G68" i="3"/>
  <c r="J52" i="3"/>
  <c r="AF36" i="3"/>
  <c r="E22" i="3"/>
  <c r="AH13" i="3"/>
  <c r="F6" i="3"/>
  <c r="U410" i="2"/>
  <c r="I408" i="2"/>
  <c r="W405" i="2"/>
  <c r="K403" i="2"/>
  <c r="Y400" i="2"/>
  <c r="M398" i="2"/>
  <c r="A396" i="2"/>
  <c r="O393" i="2"/>
  <c r="C391" i="2"/>
  <c r="Q388" i="2"/>
  <c r="E386" i="2"/>
  <c r="S383" i="2"/>
  <c r="G381" i="2"/>
  <c r="U378" i="2"/>
  <c r="I376" i="2"/>
  <c r="W373" i="2"/>
  <c r="K371" i="2"/>
  <c r="Y368" i="2"/>
  <c r="M366" i="2"/>
  <c r="A364" i="2"/>
  <c r="O361" i="2"/>
  <c r="C359" i="2"/>
  <c r="Q356" i="2"/>
  <c r="E354" i="2"/>
  <c r="S351" i="2"/>
  <c r="G349" i="2"/>
  <c r="U346" i="2"/>
  <c r="I344" i="2"/>
  <c r="W341" i="2"/>
  <c r="K339" i="2"/>
  <c r="Y336" i="2"/>
  <c r="M334" i="2"/>
  <c r="A332" i="2"/>
  <c r="O329" i="2"/>
  <c r="C327" i="2"/>
  <c r="Q324" i="2"/>
  <c r="E322" i="2"/>
  <c r="S319" i="2"/>
  <c r="G317" i="2"/>
  <c r="U314" i="2"/>
  <c r="I312" i="2"/>
  <c r="W309" i="2"/>
  <c r="K307" i="2"/>
  <c r="Y304" i="2"/>
  <c r="M302" i="2"/>
  <c r="A300" i="2"/>
  <c r="O297" i="2"/>
  <c r="C295" i="2"/>
  <c r="Q292" i="2"/>
  <c r="E290" i="2"/>
  <c r="S287" i="2"/>
  <c r="G285" i="2"/>
  <c r="U282" i="2"/>
  <c r="I280" i="2"/>
  <c r="W277" i="2"/>
  <c r="K275" i="2"/>
  <c r="Y272" i="2"/>
  <c r="M270" i="2"/>
  <c r="A268" i="2"/>
  <c r="O265" i="2"/>
  <c r="C263" i="2"/>
  <c r="Q260" i="2"/>
  <c r="E258" i="2"/>
  <c r="S255" i="2"/>
  <c r="G253" i="2"/>
  <c r="U250" i="2"/>
  <c r="I248" i="2"/>
  <c r="W245" i="2"/>
  <c r="K243" i="2"/>
  <c r="Y240" i="2"/>
  <c r="M238" i="2"/>
  <c r="A236" i="2"/>
  <c r="O233" i="2"/>
  <c r="C231" i="2"/>
  <c r="Q228" i="2"/>
  <c r="E226" i="2"/>
  <c r="S223" i="2"/>
  <c r="G221" i="2"/>
  <c r="U218" i="2"/>
  <c r="I216" i="2"/>
  <c r="W213" i="2"/>
  <c r="K211" i="2"/>
  <c r="Y208" i="2"/>
  <c r="M206" i="2"/>
  <c r="A204" i="2"/>
  <c r="O201" i="2"/>
  <c r="C199" i="2"/>
  <c r="Q196" i="2"/>
  <c r="E194" i="2"/>
  <c r="S191" i="2"/>
  <c r="G189" i="2"/>
  <c r="U186" i="2"/>
  <c r="I184" i="2"/>
  <c r="W181" i="2"/>
  <c r="K179" i="2"/>
  <c r="Y176" i="2"/>
  <c r="M174" i="2"/>
  <c r="A172" i="2"/>
  <c r="O169" i="2"/>
  <c r="C167" i="2"/>
  <c r="Q164" i="2"/>
  <c r="E162" i="2"/>
  <c r="S159" i="2"/>
  <c r="G157" i="2"/>
  <c r="U154" i="2"/>
  <c r="I152" i="2"/>
  <c r="W149" i="2"/>
  <c r="K147" i="2"/>
  <c r="Y144" i="2"/>
  <c r="M142" i="2"/>
  <c r="A140" i="2"/>
  <c r="O137" i="2"/>
  <c r="C135" i="2"/>
  <c r="Q132" i="2"/>
  <c r="E130" i="2"/>
  <c r="S127" i="2"/>
  <c r="G125" i="2"/>
  <c r="U122" i="2"/>
  <c r="I120" i="2"/>
  <c r="W117" i="2"/>
  <c r="K115" i="2"/>
  <c r="Y112" i="2"/>
  <c r="M110" i="2"/>
  <c r="A108" i="2"/>
  <c r="O105" i="2"/>
  <c r="C103" i="2"/>
  <c r="Q100" i="2"/>
  <c r="E98" i="2"/>
  <c r="S95" i="2"/>
  <c r="G93" i="2"/>
  <c r="U90" i="2"/>
  <c r="I88" i="2"/>
  <c r="W85" i="2"/>
  <c r="K83" i="2"/>
  <c r="Y80" i="2"/>
  <c r="M78" i="2"/>
  <c r="A76" i="2"/>
  <c r="O73" i="2"/>
  <c r="C71" i="2"/>
  <c r="Q68" i="2"/>
  <c r="E66" i="2"/>
  <c r="S63" i="2"/>
  <c r="G61" i="2"/>
  <c r="U58" i="2"/>
  <c r="I56" i="2"/>
  <c r="W53" i="2"/>
  <c r="K51" i="2"/>
  <c r="Y48" i="2"/>
  <c r="M46" i="2"/>
  <c r="A44" i="2"/>
  <c r="O41" i="2"/>
  <c r="C39" i="2"/>
  <c r="Q36" i="2"/>
  <c r="E34" i="2"/>
  <c r="S31" i="2"/>
  <c r="G29" i="2"/>
  <c r="U26" i="2"/>
  <c r="I24" i="2"/>
  <c r="W21" i="2"/>
  <c r="K19" i="2"/>
  <c r="Y16" i="2"/>
  <c r="M14" i="2"/>
  <c r="Z11" i="2"/>
  <c r="N9" i="2"/>
  <c r="B7" i="2"/>
  <c r="A482" i="25"/>
  <c r="D113" i="24"/>
  <c r="B192" i="22"/>
  <c r="G186" i="19"/>
  <c r="G10" i="18"/>
  <c r="J323" i="17"/>
  <c r="J259" i="17"/>
  <c r="J195" i="17"/>
  <c r="J131" i="17"/>
  <c r="J67" i="17"/>
  <c r="A112" i="15"/>
  <c r="B11" i="14"/>
  <c r="L312" i="17"/>
  <c r="F230" i="11"/>
  <c r="F66" i="19"/>
  <c r="B207" i="12"/>
  <c r="F190" i="22"/>
  <c r="F9" i="17"/>
  <c r="D159" i="12"/>
  <c r="C231" i="11"/>
  <c r="E60" i="11"/>
  <c r="G214" i="22"/>
  <c r="F261" i="17"/>
  <c r="D5" i="17"/>
  <c r="G240" i="11"/>
  <c r="D13" i="8"/>
  <c r="B197" i="6"/>
  <c r="B69" i="6"/>
  <c r="C390" i="5"/>
  <c r="S338" i="5"/>
  <c r="O287" i="5"/>
  <c r="K236" i="5"/>
  <c r="G185" i="5"/>
  <c r="C134" i="5"/>
  <c r="S82" i="5"/>
  <c r="O31" i="5"/>
  <c r="J381" i="3"/>
  <c r="AF318" i="3"/>
  <c r="E255" i="3"/>
  <c r="A192" i="3"/>
  <c r="AF128" i="3"/>
  <c r="F65" i="3"/>
  <c r="C99" i="25"/>
  <c r="N336" i="17"/>
  <c r="N80" i="17"/>
  <c r="H100" i="12"/>
  <c r="H1" i="11"/>
  <c r="F93" i="25"/>
  <c r="F95" i="22"/>
  <c r="D207" i="22"/>
  <c r="A260" i="17"/>
  <c r="G113" i="15"/>
  <c r="H161" i="22"/>
  <c r="H208" i="17"/>
  <c r="E189" i="12"/>
  <c r="B152" i="11"/>
  <c r="F118" i="25"/>
  <c r="K338" i="17"/>
  <c r="K82" i="17"/>
  <c r="D102" i="12"/>
  <c r="H2" i="11"/>
  <c r="F135" i="19"/>
  <c r="O178" i="17"/>
  <c r="G230" i="12"/>
  <c r="H131" i="11"/>
  <c r="F368" i="17"/>
  <c r="F141" i="12"/>
  <c r="F250" i="6"/>
  <c r="K411" i="5"/>
  <c r="C309" i="5"/>
  <c r="O206" i="5"/>
  <c r="G104" i="5"/>
  <c r="AJ407" i="3"/>
  <c r="AH281" i="3"/>
  <c r="E155" i="3"/>
  <c r="H28" i="3"/>
  <c r="N187" i="17"/>
  <c r="A144" i="11"/>
  <c r="D224" i="6"/>
  <c r="H74" i="6"/>
  <c r="E392" i="5"/>
  <c r="A341" i="5"/>
  <c r="Q289" i="5"/>
  <c r="M238" i="5"/>
  <c r="I187" i="5"/>
  <c r="E136" i="5"/>
  <c r="A85" i="5"/>
  <c r="Q33" i="5"/>
  <c r="C384" i="3"/>
  <c r="F321" i="3"/>
  <c r="AH257" i="3"/>
  <c r="I194" i="3"/>
  <c r="F131" i="3"/>
  <c r="AJ67" i="3"/>
  <c r="F184" i="23"/>
  <c r="B46" i="17"/>
  <c r="A34" i="8"/>
  <c r="C90" i="6"/>
  <c r="H347" i="5"/>
  <c r="T244" i="5"/>
  <c r="L142" i="5"/>
  <c r="D40" i="5"/>
  <c r="AJ328" i="3"/>
  <c r="C202" i="3"/>
  <c r="AF75" i="3"/>
  <c r="D189" i="22"/>
  <c r="A105" i="15"/>
  <c r="E9" i="8"/>
  <c r="G65" i="6"/>
  <c r="L337" i="5"/>
  <c r="D235" i="5"/>
  <c r="B651" i="25"/>
  <c r="B366" i="25"/>
  <c r="I37" i="25"/>
  <c r="E327" i="17"/>
  <c r="E71" i="17"/>
  <c r="B86" i="24"/>
  <c r="D298" i="17"/>
  <c r="B48" i="15"/>
  <c r="F219" i="11"/>
  <c r="E705" i="25"/>
  <c r="F36" i="19"/>
  <c r="C150" i="17"/>
  <c r="D192" i="12"/>
  <c r="H92" i="11"/>
  <c r="H131" i="22"/>
  <c r="G246" i="17"/>
  <c r="D88" i="15"/>
  <c r="H221" i="11"/>
  <c r="B140" i="22"/>
  <c r="E90" i="15"/>
  <c r="D6" i="8"/>
  <c r="B62" i="6"/>
  <c r="S380" i="5"/>
  <c r="O329" i="5"/>
  <c r="K278" i="5"/>
  <c r="G227" i="5"/>
  <c r="C176" i="5"/>
  <c r="S124" i="5"/>
  <c r="O73" i="5"/>
  <c r="K22" i="5"/>
  <c r="F370" i="3"/>
  <c r="G307" i="3"/>
  <c r="AJ243" i="3"/>
  <c r="AE180" i="3"/>
  <c r="F117" i="3"/>
  <c r="A54" i="3"/>
  <c r="C127" i="23"/>
  <c r="C10" i="18"/>
  <c r="N258" i="17"/>
  <c r="N130" i="17"/>
  <c r="E113" i="15"/>
  <c r="F167" i="12"/>
  <c r="G238" i="11"/>
  <c r="A68" i="11"/>
  <c r="F20" i="8"/>
  <c r="D290" i="6"/>
  <c r="D247" i="6"/>
  <c r="H204" i="6"/>
  <c r="D162" i="6"/>
  <c r="D124" i="6"/>
  <c r="D92" i="6"/>
  <c r="D60" i="6"/>
  <c r="D28" i="6"/>
  <c r="A412" i="5"/>
  <c r="E399" i="5"/>
  <c r="I386" i="5"/>
  <c r="M373" i="5"/>
  <c r="Q360" i="5"/>
  <c r="A348" i="5"/>
  <c r="E335" i="5"/>
  <c r="I322" i="5"/>
  <c r="M309" i="5"/>
  <c r="Q296" i="5"/>
  <c r="A284" i="5"/>
  <c r="E271" i="5"/>
  <c r="I258" i="5"/>
  <c r="M245" i="5"/>
  <c r="Q232" i="5"/>
  <c r="A220" i="5"/>
  <c r="E207" i="5"/>
  <c r="I194" i="5"/>
  <c r="M181" i="5"/>
  <c r="Q168" i="5"/>
  <c r="A156" i="5"/>
  <c r="E143" i="5"/>
  <c r="I130" i="5"/>
  <c r="M117" i="5"/>
  <c r="Q104" i="5"/>
  <c r="A92" i="5"/>
  <c r="E79" i="5"/>
  <c r="I66" i="5"/>
  <c r="M53" i="5"/>
  <c r="Q40" i="5"/>
  <c r="A28" i="5"/>
  <c r="E15" i="5"/>
  <c r="J408" i="3"/>
  <c r="AH392" i="3"/>
  <c r="B377" i="3"/>
  <c r="D361" i="3"/>
  <c r="I345" i="3"/>
  <c r="AI329" i="3"/>
  <c r="B314" i="3"/>
  <c r="F298" i="3"/>
  <c r="H282" i="3"/>
  <c r="I266" i="3"/>
  <c r="AF250" i="3"/>
  <c r="AI234" i="3"/>
  <c r="A219" i="3"/>
  <c r="B203" i="3"/>
  <c r="H187" i="3"/>
  <c r="AF171" i="3"/>
  <c r="AI155" i="3"/>
  <c r="A140" i="3"/>
  <c r="C124" i="3"/>
  <c r="F108" i="3"/>
  <c r="I92" i="3"/>
  <c r="AE76" i="3"/>
  <c r="AG60" i="3"/>
  <c r="AI44" i="3"/>
  <c r="B29" i="3"/>
  <c r="D346" i="25"/>
  <c r="B120" i="22"/>
  <c r="B372" i="17"/>
  <c r="B244" i="17"/>
  <c r="B116" i="17"/>
  <c r="A83" i="15"/>
  <c r="F148" i="12"/>
  <c r="G219" i="11"/>
  <c r="A49" i="11"/>
  <c r="A5" i="8"/>
  <c r="C253" i="6"/>
  <c r="C189" i="6"/>
  <c r="C125" i="6"/>
  <c r="C61" i="6"/>
  <c r="L412" i="5"/>
  <c r="T386" i="5"/>
  <c r="H361" i="5"/>
  <c r="P335" i="5"/>
  <c r="D310" i="5"/>
  <c r="L284" i="5"/>
  <c r="T258" i="5"/>
  <c r="H233" i="5"/>
  <c r="P207" i="5"/>
  <c r="D182" i="5"/>
  <c r="L156" i="5"/>
  <c r="T130" i="5"/>
  <c r="H105" i="5"/>
  <c r="P79" i="5"/>
  <c r="D54" i="5"/>
  <c r="L28" i="5"/>
  <c r="B409" i="3"/>
  <c r="AD377" i="3"/>
  <c r="B346" i="3"/>
  <c r="AE314" i="3"/>
  <c r="A283" i="3"/>
  <c r="E251" i="3"/>
  <c r="J219" i="3"/>
  <c r="A188" i="3"/>
  <c r="H156" i="3"/>
  <c r="AF124" i="3"/>
  <c r="B93" i="3"/>
  <c r="F61" i="3"/>
  <c r="AD29" i="3"/>
  <c r="E10" i="3"/>
  <c r="F40" i="25"/>
  <c r="G216" i="19"/>
  <c r="B325" i="17"/>
  <c r="B197" i="17"/>
  <c r="B69" i="17"/>
  <c r="B16" i="14"/>
  <c r="C83" i="12"/>
  <c r="D154" i="11"/>
  <c r="F6" i="9"/>
  <c r="G292" i="6"/>
  <c r="G228" i="6"/>
  <c r="G164" i="6"/>
  <c r="G100" i="6"/>
  <c r="G36" i="6"/>
  <c r="P402" i="5"/>
  <c r="D377" i="5"/>
  <c r="L351" i="5"/>
  <c r="T325" i="5"/>
  <c r="H300" i="5"/>
  <c r="P274" i="5"/>
  <c r="D249" i="5"/>
  <c r="F2" i="27"/>
  <c r="O13" i="26"/>
  <c r="B588" i="25"/>
  <c r="F752" i="25"/>
  <c r="H148" i="19"/>
  <c r="I165" i="25"/>
  <c r="B1" i="21"/>
  <c r="E345" i="17"/>
  <c r="E217" i="17"/>
  <c r="E89" i="17"/>
  <c r="C28" i="15"/>
  <c r="A107" i="25"/>
  <c r="B257" i="19"/>
  <c r="D322" i="17"/>
  <c r="H151" i="17"/>
  <c r="B84" i="15"/>
  <c r="E123" i="12"/>
  <c r="F237" i="11"/>
  <c r="F109" i="11"/>
  <c r="D41" i="26"/>
  <c r="E160" i="23"/>
  <c r="F94" i="19"/>
  <c r="C296" i="17"/>
  <c r="C168" i="17"/>
  <c r="C40" i="17"/>
  <c r="D216" i="12"/>
  <c r="G45" i="12"/>
  <c r="H116" i="11"/>
  <c r="C536" i="25"/>
  <c r="H227" i="22"/>
  <c r="A5" i="19"/>
  <c r="G264" i="17"/>
  <c r="G136" i="17"/>
  <c r="F8" i="17"/>
  <c r="B174" i="12"/>
  <c r="D3" i="12"/>
  <c r="C75" i="11"/>
  <c r="F92" i="23"/>
  <c r="F283" i="17"/>
  <c r="F27" i="17"/>
  <c r="C28" i="12"/>
  <c r="D24" i="8"/>
  <c r="B208" i="6"/>
  <c r="B80" i="6"/>
  <c r="K394" i="5"/>
  <c r="G343" i="5"/>
  <c r="C292" i="5"/>
  <c r="S240" i="5"/>
  <c r="O189" i="5"/>
  <c r="K138" i="5"/>
  <c r="G87" i="5"/>
  <c r="C36" i="5"/>
  <c r="A387" i="3"/>
  <c r="C324" i="3"/>
  <c r="AE260" i="3"/>
  <c r="E197" i="3"/>
  <c r="D134" i="3"/>
  <c r="AG70" i="3"/>
  <c r="G255" i="25"/>
  <c r="N358" i="17"/>
  <c r="N102" i="17"/>
  <c r="C130" i="12"/>
  <c r="G30" i="11"/>
  <c r="H280" i="6"/>
  <c r="D195" i="6"/>
  <c r="D117" i="6"/>
  <c r="D53" i="6"/>
  <c r="E409" i="5"/>
  <c r="M383" i="5"/>
  <c r="A358" i="5"/>
  <c r="I332" i="5"/>
  <c r="Q306" i="5"/>
  <c r="E281" i="5"/>
  <c r="M255" i="5"/>
  <c r="A230" i="5"/>
  <c r="I204" i="5"/>
  <c r="Q178" i="5"/>
  <c r="E153" i="5"/>
  <c r="M127" i="5"/>
  <c r="A102" i="5"/>
  <c r="I76" i="5"/>
  <c r="Q50" i="5"/>
  <c r="E25" i="5"/>
  <c r="D405" i="3"/>
  <c r="AE373" i="3"/>
  <c r="A342" i="3"/>
  <c r="AE310" i="3"/>
  <c r="AJ278" i="3"/>
  <c r="E247" i="3"/>
  <c r="I215" i="3"/>
  <c r="A184" i="3"/>
  <c r="H152" i="3"/>
  <c r="AE120" i="3"/>
  <c r="A89" i="3"/>
  <c r="G57" i="3"/>
  <c r="J25" i="3"/>
  <c r="G284" i="19"/>
  <c r="B216" i="17"/>
  <c r="A27" i="15"/>
  <c r="D182" i="11"/>
  <c r="B10" i="7"/>
  <c r="C175" i="6"/>
  <c r="C47" i="6"/>
  <c r="H381" i="5"/>
  <c r="D330" i="5"/>
  <c r="T278" i="5"/>
  <c r="P227" i="5"/>
  <c r="L176" i="5"/>
  <c r="H125" i="5"/>
  <c r="D74" i="5"/>
  <c r="T22" i="5"/>
  <c r="AG370" i="3"/>
  <c r="AH307" i="3"/>
  <c r="G244" i="3"/>
  <c r="B181" i="3"/>
  <c r="AG117" i="3"/>
  <c r="H54" i="3"/>
  <c r="A102" i="33"/>
  <c r="G104" i="19"/>
  <c r="B169" i="17"/>
  <c r="F216" i="12"/>
  <c r="A117" i="11"/>
  <c r="G278" i="6"/>
  <c r="G150" i="6"/>
  <c r="G22" i="6"/>
  <c r="L371" i="5"/>
  <c r="H320" i="5"/>
  <c r="P294" i="5"/>
  <c r="D269" i="5"/>
  <c r="L243" i="5"/>
  <c r="D221" i="5"/>
  <c r="T203" i="5"/>
  <c r="T189" i="5"/>
  <c r="D177" i="5"/>
  <c r="H164" i="5"/>
  <c r="L151" i="5"/>
  <c r="P138" i="5"/>
  <c r="T125" i="5"/>
  <c r="D113" i="5"/>
  <c r="H100" i="5"/>
  <c r="L87" i="5"/>
  <c r="P74" i="5"/>
  <c r="T61" i="5"/>
  <c r="D49" i="5"/>
  <c r="H36" i="5"/>
  <c r="L23" i="5"/>
  <c r="O10" i="5"/>
  <c r="A403" i="3"/>
  <c r="D387" i="3"/>
  <c r="I371" i="3"/>
  <c r="J355" i="3"/>
  <c r="AI339" i="3"/>
  <c r="F324" i="3"/>
  <c r="J308" i="3"/>
  <c r="AF292" i="3"/>
  <c r="AG276" i="3"/>
  <c r="AH260" i="3"/>
  <c r="C245" i="3"/>
  <c r="D229" i="3"/>
  <c r="F213" i="3"/>
  <c r="H197" i="3"/>
  <c r="AH181" i="3"/>
  <c r="B166" i="3"/>
  <c r="E150" i="3"/>
  <c r="G134" i="3"/>
  <c r="I118" i="3"/>
  <c r="AE102" i="3"/>
  <c r="AI86" i="3"/>
  <c r="AJ70" i="3"/>
  <c r="D55" i="3"/>
  <c r="F39" i="3"/>
  <c r="AJ23" i="3"/>
  <c r="C15" i="3"/>
  <c r="C7" i="3"/>
  <c r="D9" i="24"/>
  <c r="G150" i="19"/>
  <c r="J306" i="17"/>
  <c r="J178" i="17"/>
  <c r="J50" i="17"/>
  <c r="F222" i="12"/>
  <c r="H51" i="12"/>
  <c r="G125" i="11"/>
  <c r="G34" i="8"/>
  <c r="A283" i="6"/>
  <c r="A219" i="6"/>
  <c r="A155" i="6"/>
  <c r="A91" i="6"/>
  <c r="A27" i="6"/>
  <c r="J398" i="5"/>
  <c r="R372" i="5"/>
  <c r="F347" i="5"/>
  <c r="N321" i="5"/>
  <c r="B296" i="5"/>
  <c r="J270" i="5"/>
  <c r="R244" i="5"/>
  <c r="F219" i="5"/>
  <c r="N193" i="5"/>
  <c r="B168" i="5"/>
  <c r="J142" i="5"/>
  <c r="R116" i="5"/>
  <c r="F91" i="5"/>
  <c r="N65" i="5"/>
  <c r="B40" i="5"/>
  <c r="I14" i="5"/>
  <c r="A392" i="3"/>
  <c r="G360" i="3"/>
  <c r="B329" i="3"/>
  <c r="I297" i="3"/>
  <c r="AF265" i="3"/>
  <c r="B234" i="3"/>
  <c r="E202" i="3"/>
  <c r="AI170" i="3"/>
  <c r="E139" i="3"/>
  <c r="I107" i="3"/>
  <c r="AH75" i="3"/>
  <c r="C44" i="3"/>
  <c r="J17" i="3"/>
  <c r="F491" i="25"/>
  <c r="D197" i="22"/>
  <c r="F5" i="19"/>
  <c r="J268" i="17"/>
  <c r="J140" i="17"/>
  <c r="J12" i="17"/>
  <c r="C177" i="12"/>
  <c r="F6" i="12"/>
  <c r="A75" i="11"/>
  <c r="G11" i="8"/>
  <c r="A258" i="6"/>
  <c r="A194" i="6"/>
  <c r="A130" i="6"/>
  <c r="A66" i="6"/>
  <c r="A2" i="6"/>
  <c r="F389" i="5"/>
  <c r="N363" i="5"/>
  <c r="B338" i="5"/>
  <c r="J312" i="5"/>
  <c r="R286" i="5"/>
  <c r="F261" i="5"/>
  <c r="N235" i="5"/>
  <c r="B210" i="5"/>
  <c r="J184" i="5"/>
  <c r="R158" i="5"/>
  <c r="F133" i="5"/>
  <c r="N107" i="5"/>
  <c r="B82" i="5"/>
  <c r="J56" i="5"/>
  <c r="R30" i="5"/>
  <c r="D412" i="3"/>
  <c r="AE380" i="3"/>
  <c r="B349" i="3"/>
  <c r="AG317" i="3"/>
  <c r="C286" i="3"/>
  <c r="F254" i="3"/>
  <c r="AE222" i="3"/>
  <c r="B191" i="3"/>
  <c r="I159" i="3"/>
  <c r="AG127" i="3"/>
  <c r="C96" i="3"/>
  <c r="G64" i="3"/>
  <c r="AF32" i="3"/>
  <c r="AH11" i="3"/>
  <c r="E410" i="2"/>
  <c r="G405" i="2"/>
  <c r="I400" i="2"/>
  <c r="K395" i="2"/>
  <c r="M390" i="2"/>
  <c r="O385" i="2"/>
  <c r="Q380" i="2"/>
  <c r="S375" i="2"/>
  <c r="U370" i="2"/>
  <c r="W365" i="2"/>
  <c r="Y360" i="2"/>
  <c r="A356" i="2"/>
  <c r="C351" i="2"/>
  <c r="E346" i="2"/>
  <c r="G341" i="2"/>
  <c r="I336" i="2"/>
  <c r="K331" i="2"/>
  <c r="M326" i="2"/>
  <c r="O321" i="2"/>
  <c r="Q316" i="2"/>
  <c r="S311" i="2"/>
  <c r="U306" i="2"/>
  <c r="W301" i="2"/>
  <c r="Y296" i="2"/>
  <c r="A292" i="2"/>
  <c r="C287" i="2"/>
  <c r="E282" i="2"/>
  <c r="G277" i="2"/>
  <c r="I272" i="2"/>
  <c r="K267" i="2"/>
  <c r="M262" i="2"/>
  <c r="O257" i="2"/>
  <c r="Q252" i="2"/>
  <c r="S247" i="2"/>
  <c r="U242" i="2"/>
  <c r="W237" i="2"/>
  <c r="Y232" i="2"/>
  <c r="A228" i="2"/>
  <c r="C223" i="2"/>
  <c r="E218" i="2"/>
  <c r="G213" i="2"/>
  <c r="I208" i="2"/>
  <c r="K203" i="2"/>
  <c r="M198" i="2"/>
  <c r="O193" i="2"/>
  <c r="Q188" i="2"/>
  <c r="S183" i="2"/>
  <c r="U178" i="2"/>
  <c r="W173" i="2"/>
  <c r="Y168" i="2"/>
  <c r="A164" i="2"/>
  <c r="C159" i="2"/>
  <c r="E154" i="2"/>
  <c r="G149" i="2"/>
  <c r="I144" i="2"/>
  <c r="K139" i="2"/>
  <c r="M134" i="2"/>
  <c r="O129" i="2"/>
  <c r="Q124" i="2"/>
  <c r="S119" i="2"/>
  <c r="U114" i="2"/>
  <c r="W109" i="2"/>
  <c r="Y104" i="2"/>
  <c r="A100" i="2"/>
  <c r="C95" i="2"/>
  <c r="E90" i="2"/>
  <c r="G85" i="2"/>
  <c r="I80" i="2"/>
  <c r="K75" i="2"/>
  <c r="M70" i="2"/>
  <c r="O65" i="2"/>
  <c r="Q60" i="2"/>
  <c r="S55" i="2"/>
  <c r="U50" i="2"/>
  <c r="W45" i="2"/>
  <c r="Y40" i="2"/>
  <c r="A36" i="2"/>
  <c r="C31" i="2"/>
  <c r="E26" i="2"/>
  <c r="G21" i="2"/>
  <c r="I16" i="2"/>
  <c r="J11" i="2"/>
  <c r="L6" i="2"/>
  <c r="A214" i="23"/>
  <c r="G122" i="19"/>
  <c r="J307" i="17"/>
  <c r="J179" i="17"/>
  <c r="J51" i="17"/>
  <c r="C229" i="12"/>
  <c r="F122" i="12"/>
  <c r="C37" i="12"/>
  <c r="A191" i="11"/>
  <c r="G105" i="11"/>
  <c r="D20" i="11"/>
  <c r="C25" i="8"/>
  <c r="D11" i="7"/>
  <c r="E271" i="6"/>
  <c r="E239" i="6"/>
  <c r="E207" i="6"/>
  <c r="E175" i="6"/>
  <c r="E143" i="6"/>
  <c r="E111" i="6"/>
  <c r="E79" i="6"/>
  <c r="E47" i="6"/>
  <c r="E15" i="6"/>
  <c r="N406" i="5"/>
  <c r="R393" i="5"/>
  <c r="B381" i="5"/>
  <c r="F368" i="5"/>
  <c r="J355" i="5"/>
  <c r="N342" i="5"/>
  <c r="R329" i="5"/>
  <c r="B317" i="5"/>
  <c r="F304" i="5"/>
  <c r="J291" i="5"/>
  <c r="N278" i="5"/>
  <c r="R265" i="5"/>
  <c r="B253" i="5"/>
  <c r="F240" i="5"/>
  <c r="J227" i="5"/>
  <c r="N214" i="5"/>
  <c r="R201" i="5"/>
  <c r="B189" i="5"/>
  <c r="F176" i="5"/>
  <c r="J163" i="5"/>
  <c r="N150" i="5"/>
  <c r="R137" i="5"/>
  <c r="B125" i="5"/>
  <c r="F112" i="5"/>
  <c r="J99" i="5"/>
  <c r="N86" i="5"/>
  <c r="R73" i="5"/>
  <c r="B61" i="5"/>
  <c r="F48" i="5"/>
  <c r="J35" i="5"/>
  <c r="N22" i="5"/>
  <c r="Q9" i="5"/>
  <c r="C402" i="3"/>
  <c r="F386" i="3"/>
  <c r="AE370" i="3"/>
  <c r="AF354" i="3"/>
  <c r="B339" i="3"/>
  <c r="H323" i="3"/>
  <c r="AF307" i="3"/>
  <c r="AH291" i="3"/>
  <c r="AI275" i="3"/>
  <c r="A260" i="3"/>
  <c r="E244" i="3"/>
  <c r="G228" i="3"/>
  <c r="H212" i="3"/>
  <c r="J196" i="3"/>
  <c r="AJ180" i="3"/>
  <c r="D165" i="3"/>
  <c r="G149" i="3"/>
  <c r="I133" i="3"/>
  <c r="AE117" i="3"/>
  <c r="AG101" i="3"/>
  <c r="A86" i="3"/>
  <c r="C70" i="3"/>
  <c r="F54" i="3"/>
  <c r="H38" i="3"/>
  <c r="G23" i="3"/>
  <c r="AF14" i="3"/>
  <c r="C791" i="25"/>
  <c r="G66" i="19"/>
  <c r="J169" i="17"/>
  <c r="F226" i="12"/>
  <c r="D124" i="11"/>
  <c r="E282" i="6"/>
  <c r="E154" i="6"/>
  <c r="E26" i="6"/>
  <c r="B375" i="5"/>
  <c r="R323" i="5"/>
  <c r="N272" i="5"/>
  <c r="J221" i="5"/>
  <c r="F170" i="5"/>
  <c r="B119" i="5"/>
  <c r="R67" i="5"/>
  <c r="N16" i="5"/>
  <c r="C364" i="3"/>
  <c r="E301" i="3"/>
  <c r="AG237" i="3"/>
  <c r="AE174" i="3"/>
  <c r="E111" i="3"/>
  <c r="AH47" i="3"/>
  <c r="D6" i="3"/>
  <c r="X409" i="2"/>
  <c r="P406" i="2"/>
  <c r="I403" i="2"/>
  <c r="B400" i="2"/>
  <c r="T396" i="2"/>
  <c r="M393" i="2"/>
  <c r="F390" i="2"/>
  <c r="X386" i="2"/>
  <c r="Q383" i="2"/>
  <c r="J380" i="2"/>
  <c r="B377" i="2"/>
  <c r="U373" i="2"/>
  <c r="N370" i="2"/>
  <c r="F367" i="2"/>
  <c r="Y363" i="2"/>
  <c r="R360" i="2"/>
  <c r="J357" i="2"/>
  <c r="C354" i="2"/>
  <c r="V350" i="2"/>
  <c r="N347" i="2"/>
  <c r="G344" i="2"/>
  <c r="Z340" i="2"/>
  <c r="R337" i="2"/>
  <c r="K334" i="2"/>
  <c r="D331" i="2"/>
  <c r="V327" i="2"/>
  <c r="O324" i="2"/>
  <c r="H321" i="2"/>
  <c r="Z317" i="2"/>
  <c r="S314" i="2"/>
  <c r="L311" i="2"/>
  <c r="D308" i="2"/>
  <c r="W304" i="2"/>
  <c r="P301" i="2"/>
  <c r="H298" i="2"/>
  <c r="A295" i="2"/>
  <c r="T291" i="2"/>
  <c r="L288" i="2"/>
  <c r="E285" i="2"/>
  <c r="X281" i="2"/>
  <c r="P278" i="2"/>
  <c r="I275" i="2"/>
  <c r="B272" i="2"/>
  <c r="T268" i="2"/>
  <c r="M265" i="2"/>
  <c r="F262" i="2"/>
  <c r="X258" i="2"/>
  <c r="Q255" i="2"/>
  <c r="J252" i="2"/>
  <c r="B249" i="2"/>
  <c r="U245" i="2"/>
  <c r="N242" i="2"/>
  <c r="F239" i="2"/>
  <c r="Y235" i="2"/>
  <c r="R232" i="2"/>
  <c r="J229" i="2"/>
  <c r="C226" i="2"/>
  <c r="V222" i="2"/>
  <c r="N219" i="2"/>
  <c r="G216" i="2"/>
  <c r="Z212" i="2"/>
  <c r="R209" i="2"/>
  <c r="K206" i="2"/>
  <c r="D203" i="2"/>
  <c r="V199" i="2"/>
  <c r="O196" i="2"/>
  <c r="H193" i="2"/>
  <c r="Z189" i="2"/>
  <c r="S186" i="2"/>
  <c r="L183" i="2"/>
  <c r="D180" i="2"/>
  <c r="W176" i="2"/>
  <c r="P173" i="2"/>
  <c r="H170" i="2"/>
  <c r="A167" i="2"/>
  <c r="T163" i="2"/>
  <c r="L160" i="2"/>
  <c r="E157" i="2"/>
  <c r="X153" i="2"/>
  <c r="P150" i="2"/>
  <c r="I147" i="2"/>
  <c r="B144" i="2"/>
  <c r="T140" i="2"/>
  <c r="M137" i="2"/>
  <c r="F134" i="2"/>
  <c r="X130" i="2"/>
  <c r="Q127" i="2"/>
  <c r="J124" i="2"/>
  <c r="B121" i="2"/>
  <c r="U117" i="2"/>
  <c r="N114" i="2"/>
  <c r="F111" i="2"/>
  <c r="Y107" i="2"/>
  <c r="R104" i="2"/>
  <c r="J101" i="2"/>
  <c r="C98" i="2"/>
  <c r="V94" i="2"/>
  <c r="N91" i="2"/>
  <c r="G88" i="2"/>
  <c r="Z84" i="2"/>
  <c r="R81" i="2"/>
  <c r="K78" i="2"/>
  <c r="D75" i="2"/>
  <c r="V71" i="2"/>
  <c r="O68" i="2"/>
  <c r="H65" i="2"/>
  <c r="Z61" i="2"/>
  <c r="S58" i="2"/>
  <c r="L55" i="2"/>
  <c r="D52" i="2"/>
  <c r="W48" i="2"/>
  <c r="P45" i="2"/>
  <c r="H42" i="2"/>
  <c r="A39" i="2"/>
  <c r="T35" i="2"/>
  <c r="L32" i="2"/>
  <c r="E29" i="2"/>
  <c r="X25" i="2"/>
  <c r="P22" i="2"/>
  <c r="I19" i="2"/>
  <c r="B16" i="2"/>
  <c r="S12" i="2"/>
  <c r="L9" i="2"/>
  <c r="E6" i="2"/>
  <c r="G410" i="2"/>
  <c r="Z406" i="2"/>
  <c r="R403" i="2"/>
  <c r="K400" i="2"/>
  <c r="D397" i="2"/>
  <c r="V393" i="2"/>
  <c r="O390" i="2"/>
  <c r="H387" i="2"/>
  <c r="Z383" i="2"/>
  <c r="S380" i="2"/>
  <c r="L377" i="2"/>
  <c r="D374" i="2"/>
  <c r="W370" i="2"/>
  <c r="P367" i="2"/>
  <c r="H364" i="2"/>
  <c r="A361" i="2"/>
  <c r="T357" i="2"/>
  <c r="L354" i="2"/>
  <c r="E351" i="2"/>
  <c r="X347" i="2"/>
  <c r="P344" i="2"/>
  <c r="I341" i="2"/>
  <c r="B338" i="2"/>
  <c r="T334" i="2"/>
  <c r="M331" i="2"/>
  <c r="F328" i="2"/>
  <c r="X324" i="2"/>
  <c r="Q321" i="2"/>
  <c r="J318" i="2"/>
  <c r="B315" i="2"/>
  <c r="U311" i="2"/>
  <c r="N308" i="2"/>
  <c r="F305" i="2"/>
  <c r="Y301" i="2"/>
  <c r="R298" i="2"/>
  <c r="J295" i="2"/>
  <c r="C292" i="2"/>
  <c r="V288" i="2"/>
  <c r="N285" i="2"/>
  <c r="G282" i="2"/>
  <c r="Z278" i="2"/>
  <c r="R275" i="2"/>
  <c r="K272" i="2"/>
  <c r="D269" i="2"/>
  <c r="V265" i="2"/>
  <c r="O262" i="2"/>
  <c r="H259" i="2"/>
  <c r="Z255" i="2"/>
  <c r="S252" i="2"/>
  <c r="L249" i="2"/>
  <c r="D246" i="2"/>
  <c r="W242" i="2"/>
  <c r="P239" i="2"/>
  <c r="H236" i="2"/>
  <c r="A233" i="2"/>
  <c r="T229" i="2"/>
  <c r="L226" i="2"/>
  <c r="E223" i="2"/>
  <c r="X219" i="2"/>
  <c r="P216" i="2"/>
  <c r="I213" i="2"/>
  <c r="B210" i="2"/>
  <c r="T206" i="2"/>
  <c r="M203" i="2"/>
  <c r="F200" i="2"/>
  <c r="X196" i="2"/>
  <c r="Q193" i="2"/>
  <c r="J190" i="2"/>
  <c r="B187" i="2"/>
  <c r="U183" i="2"/>
  <c r="N180" i="2"/>
  <c r="F177" i="2"/>
  <c r="Y173" i="2"/>
  <c r="R170" i="2"/>
  <c r="J167" i="2"/>
  <c r="C164" i="2"/>
  <c r="V160" i="2"/>
  <c r="N157" i="2"/>
  <c r="G154" i="2"/>
  <c r="Z150" i="2"/>
  <c r="R147" i="2"/>
  <c r="K144" i="2"/>
  <c r="D141" i="2"/>
  <c r="V137" i="2"/>
  <c r="O134" i="2"/>
  <c r="H131" i="2"/>
  <c r="Z127" i="2"/>
  <c r="S124" i="2"/>
  <c r="L121" i="2"/>
  <c r="D118" i="2"/>
  <c r="W114" i="2"/>
  <c r="P111" i="2"/>
  <c r="H108" i="2"/>
  <c r="A105" i="2"/>
  <c r="T101" i="2"/>
  <c r="L98" i="2"/>
  <c r="E95" i="2"/>
  <c r="X91" i="2"/>
  <c r="P88" i="2"/>
  <c r="I85" i="2"/>
  <c r="B82" i="2"/>
  <c r="T78" i="2"/>
  <c r="M75" i="2"/>
  <c r="F72" i="2"/>
  <c r="X68" i="2"/>
  <c r="Q65" i="2"/>
  <c r="J62" i="2"/>
  <c r="B59" i="2"/>
  <c r="U55" i="2"/>
  <c r="N52" i="2"/>
  <c r="F49" i="2"/>
  <c r="Y45" i="2"/>
  <c r="R42" i="2"/>
  <c r="J39" i="2"/>
  <c r="C36" i="2"/>
  <c r="V32" i="2"/>
  <c r="N29" i="2"/>
  <c r="G26" i="2"/>
  <c r="Z22" i="2"/>
  <c r="R19" i="2"/>
  <c r="K16" i="2"/>
  <c r="D13" i="2"/>
  <c r="U9" i="2"/>
  <c r="N6" i="2"/>
  <c r="P410" i="2"/>
  <c r="I407" i="2"/>
  <c r="B404" i="2"/>
  <c r="T400" i="2"/>
  <c r="M397" i="2"/>
  <c r="F394" i="2"/>
  <c r="X390" i="2"/>
  <c r="Q387" i="2"/>
  <c r="J384" i="2"/>
  <c r="B381" i="2"/>
  <c r="U377" i="2"/>
  <c r="N374" i="2"/>
  <c r="F371" i="2"/>
  <c r="Y367" i="2"/>
  <c r="R364" i="2"/>
  <c r="J361" i="2"/>
  <c r="C358" i="2"/>
  <c r="V354" i="2"/>
  <c r="N351" i="2"/>
  <c r="G348" i="2"/>
  <c r="Z344" i="2"/>
  <c r="R341" i="2"/>
  <c r="K338" i="2"/>
  <c r="D335" i="2"/>
  <c r="V331" i="2"/>
  <c r="O328" i="2"/>
  <c r="H325" i="2"/>
  <c r="Z321" i="2"/>
  <c r="S318" i="2"/>
  <c r="L315" i="2"/>
  <c r="D312" i="2"/>
  <c r="W308" i="2"/>
  <c r="P305" i="2"/>
  <c r="H302" i="2"/>
  <c r="A299" i="2"/>
  <c r="T295" i="2"/>
  <c r="L292" i="2"/>
  <c r="E289" i="2"/>
  <c r="X285" i="2"/>
  <c r="P282" i="2"/>
  <c r="I279" i="2"/>
  <c r="B276" i="2"/>
  <c r="T272" i="2"/>
  <c r="M269" i="2"/>
  <c r="F266" i="2"/>
  <c r="X262" i="2"/>
  <c r="Q259" i="2"/>
  <c r="J256" i="2"/>
  <c r="B253" i="2"/>
  <c r="U249" i="2"/>
  <c r="N246" i="2"/>
  <c r="F243" i="2"/>
  <c r="Y239" i="2"/>
  <c r="R236" i="2"/>
  <c r="J233" i="2"/>
  <c r="C230" i="2"/>
  <c r="V226" i="2"/>
  <c r="N223" i="2"/>
  <c r="G220" i="2"/>
  <c r="Z216" i="2"/>
  <c r="R213" i="2"/>
  <c r="K210" i="2"/>
  <c r="D207" i="2"/>
  <c r="V203" i="2"/>
  <c r="O200" i="2"/>
  <c r="H197" i="2"/>
  <c r="Z193" i="2"/>
  <c r="S190" i="2"/>
  <c r="L187" i="2"/>
  <c r="D184" i="2"/>
  <c r="W180" i="2"/>
  <c r="P177" i="2"/>
  <c r="H174" i="2"/>
  <c r="A171" i="2"/>
  <c r="T167" i="2"/>
  <c r="L164" i="2"/>
  <c r="E161" i="2"/>
  <c r="X157" i="2"/>
  <c r="P154" i="2"/>
  <c r="I151" i="2"/>
  <c r="B148" i="2"/>
  <c r="T144" i="2"/>
  <c r="M141" i="2"/>
  <c r="F138" i="2"/>
  <c r="X134" i="2"/>
  <c r="Q131" i="2"/>
  <c r="J128" i="2"/>
  <c r="B125" i="2"/>
  <c r="U121" i="2"/>
  <c r="N118" i="2"/>
  <c r="F115" i="2"/>
  <c r="Y111" i="2"/>
  <c r="R108" i="2"/>
  <c r="J105" i="2"/>
  <c r="C102" i="2"/>
  <c r="V98" i="2"/>
  <c r="N95" i="2"/>
  <c r="G92" i="2"/>
  <c r="Z88" i="2"/>
  <c r="R85" i="2"/>
  <c r="K82" i="2"/>
  <c r="D79" i="2"/>
  <c r="V75" i="2"/>
  <c r="O72" i="2"/>
  <c r="H69" i="2"/>
  <c r="Z65" i="2"/>
  <c r="S62" i="2"/>
  <c r="L59" i="2"/>
  <c r="D56" i="2"/>
  <c r="W52" i="2"/>
  <c r="P49" i="2"/>
  <c r="H46" i="2"/>
  <c r="A43" i="2"/>
  <c r="T39" i="2"/>
  <c r="L36" i="2"/>
  <c r="E33" i="2"/>
  <c r="X29" i="2"/>
  <c r="P26" i="2"/>
  <c r="I23" i="2"/>
  <c r="B20" i="2"/>
  <c r="T16" i="2"/>
  <c r="M13" i="2"/>
  <c r="E10" i="2"/>
  <c r="W6" i="2"/>
  <c r="B224" i="22"/>
  <c r="J253" i="17"/>
  <c r="A92" i="15"/>
  <c r="D236" i="11"/>
  <c r="C10" i="8"/>
  <c r="E204" i="6"/>
  <c r="E76" i="6"/>
  <c r="B395" i="5"/>
  <c r="R343" i="5"/>
  <c r="N292" i="5"/>
  <c r="J241" i="5"/>
  <c r="F190" i="5"/>
  <c r="B139" i="5"/>
  <c r="R87" i="5"/>
  <c r="N36" i="5"/>
  <c r="AH388" i="3"/>
  <c r="AI325" i="3"/>
  <c r="H262" i="3"/>
  <c r="A199" i="3"/>
  <c r="A136" i="3"/>
  <c r="J72" i="3"/>
  <c r="AJ15" i="3"/>
  <c r="B96" i="22"/>
  <c r="J229" i="17"/>
  <c r="A76" i="15"/>
  <c r="D204" i="11"/>
  <c r="D14" i="7"/>
  <c r="E176" i="6"/>
  <c r="E48" i="6"/>
  <c r="N380" i="5"/>
  <c r="J329" i="5"/>
  <c r="F278" i="5"/>
  <c r="B227" i="5"/>
  <c r="R175" i="5"/>
  <c r="N124" i="5"/>
  <c r="J73" i="5"/>
  <c r="F22" i="5"/>
  <c r="C371" i="3"/>
  <c r="D308" i="3"/>
  <c r="AG244" i="3"/>
  <c r="H181" i="3"/>
  <c r="C118" i="3"/>
  <c r="AH54" i="3"/>
  <c r="AF6" i="3"/>
  <c r="D401" i="2"/>
  <c r="T394" i="2"/>
  <c r="U387" i="2"/>
  <c r="L381" i="2"/>
  <c r="W374" i="2"/>
  <c r="H368" i="2"/>
  <c r="T361" i="2"/>
  <c r="J355" i="2"/>
  <c r="V348" i="2"/>
  <c r="F340" i="2"/>
  <c r="Q333" i="2"/>
  <c r="B327" i="2"/>
  <c r="N320" i="2"/>
  <c r="Y313" i="2"/>
  <c r="J307" i="2"/>
  <c r="P300" i="2"/>
  <c r="L294" i="2"/>
  <c r="C288" i="2"/>
  <c r="D281" i="2"/>
  <c r="Z274" i="2"/>
  <c r="K268" i="2"/>
  <c r="V261" i="2"/>
  <c r="R255" i="2"/>
  <c r="I249" i="2"/>
  <c r="T242" i="2"/>
  <c r="T234" i="2"/>
  <c r="Z227" i="2"/>
  <c r="L221" i="2"/>
  <c r="B215" i="2"/>
  <c r="N208" i="2"/>
  <c r="D202" i="2"/>
  <c r="V196" i="2"/>
  <c r="G190" i="2"/>
  <c r="X183" i="2"/>
  <c r="T177" i="2"/>
  <c r="T170" i="2"/>
  <c r="K164" i="2"/>
  <c r="B158" i="2"/>
  <c r="R151" i="2"/>
  <c r="D145" i="2"/>
  <c r="Y137" i="2"/>
  <c r="E131" i="2"/>
  <c r="P124" i="2"/>
  <c r="B118" i="2"/>
  <c r="M111" i="2"/>
  <c r="D105" i="2"/>
  <c r="O98" i="2"/>
  <c r="F92" i="2"/>
  <c r="B86" i="2"/>
  <c r="M79" i="2"/>
  <c r="S72" i="2"/>
  <c r="D66" i="2"/>
  <c r="P59" i="2"/>
  <c r="L53" i="2"/>
  <c r="W46" i="2"/>
  <c r="H40" i="2"/>
  <c r="E35" i="2"/>
  <c r="E27" i="2"/>
  <c r="P20" i="2"/>
  <c r="V13" i="2"/>
  <c r="A7" i="2"/>
  <c r="G226" i="19"/>
  <c r="J193" i="17"/>
  <c r="B1" i="15"/>
  <c r="G177" i="11"/>
  <c r="D12" i="7"/>
  <c r="E182" i="6"/>
  <c r="E54" i="6"/>
  <c r="B383" i="5"/>
  <c r="R331" i="5"/>
  <c r="N280" i="5"/>
  <c r="J229" i="5"/>
  <c r="F178" i="5"/>
  <c r="B127" i="5"/>
  <c r="R75" i="5"/>
  <c r="N24" i="5"/>
  <c r="C370" i="3"/>
  <c r="D307" i="3"/>
  <c r="AG243" i="3"/>
  <c r="H180" i="3"/>
  <c r="C117" i="3"/>
  <c r="AH53" i="3"/>
  <c r="V412" i="2"/>
  <c r="N409" i="2"/>
  <c r="L405" i="2"/>
  <c r="R398" i="2"/>
  <c r="H392" i="2"/>
  <c r="T385" i="2"/>
  <c r="E379" i="2"/>
  <c r="K372" i="2"/>
  <c r="G366" i="2"/>
  <c r="M359" i="2"/>
  <c r="S352" i="2"/>
  <c r="J346" i="2"/>
  <c r="Q341" i="2"/>
  <c r="B335" i="2"/>
  <c r="N328" i="2"/>
  <c r="Y321" i="2"/>
  <c r="J315" i="2"/>
  <c r="V308" i="2"/>
  <c r="L302" i="2"/>
  <c r="M295" i="2"/>
  <c r="S288" i="2"/>
  <c r="O282" i="2"/>
  <c r="P275" i="2"/>
  <c r="A269" i="2"/>
  <c r="L262" i="2"/>
  <c r="M255" i="2"/>
  <c r="S248" i="2"/>
  <c r="J242" i="2"/>
  <c r="A237" i="2"/>
  <c r="R230" i="2"/>
  <c r="C224" i="2"/>
  <c r="I217" i="2"/>
  <c r="T210" i="2"/>
  <c r="P204" i="2"/>
  <c r="F196" i="2"/>
  <c r="V189" i="2"/>
  <c r="R182" i="2"/>
  <c r="X175" i="2"/>
  <c r="T169" i="2"/>
  <c r="Z162" i="2"/>
  <c r="Z155" i="2"/>
  <c r="L149" i="2"/>
  <c r="H143" i="2"/>
  <c r="X136" i="2"/>
  <c r="O130" i="2"/>
  <c r="Z123" i="2"/>
  <c r="L117" i="2"/>
  <c r="W110" i="2"/>
  <c r="C104" i="2"/>
  <c r="N97" i="2"/>
  <c r="T90" i="2"/>
  <c r="P83" i="2"/>
  <c r="F77" i="2"/>
  <c r="R70" i="2"/>
  <c r="H64" i="2"/>
  <c r="N57" i="2"/>
  <c r="T50" i="2"/>
  <c r="F44" i="2"/>
  <c r="F36" i="2"/>
  <c r="W30" i="2"/>
  <c r="N24" i="2"/>
  <c r="Y17" i="2"/>
  <c r="O11" i="2"/>
  <c r="D57" i="2"/>
  <c r="D42" i="2"/>
  <c r="C32" i="2"/>
  <c r="L22" i="2"/>
  <c r="D11" i="2"/>
  <c r="F402" i="25"/>
  <c r="D149" i="23"/>
  <c r="C540" i="25"/>
  <c r="B45" i="25"/>
  <c r="B24" i="25"/>
  <c r="A275" i="19"/>
  <c r="I223" i="25"/>
  <c r="C108" i="22"/>
  <c r="D95" i="19"/>
  <c r="G511" i="25"/>
  <c r="D74" i="24"/>
  <c r="D171" i="22"/>
  <c r="C179" i="19"/>
  <c r="E373" i="17"/>
  <c r="E309" i="17"/>
  <c r="E245" i="17"/>
  <c r="E189" i="17"/>
  <c r="E125" i="17"/>
  <c r="E53" i="17"/>
  <c r="C84" i="15"/>
  <c r="G3" i="34"/>
  <c r="C249" i="25"/>
  <c r="B145" i="23"/>
  <c r="F40" i="22"/>
  <c r="B81" i="19"/>
  <c r="L348" i="17"/>
  <c r="H263" i="17"/>
  <c r="L188" i="17"/>
  <c r="H103" i="17"/>
  <c r="D18" i="17"/>
  <c r="B12" i="15"/>
  <c r="A176" i="12"/>
  <c r="E95" i="12"/>
  <c r="E15" i="12"/>
  <c r="F201" i="11"/>
  <c r="F145" i="11"/>
  <c r="F89" i="11"/>
  <c r="F25" i="11"/>
  <c r="A677" i="25"/>
  <c r="B186" i="25"/>
  <c r="E96" i="23"/>
  <c r="D10" i="21"/>
  <c r="C31" i="19"/>
  <c r="C340" i="17"/>
  <c r="C284" i="17"/>
  <c r="C212" i="17"/>
  <c r="C156" i="17"/>
  <c r="C100" i="17"/>
  <c r="C28" i="17"/>
  <c r="H52" i="15"/>
  <c r="B115" i="12"/>
  <c r="G29" i="12"/>
  <c r="C186" i="11"/>
  <c r="H100" i="11"/>
  <c r="E15" i="11"/>
  <c r="D498" i="25"/>
  <c r="G13" i="25"/>
  <c r="E12" i="23"/>
  <c r="H35" i="22"/>
  <c r="F205" i="19"/>
  <c r="B15" i="18"/>
  <c r="G324" i="17"/>
  <c r="G260" i="17"/>
  <c r="G212" i="17"/>
  <c r="G156" i="17"/>
  <c r="G92" i="17"/>
  <c r="G36" i="17"/>
  <c r="D52" i="15"/>
  <c r="D211" i="12"/>
  <c r="G136" i="12"/>
  <c r="D51" i="12"/>
  <c r="E208" i="11"/>
  <c r="H133" i="11"/>
  <c r="E48" i="11"/>
  <c r="F344" i="25"/>
  <c r="G118" i="22"/>
  <c r="C15" i="18"/>
  <c r="F259" i="17"/>
  <c r="F147" i="17"/>
  <c r="F19" i="17"/>
  <c r="C188" i="12"/>
  <c r="A238" i="11"/>
  <c r="G88" i="11"/>
  <c r="D20" i="8"/>
  <c r="B276" i="6"/>
  <c r="B220" i="6"/>
  <c r="B156" i="6"/>
  <c r="B92" i="6"/>
  <c r="B36" i="6"/>
  <c r="O405" i="5"/>
  <c r="S376" i="5"/>
  <c r="G351" i="5"/>
  <c r="O325" i="5"/>
  <c r="C300" i="5"/>
  <c r="K274" i="5"/>
  <c r="C252" i="5"/>
  <c r="O229" i="5"/>
  <c r="C204" i="5"/>
  <c r="K178" i="5"/>
  <c r="S152" i="5"/>
  <c r="K130" i="5"/>
  <c r="S104" i="5"/>
  <c r="G79" i="5"/>
  <c r="K50" i="5"/>
  <c r="S24" i="5"/>
  <c r="AH404" i="3"/>
  <c r="F373" i="3"/>
  <c r="AE341" i="3"/>
  <c r="D314" i="3"/>
  <c r="J282" i="3"/>
  <c r="AG254" i="3"/>
  <c r="B227" i="3"/>
  <c r="F195" i="3"/>
  <c r="AH171" i="3"/>
  <c r="C140" i="3"/>
  <c r="H108" i="3"/>
  <c r="AG72" i="3"/>
  <c r="B41" i="3"/>
  <c r="H441" i="25"/>
  <c r="G174" i="22"/>
  <c r="B17" i="19"/>
  <c r="N270" i="17"/>
  <c r="N158" i="17"/>
  <c r="N30" i="17"/>
  <c r="H204" i="12"/>
  <c r="F55" i="12"/>
  <c r="G126" i="11"/>
  <c r="E3" i="9"/>
  <c r="B3" i="8"/>
  <c r="H272" i="6"/>
  <c r="D230" i="6"/>
  <c r="D182" i="6"/>
  <c r="H144" i="6"/>
  <c r="D115" i="6"/>
  <c r="D87" i="6"/>
  <c r="D51" i="6"/>
  <c r="D23" i="6"/>
  <c r="A410" i="5"/>
  <c r="Q398" i="5"/>
  <c r="A386" i="5"/>
  <c r="E373" i="5"/>
  <c r="Q358" i="5"/>
  <c r="M347" i="5"/>
  <c r="I336" i="5"/>
  <c r="M323" i="5"/>
  <c r="E309" i="5"/>
  <c r="Q294" i="5"/>
  <c r="M283" i="5"/>
  <c r="Q270" i="5"/>
  <c r="A258" i="5"/>
  <c r="E245" i="5"/>
  <c r="I232" i="5"/>
  <c r="M219" i="5"/>
  <c r="A210" i="5"/>
  <c r="E197" i="5"/>
  <c r="A186" i="5"/>
  <c r="E173" i="5"/>
  <c r="I160" i="5"/>
  <c r="M147" i="5"/>
  <c r="Q134" i="5"/>
  <c r="M123" i="5"/>
  <c r="E109" i="5"/>
  <c r="Q94" i="5"/>
  <c r="M83" i="5"/>
  <c r="E69" i="5"/>
  <c r="Q54" i="5"/>
  <c r="M43" i="5"/>
  <c r="Q30" i="5"/>
  <c r="A18" i="5"/>
  <c r="A410" i="3"/>
  <c r="F392" i="3"/>
  <c r="J376" i="3"/>
  <c r="AF360" i="3"/>
  <c r="A347" i="3"/>
  <c r="F331" i="3"/>
  <c r="J315" i="3"/>
  <c r="AH299" i="3"/>
  <c r="AI287" i="3"/>
  <c r="F242" i="3"/>
  <c r="H226" i="3"/>
  <c r="I212" i="3"/>
  <c r="AD198" i="3"/>
  <c r="A183" i="3"/>
  <c r="D167" i="3"/>
  <c r="H151" i="3"/>
  <c r="J137" i="3"/>
  <c r="AE121" i="3"/>
  <c r="AH103" i="3"/>
  <c r="B88" i="3"/>
  <c r="C72" i="3"/>
  <c r="G54" i="3"/>
  <c r="I40" i="3"/>
  <c r="I32" i="3"/>
  <c r="J24" i="3"/>
  <c r="I448" i="25"/>
  <c r="F24" i="23"/>
  <c r="F20" i="19"/>
  <c r="B288" i="17"/>
  <c r="B176" i="17"/>
  <c r="B48" i="17"/>
  <c r="B10" i="14"/>
  <c r="C79" i="12"/>
  <c r="D150" i="11"/>
  <c r="F4" i="9"/>
  <c r="C291" i="6"/>
  <c r="C227" i="6"/>
  <c r="C163" i="6"/>
  <c r="C107" i="6"/>
  <c r="C59" i="6"/>
  <c r="L408" i="5"/>
  <c r="T382" i="5"/>
  <c r="L360" i="5"/>
  <c r="T334" i="5"/>
  <c r="L312" i="5"/>
  <c r="D290" i="5"/>
  <c r="L264" i="5"/>
  <c r="D242" i="5"/>
  <c r="P219" i="5"/>
  <c r="H197" i="5"/>
  <c r="D178" i="5"/>
  <c r="P155" i="5"/>
  <c r="H133" i="5"/>
  <c r="P107" i="5"/>
  <c r="H85" i="5"/>
  <c r="T62" i="5"/>
  <c r="L40" i="5"/>
  <c r="S14" i="5"/>
  <c r="F396" i="3"/>
  <c r="AG364" i="3"/>
  <c r="H329" i="3"/>
  <c r="AI297" i="3"/>
  <c r="B262" i="3"/>
  <c r="H230" i="3"/>
  <c r="AE198" i="3"/>
  <c r="E171" i="3"/>
  <c r="J143" i="3"/>
  <c r="AG115" i="3"/>
  <c r="C88" i="3"/>
  <c r="F60" i="3"/>
  <c r="J32" i="3"/>
  <c r="AG13" i="3"/>
  <c r="G239" i="25"/>
  <c r="D29" i="22"/>
  <c r="B369" i="17"/>
  <c r="B257" i="17"/>
  <c r="B129" i="17"/>
  <c r="B17" i="17"/>
  <c r="F184" i="12"/>
  <c r="C35" i="12"/>
  <c r="D106" i="11"/>
  <c r="E26" i="8"/>
  <c r="G282" i="6"/>
  <c r="G226" i="6"/>
  <c r="G170" i="6"/>
  <c r="G114" i="6"/>
  <c r="G58" i="6"/>
  <c r="G2" i="6"/>
  <c r="H392" i="5"/>
  <c r="T369" i="5"/>
  <c r="L347" i="5"/>
  <c r="H328" i="5"/>
  <c r="T305" i="5"/>
  <c r="H280" i="5"/>
  <c r="T257" i="5"/>
  <c r="D229" i="5"/>
  <c r="L211" i="5"/>
  <c r="D197" i="5"/>
  <c r="T185" i="5"/>
  <c r="P174" i="5"/>
  <c r="T161" i="5"/>
  <c r="D149" i="5"/>
  <c r="H136" i="5"/>
  <c r="L123" i="5"/>
  <c r="P110" i="5"/>
  <c r="T97" i="5"/>
  <c r="P86" i="5"/>
  <c r="L75" i="5"/>
  <c r="L59" i="5"/>
  <c r="L43" i="5"/>
  <c r="H32" i="5"/>
  <c r="L19" i="5"/>
  <c r="AH411" i="3"/>
  <c r="B396" i="3"/>
  <c r="F380" i="3"/>
  <c r="I366" i="3"/>
  <c r="AE350" i="3"/>
  <c r="AJ336" i="3"/>
  <c r="F323" i="3"/>
  <c r="J307" i="3"/>
  <c r="AE293" i="3"/>
  <c r="AG277" i="3"/>
  <c r="AH261" i="3"/>
  <c r="B248" i="3"/>
  <c r="D232" i="3"/>
  <c r="F218" i="3"/>
  <c r="G202" i="3"/>
  <c r="AG186" i="3"/>
  <c r="A173" i="3"/>
  <c r="C159" i="3"/>
  <c r="F143" i="3"/>
  <c r="G129" i="3"/>
  <c r="J115" i="3"/>
  <c r="AE97" i="3"/>
  <c r="AI81" i="3"/>
  <c r="A66" i="3"/>
  <c r="D52" i="3"/>
  <c r="E23" i="3"/>
  <c r="AE14" i="3"/>
  <c r="C68" i="33"/>
  <c r="A102" i="23"/>
  <c r="G118" i="19"/>
  <c r="J298" i="17"/>
  <c r="J170" i="17"/>
  <c r="J58" i="17"/>
  <c r="C5" i="13"/>
  <c r="C41" i="12"/>
  <c r="G22" i="8"/>
  <c r="H10" i="7"/>
  <c r="A271" i="6"/>
  <c r="A239" i="6"/>
  <c r="A199" i="6"/>
  <c r="A167" i="6"/>
  <c r="A119" i="6"/>
  <c r="A55" i="6"/>
  <c r="R412" i="5"/>
  <c r="J390" i="5"/>
  <c r="R364" i="5"/>
  <c r="F339" i="5"/>
  <c r="N313" i="5"/>
  <c r="F291" i="5"/>
  <c r="N265" i="5"/>
  <c r="F243" i="5"/>
  <c r="N217" i="5"/>
  <c r="B192" i="5"/>
  <c r="J166" i="5"/>
  <c r="B144" i="5"/>
  <c r="N121" i="5"/>
  <c r="F99" i="5"/>
  <c r="R76" i="5"/>
  <c r="B64" i="5"/>
  <c r="R44" i="5"/>
  <c r="J22" i="5"/>
  <c r="AI405" i="3"/>
  <c r="D378" i="3"/>
  <c r="AF346" i="3"/>
  <c r="E315" i="3"/>
  <c r="AE283" i="3"/>
  <c r="AI251" i="3"/>
  <c r="C224" i="3"/>
  <c r="J192" i="3"/>
  <c r="AJ164" i="3"/>
  <c r="E133" i="3"/>
  <c r="I105" i="3"/>
  <c r="AH77" i="3"/>
  <c r="B46" i="3"/>
  <c r="J16" i="3"/>
  <c r="D567" i="25"/>
  <c r="A6" i="23"/>
  <c r="G4" i="18"/>
  <c r="J276" i="17"/>
  <c r="J164" i="17"/>
  <c r="J36" i="17"/>
  <c r="F230" i="12"/>
  <c r="H59" i="12"/>
  <c r="D128" i="11"/>
  <c r="G7" i="8"/>
  <c r="A254" i="6"/>
  <c r="A198" i="6"/>
  <c r="A134" i="6"/>
  <c r="A70" i="6"/>
  <c r="A14" i="6"/>
  <c r="F397" i="5"/>
  <c r="B378" i="5"/>
  <c r="R358" i="5"/>
  <c r="F333" i="5"/>
  <c r="N307" i="5"/>
  <c r="B282" i="5"/>
  <c r="J256" i="5"/>
  <c r="R230" i="5"/>
  <c r="F205" i="5"/>
  <c r="N179" i="5"/>
  <c r="B154" i="5"/>
  <c r="F125" i="5"/>
  <c r="R102" i="5"/>
  <c r="F77" i="5"/>
  <c r="R54" i="5"/>
  <c r="J32" i="5"/>
  <c r="A10" i="5"/>
  <c r="I390" i="3"/>
  <c r="AJ354" i="3"/>
  <c r="AF323" i="3"/>
  <c r="C284" i="3"/>
  <c r="H248" i="3"/>
  <c r="AF216" i="3"/>
  <c r="B189" i="3"/>
  <c r="J157" i="3"/>
  <c r="AH125" i="3"/>
  <c r="A98" i="3"/>
  <c r="G70" i="3"/>
  <c r="AF38" i="3"/>
  <c r="AH16" i="3"/>
  <c r="S411" i="2"/>
  <c r="U406" i="2"/>
  <c r="W401" i="2"/>
  <c r="I396" i="2"/>
  <c r="U390" i="2"/>
  <c r="W385" i="2"/>
  <c r="Y380" i="2"/>
  <c r="K375" i="2"/>
  <c r="M370" i="2"/>
  <c r="E366" i="2"/>
  <c r="W361" i="2"/>
  <c r="O357" i="2"/>
  <c r="Q352" i="2"/>
  <c r="S347" i="2"/>
  <c r="U342" i="2"/>
  <c r="M338" i="2"/>
  <c r="O333" i="2"/>
  <c r="G329" i="2"/>
  <c r="Y324" i="2"/>
  <c r="Q320" i="2"/>
  <c r="S315" i="2"/>
  <c r="K311" i="2"/>
  <c r="M306" i="2"/>
  <c r="E302" i="2"/>
  <c r="W297" i="2"/>
  <c r="O293" i="2"/>
  <c r="G289" i="2"/>
  <c r="Y284" i="2"/>
  <c r="Q280" i="2"/>
  <c r="S275" i="2"/>
  <c r="K271" i="2"/>
  <c r="M266" i="2"/>
  <c r="H28" i="33"/>
  <c r="D424" i="25"/>
  <c r="E424" i="25"/>
  <c r="G64" i="24"/>
  <c r="A60" i="22"/>
  <c r="C634" i="25"/>
  <c r="D335" i="25"/>
  <c r="H107" i="25"/>
  <c r="G34" i="26"/>
  <c r="C263" i="25"/>
  <c r="F155" i="23"/>
  <c r="B51" i="22"/>
  <c r="E89" i="19"/>
  <c r="C349" i="25"/>
  <c r="G220" i="23"/>
  <c r="H116" i="22"/>
  <c r="H182" i="19"/>
  <c r="D97" i="19"/>
  <c r="O34" i="26"/>
  <c r="H518" i="25"/>
  <c r="F256" i="25"/>
  <c r="A29" i="25"/>
  <c r="A152" i="23"/>
  <c r="B218" i="22"/>
  <c r="D47" i="22"/>
  <c r="C214" i="19"/>
  <c r="C86" i="19"/>
  <c r="A1" i="19"/>
  <c r="A358" i="17"/>
  <c r="A326" i="17"/>
  <c r="A294" i="17"/>
  <c r="A262" i="17"/>
  <c r="A230" i="17"/>
  <c r="A198" i="17"/>
  <c r="A166" i="17"/>
  <c r="A134" i="17"/>
  <c r="A102" i="17"/>
  <c r="A70" i="17"/>
  <c r="A38" i="17"/>
  <c r="G117" i="15"/>
  <c r="G53" i="15"/>
  <c r="H19" i="14"/>
  <c r="I813" i="25"/>
  <c r="C440" i="25"/>
  <c r="G197" i="25"/>
  <c r="B76" i="24"/>
  <c r="E106" i="23"/>
  <c r="F172" i="22"/>
  <c r="G8" i="22"/>
  <c r="B180" i="19"/>
  <c r="C56" i="19"/>
  <c r="D2" i="18"/>
  <c r="D339" i="17"/>
  <c r="H296" i="17"/>
  <c r="L253" i="17"/>
  <c r="D211" i="17"/>
  <c r="H168" i="17"/>
  <c r="L125" i="17"/>
  <c r="D83" i="17"/>
  <c r="H40" i="17"/>
  <c r="F109" i="15"/>
  <c r="F45" i="15"/>
  <c r="G11" i="14"/>
  <c r="E193" i="12"/>
  <c r="A136" i="12"/>
  <c r="A104" i="12"/>
  <c r="A72" i="12"/>
  <c r="A40" i="12"/>
  <c r="A8" i="12"/>
  <c r="B218" i="11"/>
  <c r="B186" i="11"/>
  <c r="B154" i="11"/>
  <c r="B122" i="11"/>
  <c r="B90" i="11"/>
  <c r="B58" i="11"/>
  <c r="B26" i="11"/>
  <c r="D9" i="9"/>
  <c r="B684" i="25"/>
  <c r="D360" i="25"/>
  <c r="H132" i="25"/>
  <c r="B5" i="24"/>
  <c r="E56" i="23"/>
  <c r="F122" i="22"/>
  <c r="F272" i="19"/>
  <c r="F144" i="19"/>
  <c r="F32" i="19"/>
  <c r="K372" i="17"/>
  <c r="K340" i="17"/>
  <c r="K308" i="17"/>
  <c r="K276" i="17"/>
  <c r="K244" i="17"/>
  <c r="K212" i="17"/>
  <c r="K180" i="17"/>
  <c r="K148" i="17"/>
  <c r="K116" i="17"/>
  <c r="K84" i="17"/>
  <c r="K52" i="17"/>
  <c r="K20" i="17"/>
  <c r="H85" i="15"/>
  <c r="H21" i="15"/>
  <c r="B2" i="13"/>
  <c r="D190" i="12"/>
  <c r="G147" i="12"/>
  <c r="B105" i="12"/>
  <c r="D62" i="12"/>
  <c r="G19" i="12"/>
  <c r="H218" i="11"/>
  <c r="C176" i="11"/>
  <c r="E133" i="11"/>
  <c r="H90" i="11"/>
  <c r="C48" i="11"/>
  <c r="E5" i="11"/>
  <c r="F680" i="25"/>
  <c r="F358" i="25"/>
  <c r="A131" i="25"/>
  <c r="B3" i="24"/>
  <c r="G57" i="23"/>
  <c r="H123" i="22"/>
  <c r="F271" i="19"/>
  <c r="F143" i="19"/>
  <c r="A32" i="19"/>
  <c r="O372" i="17"/>
  <c r="O340" i="17"/>
  <c r="O308" i="17"/>
  <c r="O276" i="17"/>
  <c r="O244" i="17"/>
  <c r="O212" i="17"/>
  <c r="O180" i="17"/>
  <c r="O148" i="17"/>
  <c r="O116" i="17"/>
  <c r="O84" i="17"/>
  <c r="O52" i="17"/>
  <c r="O20" i="17"/>
  <c r="D85" i="15"/>
  <c r="D21" i="15"/>
  <c r="F2" i="13"/>
  <c r="G190" i="12"/>
  <c r="B148" i="12"/>
  <c r="D105" i="12"/>
  <c r="G62" i="12"/>
  <c r="B20" i="12"/>
  <c r="H219" i="11"/>
  <c r="C177" i="11"/>
  <c r="E134" i="11"/>
  <c r="H91" i="11"/>
  <c r="C49" i="11"/>
  <c r="E6" i="11"/>
  <c r="G351" i="25"/>
  <c r="A1" i="24"/>
  <c r="B124" i="22"/>
  <c r="G143" i="19"/>
  <c r="F372" i="17"/>
  <c r="F308" i="17"/>
  <c r="F244" i="17"/>
  <c r="F180" i="17"/>
  <c r="F116" i="17"/>
  <c r="F52" i="17"/>
  <c r="E84" i="15"/>
  <c r="C1" i="13"/>
  <c r="H146" i="12"/>
  <c r="F61" i="12"/>
  <c r="A218" i="11"/>
  <c r="G132" i="11"/>
  <c r="D47" i="11"/>
  <c r="H36" i="8"/>
  <c r="H4" i="8"/>
  <c r="F284" i="6"/>
  <c r="F252" i="6"/>
  <c r="F220" i="6"/>
  <c r="F188" i="6"/>
  <c r="F156" i="6"/>
  <c r="F124" i="6"/>
  <c r="F92" i="6"/>
  <c r="F60" i="6"/>
  <c r="F28" i="6"/>
  <c r="G412" i="5"/>
  <c r="K399" i="5"/>
  <c r="O386" i="5"/>
  <c r="S373" i="5"/>
  <c r="C361" i="5"/>
  <c r="G348" i="5"/>
  <c r="K335" i="5"/>
  <c r="O322" i="5"/>
  <c r="S309" i="5"/>
  <c r="C297" i="5"/>
  <c r="G284" i="5"/>
  <c r="K271" i="5"/>
  <c r="O258" i="5"/>
  <c r="S245" i="5"/>
  <c r="C233" i="5"/>
  <c r="G220" i="5"/>
  <c r="K207" i="5"/>
  <c r="O194" i="5"/>
  <c r="S181" i="5"/>
  <c r="C169" i="5"/>
  <c r="G156" i="5"/>
  <c r="K143" i="5"/>
  <c r="O130" i="5"/>
  <c r="S117" i="5"/>
  <c r="C105" i="5"/>
  <c r="G92" i="5"/>
  <c r="K79" i="5"/>
  <c r="O66" i="5"/>
  <c r="S53" i="5"/>
  <c r="C41" i="5"/>
  <c r="G28" i="5"/>
  <c r="K15" i="5"/>
  <c r="AI408" i="3"/>
  <c r="D393" i="3"/>
  <c r="H377" i="3"/>
  <c r="J361" i="3"/>
  <c r="AI345" i="3"/>
  <c r="E330" i="3"/>
  <c r="H314" i="3"/>
  <c r="AF298" i="3"/>
  <c r="AH282" i="3"/>
  <c r="AH266" i="3"/>
  <c r="B251" i="3"/>
  <c r="E235" i="3"/>
  <c r="G219" i="3"/>
  <c r="H203" i="3"/>
  <c r="AH187" i="3"/>
  <c r="B172" i="3"/>
  <c r="E156" i="3"/>
  <c r="G140" i="3"/>
  <c r="I124" i="3"/>
  <c r="AF108" i="3"/>
  <c r="AI92" i="3"/>
  <c r="A77" i="3"/>
  <c r="C61" i="3"/>
  <c r="E45" i="3"/>
  <c r="H29" i="3"/>
  <c r="C451" i="25"/>
  <c r="D87" i="24"/>
  <c r="B180" i="22"/>
  <c r="G185" i="19"/>
  <c r="C4" i="18"/>
  <c r="N319" i="17"/>
  <c r="N255" i="17"/>
  <c r="N191" i="17"/>
  <c r="N127" i="17"/>
  <c r="N63" i="17"/>
  <c r="E107" i="15"/>
  <c r="F8" i="14"/>
  <c r="F163" i="12"/>
  <c r="C78" i="12"/>
  <c r="G234" i="11"/>
  <c r="D149" i="11"/>
  <c r="A64" i="11"/>
  <c r="B4" i="9"/>
  <c r="B20" i="8"/>
  <c r="G17" i="7"/>
  <c r="D289" i="6"/>
  <c r="D268" i="6"/>
  <c r="H246" i="6"/>
  <c r="D225" i="6"/>
  <c r="D204" i="6"/>
  <c r="H182" i="6"/>
  <c r="D161" i="6"/>
  <c r="D140" i="6"/>
  <c r="H123" i="6"/>
  <c r="H107" i="6"/>
  <c r="H91" i="6"/>
  <c r="H75" i="6"/>
  <c r="H59" i="6"/>
  <c r="H43" i="6"/>
  <c r="H27" i="6"/>
  <c r="H11" i="6"/>
  <c r="Q411" i="5"/>
  <c r="I405" i="5"/>
  <c r="A399" i="5"/>
  <c r="M392" i="5"/>
  <c r="E386" i="5"/>
  <c r="Q379" i="5"/>
  <c r="I373" i="5"/>
  <c r="A367" i="5"/>
  <c r="M360" i="5"/>
  <c r="E354" i="5"/>
  <c r="Q347" i="5"/>
  <c r="I341" i="5"/>
  <c r="A335" i="5"/>
  <c r="M328" i="5"/>
  <c r="E322" i="5"/>
  <c r="Q315" i="5"/>
  <c r="I309" i="5"/>
  <c r="A303" i="5"/>
  <c r="M296" i="5"/>
  <c r="E290" i="5"/>
  <c r="Q283" i="5"/>
  <c r="I277" i="5"/>
  <c r="A271" i="5"/>
  <c r="M264" i="5"/>
  <c r="E258" i="5"/>
  <c r="Q251" i="5"/>
  <c r="I245" i="5"/>
  <c r="A239" i="5"/>
  <c r="M232" i="5"/>
  <c r="E226" i="5"/>
  <c r="Q219" i="5"/>
  <c r="I213" i="5"/>
  <c r="A207" i="5"/>
  <c r="M200" i="5"/>
  <c r="E194" i="5"/>
  <c r="Q187" i="5"/>
  <c r="I181" i="5"/>
  <c r="A175" i="5"/>
  <c r="M168" i="5"/>
  <c r="E162" i="5"/>
  <c r="Q155" i="5"/>
  <c r="I149" i="5"/>
  <c r="A143" i="5"/>
  <c r="M136" i="5"/>
  <c r="E130" i="5"/>
  <c r="Q123" i="5"/>
  <c r="I117" i="5"/>
  <c r="A111" i="5"/>
  <c r="M104" i="5"/>
  <c r="E98" i="5"/>
  <c r="Q91" i="5"/>
  <c r="I85" i="5"/>
  <c r="A79" i="5"/>
  <c r="M72" i="5"/>
  <c r="E66" i="5"/>
  <c r="Q59" i="5"/>
  <c r="I53" i="5"/>
  <c r="A47" i="5"/>
  <c r="M40" i="5"/>
  <c r="E34" i="5"/>
  <c r="D142" i="17"/>
  <c r="F102" i="11"/>
  <c r="C289" i="17"/>
  <c r="D36" i="12"/>
  <c r="B9" i="18"/>
  <c r="D38" i="15"/>
  <c r="G116" i="12"/>
  <c r="E188" i="11"/>
  <c r="H17" i="11"/>
  <c r="G211" i="19"/>
  <c r="F197" i="17"/>
  <c r="F21" i="14"/>
  <c r="D155" i="11"/>
  <c r="B293" i="6"/>
  <c r="B165" i="6"/>
  <c r="B37" i="6"/>
  <c r="G377" i="5"/>
  <c r="C326" i="5"/>
  <c r="S274" i="5"/>
  <c r="O223" i="5"/>
  <c r="K172" i="5"/>
  <c r="G121" i="5"/>
  <c r="C70" i="5"/>
  <c r="S18" i="5"/>
  <c r="AH365" i="3"/>
  <c r="AI302" i="3"/>
  <c r="H239" i="3"/>
  <c r="E176" i="3"/>
  <c r="AI112" i="3"/>
  <c r="I49" i="3"/>
  <c r="C31" i="23"/>
  <c r="N272" i="17"/>
  <c r="N16" i="17"/>
  <c r="F15" i="12"/>
  <c r="B71" i="33"/>
  <c r="H234" i="25"/>
  <c r="D92" i="19"/>
  <c r="C206" i="19"/>
  <c r="A196" i="17"/>
  <c r="H15" i="14"/>
  <c r="B172" i="19"/>
  <c r="D123" i="17"/>
  <c r="A102" i="12"/>
  <c r="B88" i="11"/>
  <c r="G45" i="23"/>
  <c r="K274" i="17"/>
  <c r="K18" i="17"/>
  <c r="B17" i="12"/>
  <c r="D344" i="25"/>
  <c r="O370" i="17"/>
  <c r="O114" i="17"/>
  <c r="D145" i="12"/>
  <c r="E46" i="11"/>
  <c r="F240" i="17"/>
  <c r="G212" i="11"/>
  <c r="F186" i="6"/>
  <c r="S385" i="5"/>
  <c r="K283" i="5"/>
  <c r="C181" i="5"/>
  <c r="O78" i="5"/>
  <c r="H376" i="3"/>
  <c r="B250" i="3"/>
  <c r="I123" i="3"/>
  <c r="D55" i="24"/>
  <c r="N59" i="17"/>
  <c r="F1" i="9"/>
  <c r="D181" i="6"/>
  <c r="H42" i="6"/>
  <c r="I379" i="5"/>
  <c r="E328" i="5"/>
  <c r="A277" i="5"/>
  <c r="Q225" i="5"/>
  <c r="M174" i="5"/>
  <c r="I123" i="5"/>
  <c r="E72" i="5"/>
  <c r="A21" i="5"/>
  <c r="H368" i="3"/>
  <c r="I305" i="3"/>
  <c r="B242" i="3"/>
  <c r="AH178" i="3"/>
  <c r="I115" i="3"/>
  <c r="C52" i="3"/>
  <c r="G116" i="19"/>
  <c r="H225" i="12"/>
  <c r="C282" i="6"/>
  <c r="C26" i="6"/>
  <c r="P321" i="5"/>
  <c r="H219" i="5"/>
  <c r="T116" i="5"/>
  <c r="K14" i="5"/>
  <c r="G297" i="3"/>
  <c r="AG170" i="3"/>
  <c r="A44" i="3"/>
  <c r="G9" i="18"/>
  <c r="F160" i="12"/>
  <c r="G257" i="6"/>
  <c r="H1" i="6"/>
  <c r="T311" i="5"/>
  <c r="L209" i="5"/>
  <c r="C116" i="25"/>
  <c r="F129" i="22"/>
  <c r="G224" i="22"/>
  <c r="E263" i="17"/>
  <c r="D6" i="17"/>
  <c r="C179" i="22"/>
  <c r="L212" i="17"/>
  <c r="A196" i="12"/>
  <c r="F155" i="11"/>
  <c r="E143" i="25"/>
  <c r="C342" i="17"/>
  <c r="C86" i="17"/>
  <c r="B107" i="12"/>
  <c r="E7" i="11"/>
  <c r="F149" i="19"/>
  <c r="G182" i="17"/>
  <c r="F5" i="13"/>
  <c r="E136" i="11"/>
  <c r="F375" i="17"/>
  <c r="H150" i="12"/>
  <c r="B254" i="6"/>
  <c r="B14" i="6"/>
  <c r="C368" i="5"/>
  <c r="S316" i="5"/>
  <c r="O265" i="5"/>
  <c r="K214" i="5"/>
  <c r="G163" i="5"/>
  <c r="C112" i="5"/>
  <c r="S60" i="5"/>
  <c r="N9" i="5"/>
  <c r="G354" i="3"/>
  <c r="I291" i="3"/>
  <c r="B228" i="3"/>
  <c r="AI164" i="3"/>
  <c r="H101" i="3"/>
  <c r="C38" i="3"/>
  <c r="D26" i="22"/>
  <c r="N354" i="17"/>
  <c r="N226" i="17"/>
  <c r="N98" i="17"/>
  <c r="E49" i="15"/>
  <c r="H124" i="12"/>
  <c r="A196" i="11"/>
  <c r="D25" i="11"/>
  <c r="B10" i="8"/>
  <c r="D279" i="6"/>
  <c r="H236" i="6"/>
  <c r="D194" i="6"/>
  <c r="D151" i="6"/>
  <c r="D116" i="6"/>
  <c r="D84" i="6"/>
  <c r="D52" i="6"/>
  <c r="D20" i="6"/>
  <c r="Q408" i="5"/>
  <c r="A396" i="5"/>
  <c r="E383" i="5"/>
  <c r="I370" i="5"/>
  <c r="M357" i="5"/>
  <c r="Q344" i="5"/>
  <c r="A332" i="5"/>
  <c r="E319" i="5"/>
  <c r="I306" i="5"/>
  <c r="M293" i="5"/>
  <c r="Q280" i="5"/>
  <c r="A268" i="5"/>
  <c r="E255" i="5"/>
  <c r="I242" i="5"/>
  <c r="M229" i="5"/>
  <c r="Q216" i="5"/>
  <c r="A204" i="5"/>
  <c r="E191" i="5"/>
  <c r="I178" i="5"/>
  <c r="M165" i="5"/>
  <c r="Q152" i="5"/>
  <c r="A140" i="5"/>
  <c r="E127" i="5"/>
  <c r="I114" i="5"/>
  <c r="M101" i="5"/>
  <c r="Q88" i="5"/>
  <c r="A76" i="5"/>
  <c r="E63" i="5"/>
  <c r="I50" i="5"/>
  <c r="M37" i="5"/>
  <c r="Q24" i="5"/>
  <c r="T11" i="5"/>
  <c r="AF404" i="3"/>
  <c r="AI388" i="3"/>
  <c r="D373" i="3"/>
  <c r="E357" i="3"/>
  <c r="I341" i="3"/>
  <c r="AJ325" i="3"/>
  <c r="C310" i="3"/>
  <c r="F294" i="3"/>
  <c r="H278" i="3"/>
  <c r="I262" i="3"/>
  <c r="AG246" i="3"/>
  <c r="AI230" i="3"/>
  <c r="A215" i="3"/>
  <c r="B199" i="3"/>
  <c r="I183" i="3"/>
  <c r="AF167" i="3"/>
  <c r="AJ151" i="3"/>
  <c r="B136" i="3"/>
  <c r="D120" i="3"/>
  <c r="F104" i="3"/>
  <c r="J88" i="3"/>
  <c r="AE72" i="3"/>
  <c r="AI56" i="3"/>
  <c r="AJ40" i="3"/>
  <c r="B25" i="3"/>
  <c r="H118" i="25"/>
  <c r="G268" i="19"/>
  <c r="B340" i="17"/>
  <c r="B212" i="17"/>
  <c r="B84" i="17"/>
  <c r="A19" i="15"/>
  <c r="H105" i="12"/>
  <c r="A177" i="11"/>
  <c r="D6" i="11"/>
  <c r="B8" i="7"/>
  <c r="C237" i="6"/>
  <c r="C173" i="6"/>
  <c r="C109" i="6"/>
  <c r="C45" i="6"/>
  <c r="D406" i="5"/>
  <c r="L380" i="5"/>
  <c r="T354" i="5"/>
  <c r="H329" i="5"/>
  <c r="P303" i="5"/>
  <c r="D278" i="5"/>
  <c r="L252" i="5"/>
  <c r="T226" i="5"/>
  <c r="H201" i="5"/>
  <c r="P175" i="5"/>
  <c r="D150" i="5"/>
  <c r="L124" i="5"/>
  <c r="T98" i="5"/>
  <c r="H73" i="5"/>
  <c r="P47" i="5"/>
  <c r="D22" i="5"/>
  <c r="E401" i="3"/>
  <c r="AG369" i="3"/>
  <c r="D338" i="3"/>
  <c r="AH306" i="3"/>
  <c r="A275" i="3"/>
  <c r="G243" i="3"/>
  <c r="J211" i="3"/>
  <c r="B180" i="3"/>
  <c r="J148" i="3"/>
  <c r="AG116" i="3"/>
  <c r="C85" i="3"/>
  <c r="H53" i="3"/>
  <c r="AG22" i="3"/>
  <c r="L37" i="26"/>
  <c r="A158" i="23"/>
  <c r="G88" i="19"/>
  <c r="B293" i="17"/>
  <c r="B165" i="17"/>
  <c r="B37" i="17"/>
  <c r="C211" i="12"/>
  <c r="F40" i="12"/>
  <c r="G111" i="11"/>
  <c r="E28" i="8"/>
  <c r="G276" i="6"/>
  <c r="G212" i="6"/>
  <c r="G148" i="6"/>
  <c r="G84" i="6"/>
  <c r="G20" i="6"/>
  <c r="H396" i="5"/>
  <c r="P370" i="5"/>
  <c r="D345" i="5"/>
  <c r="L319" i="5"/>
  <c r="T293" i="5"/>
  <c r="H268" i="5"/>
  <c r="P242" i="5"/>
  <c r="F713" i="25"/>
  <c r="D502" i="25"/>
  <c r="A81" i="25"/>
  <c r="A167" i="25"/>
  <c r="D63" i="19"/>
  <c r="D42" i="24"/>
  <c r="C163" i="19"/>
  <c r="E313" i="17"/>
  <c r="E185" i="17"/>
  <c r="E57" i="17"/>
  <c r="A9" i="13"/>
  <c r="B209" i="23"/>
  <c r="B129" i="19"/>
  <c r="H279" i="17"/>
  <c r="L108" i="17"/>
  <c r="B20" i="15"/>
  <c r="E91" i="12"/>
  <c r="F205" i="11"/>
  <c r="F77" i="11"/>
  <c r="G538" i="25"/>
  <c r="F226" i="22"/>
  <c r="E5" i="19"/>
  <c r="C264" i="17"/>
  <c r="C136" i="17"/>
  <c r="B8" i="17"/>
  <c r="G173" i="12"/>
  <c r="B3" i="12"/>
  <c r="C74" i="11"/>
  <c r="G269" i="25"/>
  <c r="C57" i="22"/>
  <c r="G360" i="17"/>
  <c r="G232" i="17"/>
  <c r="G104" i="17"/>
  <c r="D60" i="15"/>
  <c r="D131" i="12"/>
  <c r="C203" i="11"/>
  <c r="E32" i="11"/>
  <c r="E1" i="22"/>
  <c r="F219" i="17"/>
  <c r="E34" i="15"/>
  <c r="G184" i="11"/>
  <c r="A11" i="7"/>
  <c r="B176" i="6"/>
  <c r="B48" i="6"/>
  <c r="O381" i="5"/>
  <c r="K330" i="5"/>
  <c r="G279" i="5"/>
  <c r="C228" i="5"/>
  <c r="S176" i="5"/>
  <c r="O125" i="5"/>
  <c r="K74" i="5"/>
  <c r="G23" i="5"/>
  <c r="F371" i="3"/>
  <c r="G308" i="3"/>
  <c r="AJ244" i="3"/>
  <c r="AE181" i="3"/>
  <c r="F118" i="3"/>
  <c r="A55" i="3"/>
  <c r="F148" i="23"/>
  <c r="N294" i="17"/>
  <c r="N38" i="17"/>
  <c r="H44" i="12"/>
  <c r="F32" i="8"/>
  <c r="D259" i="6"/>
  <c r="D174" i="6"/>
  <c r="D101" i="6"/>
  <c r="D37" i="6"/>
  <c r="Q402" i="5"/>
  <c r="E377" i="5"/>
  <c r="M351" i="5"/>
  <c r="A326" i="5"/>
  <c r="I300" i="5"/>
  <c r="Q274" i="5"/>
  <c r="E249" i="5"/>
  <c r="M223" i="5"/>
  <c r="A198" i="5"/>
  <c r="I172" i="5"/>
  <c r="Q146" i="5"/>
  <c r="E121" i="5"/>
  <c r="M95" i="5"/>
  <c r="A70" i="5"/>
  <c r="I44" i="5"/>
  <c r="Q18" i="5"/>
  <c r="E397" i="3"/>
  <c r="AF365" i="3"/>
  <c r="E334" i="3"/>
  <c r="AG302" i="3"/>
  <c r="AJ270" i="3"/>
  <c r="F239" i="3"/>
  <c r="J207" i="3"/>
  <c r="C176" i="3"/>
  <c r="I144" i="3"/>
  <c r="AG112" i="3"/>
  <c r="B81" i="3"/>
  <c r="G49" i="3"/>
  <c r="A713" i="25"/>
  <c r="G40" i="19"/>
  <c r="B152" i="17"/>
  <c r="F196" i="12"/>
  <c r="A97" i="11"/>
  <c r="C271" i="6"/>
  <c r="C143" i="6"/>
  <c r="C15" i="6"/>
  <c r="L368" i="5"/>
  <c r="H317" i="5"/>
  <c r="D266" i="5"/>
  <c r="T214" i="5"/>
  <c r="P163" i="5"/>
  <c r="L112" i="5"/>
  <c r="H61" i="5"/>
  <c r="C10" i="5"/>
  <c r="AH354" i="3"/>
  <c r="AJ291" i="3"/>
  <c r="I228" i="3"/>
  <c r="F165" i="3"/>
  <c r="AI101" i="3"/>
  <c r="J38" i="3"/>
  <c r="F296" i="25"/>
  <c r="B361" i="17"/>
  <c r="B105" i="17"/>
  <c r="C131" i="12"/>
  <c r="G31" i="11"/>
  <c r="G246" i="6"/>
  <c r="G118" i="6"/>
  <c r="T409" i="5"/>
  <c r="P358" i="5"/>
  <c r="T313" i="5"/>
  <c r="H288" i="5"/>
  <c r="P262" i="5"/>
  <c r="D237" i="5"/>
  <c r="P216" i="5"/>
  <c r="L199" i="5"/>
  <c r="P186" i="5"/>
  <c r="T173" i="5"/>
  <c r="D161" i="5"/>
  <c r="H148" i="5"/>
  <c r="L135" i="5"/>
  <c r="P122" i="5"/>
  <c r="T109" i="5"/>
  <c r="D97" i="5"/>
  <c r="H84" i="5"/>
  <c r="L71" i="5"/>
  <c r="P58" i="5"/>
  <c r="T45" i="5"/>
  <c r="D33" i="5"/>
  <c r="H20" i="5"/>
  <c r="K7" i="5"/>
  <c r="B399" i="3"/>
  <c r="D383" i="3"/>
  <c r="I367" i="3"/>
  <c r="AE351" i="3"/>
  <c r="A336" i="3"/>
  <c r="G320" i="3"/>
  <c r="J304" i="3"/>
  <c r="AF288" i="3"/>
  <c r="AG272" i="3"/>
  <c r="AI256" i="3"/>
  <c r="C241" i="3"/>
  <c r="E225" i="3"/>
  <c r="G209" i="3"/>
  <c r="AD193" i="3"/>
  <c r="AJ177" i="3"/>
  <c r="B162" i="3"/>
  <c r="F146" i="3"/>
  <c r="G130" i="3"/>
  <c r="J114" i="3"/>
  <c r="AE98" i="3"/>
  <c r="AI82" i="3"/>
  <c r="A67" i="3"/>
  <c r="D51" i="3"/>
  <c r="F35" i="3"/>
  <c r="F21" i="3"/>
  <c r="C13" i="3"/>
  <c r="G691" i="25"/>
  <c r="C59" i="23"/>
  <c r="G36" i="19"/>
  <c r="J274" i="17"/>
  <c r="J146" i="17"/>
  <c r="J18" i="17"/>
  <c r="H179" i="12"/>
  <c r="C9" i="12"/>
  <c r="A83" i="11"/>
  <c r="G18" i="8"/>
  <c r="A267" i="6"/>
  <c r="A203" i="6"/>
  <c r="A139" i="6"/>
  <c r="A75" i="6"/>
  <c r="A11" i="6"/>
  <c r="B392" i="5"/>
  <c r="J366" i="5"/>
  <c r="R340" i="5"/>
  <c r="F315" i="5"/>
  <c r="N289" i="5"/>
  <c r="B264" i="5"/>
  <c r="J238" i="5"/>
  <c r="R212" i="5"/>
  <c r="F187" i="5"/>
  <c r="N161" i="5"/>
  <c r="B136" i="5"/>
  <c r="J110" i="5"/>
  <c r="R84" i="5"/>
  <c r="F59" i="5"/>
  <c r="N33" i="5"/>
  <c r="A8" i="5"/>
  <c r="B384" i="3"/>
  <c r="I352" i="3"/>
  <c r="E321" i="3"/>
  <c r="J289" i="3"/>
  <c r="AG257" i="3"/>
  <c r="C226" i="3"/>
  <c r="H194" i="3"/>
  <c r="AJ162" i="3"/>
  <c r="E131" i="3"/>
  <c r="I99" i="3"/>
  <c r="AI67" i="3"/>
  <c r="D36" i="3"/>
  <c r="J13" i="3"/>
  <c r="B236" i="25"/>
  <c r="D27" i="22"/>
  <c r="J364" i="17"/>
  <c r="J236" i="17"/>
  <c r="J108" i="17"/>
  <c r="A66" i="15"/>
  <c r="F134" i="12"/>
  <c r="A203" i="11"/>
  <c r="D32" i="11"/>
  <c r="H13" i="7"/>
  <c r="A242" i="6"/>
  <c r="A178" i="6"/>
  <c r="A114" i="6"/>
  <c r="A50" i="6"/>
  <c r="J408" i="5"/>
  <c r="R382" i="5"/>
  <c r="F357" i="5"/>
  <c r="N331" i="5"/>
  <c r="B306" i="5"/>
  <c r="J280" i="5"/>
  <c r="R254" i="5"/>
  <c r="F229" i="5"/>
  <c r="N203" i="5"/>
  <c r="B178" i="5"/>
  <c r="J152" i="5"/>
  <c r="R126" i="5"/>
  <c r="F101" i="5"/>
  <c r="N75" i="5"/>
  <c r="B50" i="5"/>
  <c r="J24" i="5"/>
  <c r="G404" i="3"/>
  <c r="AI372" i="3"/>
  <c r="D341" i="3"/>
  <c r="AH309" i="3"/>
  <c r="C278" i="3"/>
  <c r="H246" i="3"/>
  <c r="AF214" i="3"/>
  <c r="D183" i="3"/>
  <c r="AE151" i="3"/>
  <c r="AI119" i="3"/>
  <c r="E88" i="3"/>
  <c r="J56" i="3"/>
  <c r="AI24" i="3"/>
  <c r="AH7" i="3"/>
  <c r="Y408" i="2"/>
  <c r="A404" i="2"/>
  <c r="C399" i="2"/>
  <c r="E394" i="2"/>
  <c r="G389" i="2"/>
  <c r="I384" i="2"/>
  <c r="K379" i="2"/>
  <c r="M374" i="2"/>
  <c r="O369" i="2"/>
  <c r="Q364" i="2"/>
  <c r="S359" i="2"/>
  <c r="U354" i="2"/>
  <c r="W349" i="2"/>
  <c r="Y344" i="2"/>
  <c r="A340" i="2"/>
  <c r="C335" i="2"/>
  <c r="E330" i="2"/>
  <c r="G325" i="2"/>
  <c r="I320" i="2"/>
  <c r="K315" i="2"/>
  <c r="M310" i="2"/>
  <c r="O305" i="2"/>
  <c r="Q300" i="2"/>
  <c r="S295" i="2"/>
  <c r="U290" i="2"/>
  <c r="W285" i="2"/>
  <c r="Y280" i="2"/>
  <c r="A276" i="2"/>
  <c r="C271" i="2"/>
  <c r="E266" i="2"/>
  <c r="G261" i="2"/>
  <c r="I256" i="2"/>
  <c r="K251" i="2"/>
  <c r="M246" i="2"/>
  <c r="O241" i="2"/>
  <c r="Q236" i="2"/>
  <c r="S231" i="2"/>
  <c r="U226" i="2"/>
  <c r="W221" i="2"/>
  <c r="Y216" i="2"/>
  <c r="A212" i="2"/>
  <c r="C207" i="2"/>
  <c r="E202" i="2"/>
  <c r="G197" i="2"/>
  <c r="I192" i="2"/>
  <c r="K187" i="2"/>
  <c r="M182" i="2"/>
  <c r="O177" i="2"/>
  <c r="Q172" i="2"/>
  <c r="S167" i="2"/>
  <c r="U162" i="2"/>
  <c r="W157" i="2"/>
  <c r="Y152" i="2"/>
  <c r="A148" i="2"/>
  <c r="C143" i="2"/>
  <c r="E138" i="2"/>
  <c r="G133" i="2"/>
  <c r="I128" i="2"/>
  <c r="K123" i="2"/>
  <c r="M118" i="2"/>
  <c r="O113" i="2"/>
  <c r="Q108" i="2"/>
  <c r="S103" i="2"/>
  <c r="U98" i="2"/>
  <c r="W93" i="2"/>
  <c r="Y88" i="2"/>
  <c r="A84" i="2"/>
  <c r="C79" i="2"/>
  <c r="E74" i="2"/>
  <c r="G69" i="2"/>
  <c r="I64" i="2"/>
  <c r="K59" i="2"/>
  <c r="M54" i="2"/>
  <c r="O49" i="2"/>
  <c r="Q44" i="2"/>
  <c r="S39" i="2"/>
  <c r="U34" i="2"/>
  <c r="W29" i="2"/>
  <c r="Y24" i="2"/>
  <c r="A20" i="2"/>
  <c r="C15" i="2"/>
  <c r="D10" i="2"/>
  <c r="A649" i="25"/>
  <c r="C43" i="23"/>
  <c r="F19" i="19"/>
  <c r="J275" i="17"/>
  <c r="J147" i="17"/>
  <c r="J19" i="17"/>
  <c r="F186" i="12"/>
  <c r="C101" i="12"/>
  <c r="H15" i="12"/>
  <c r="G169" i="11"/>
  <c r="D84" i="11"/>
  <c r="E4" i="10"/>
  <c r="C17" i="8"/>
  <c r="D3" i="7"/>
  <c r="E263" i="6"/>
  <c r="E231" i="6"/>
  <c r="E199" i="6"/>
  <c r="E167" i="6"/>
  <c r="E135" i="6"/>
  <c r="E103" i="6"/>
  <c r="E71" i="6"/>
  <c r="E39" i="6"/>
  <c r="E7" i="6"/>
  <c r="J403" i="5"/>
  <c r="N390" i="5"/>
  <c r="R377" i="5"/>
  <c r="B365" i="5"/>
  <c r="F352" i="5"/>
  <c r="J339" i="5"/>
  <c r="N326" i="5"/>
  <c r="R313" i="5"/>
  <c r="B301" i="5"/>
  <c r="F288" i="5"/>
  <c r="J275" i="5"/>
  <c r="N262" i="5"/>
  <c r="R249" i="5"/>
  <c r="B237" i="5"/>
  <c r="F224" i="5"/>
  <c r="J211" i="5"/>
  <c r="N198" i="5"/>
  <c r="R185" i="5"/>
  <c r="B173" i="5"/>
  <c r="F160" i="5"/>
  <c r="J147" i="5"/>
  <c r="N134" i="5"/>
  <c r="R121" i="5"/>
  <c r="B109" i="5"/>
  <c r="F96" i="5"/>
  <c r="J83" i="5"/>
  <c r="N70" i="5"/>
  <c r="R57" i="5"/>
  <c r="B45" i="5"/>
  <c r="F32" i="5"/>
  <c r="J19" i="5"/>
  <c r="M6" i="5"/>
  <c r="D398" i="3"/>
  <c r="G382" i="3"/>
  <c r="AE366" i="3"/>
  <c r="AG350" i="3"/>
  <c r="D335" i="3"/>
  <c r="I319" i="3"/>
  <c r="AF303" i="3"/>
  <c r="AH287" i="3"/>
  <c r="AI271" i="3"/>
  <c r="A256" i="3"/>
  <c r="E240" i="3"/>
  <c r="G224" i="3"/>
  <c r="I208" i="3"/>
  <c r="AG192" i="3"/>
  <c r="B177" i="3"/>
  <c r="D161" i="3"/>
  <c r="H145" i="3"/>
  <c r="I129" i="3"/>
  <c r="AF113" i="3"/>
  <c r="AG97" i="3"/>
  <c r="A82" i="3"/>
  <c r="C66" i="3"/>
  <c r="F50" i="3"/>
  <c r="H34" i="3"/>
  <c r="AG20" i="3"/>
  <c r="AF12" i="3"/>
  <c r="D186" i="25"/>
  <c r="J361" i="17"/>
  <c r="J105" i="17"/>
  <c r="C141" i="12"/>
  <c r="A39" i="11"/>
  <c r="E250" i="6"/>
  <c r="E122" i="6"/>
  <c r="J413" i="5"/>
  <c r="F362" i="5"/>
  <c r="B311" i="5"/>
  <c r="R259" i="5"/>
  <c r="N208" i="5"/>
  <c r="J157" i="5"/>
  <c r="F106" i="5"/>
  <c r="B55" i="5"/>
  <c r="H411" i="3"/>
  <c r="G348" i="3"/>
  <c r="G285" i="3"/>
  <c r="AI221" i="3"/>
  <c r="AG158" i="3"/>
  <c r="H95" i="3"/>
  <c r="AJ31" i="3"/>
  <c r="J412" i="2"/>
  <c r="B409" i="2"/>
  <c r="U405" i="2"/>
  <c r="N402" i="2"/>
  <c r="F399" i="2"/>
  <c r="Y395" i="2"/>
  <c r="R392" i="2"/>
  <c r="J389" i="2"/>
  <c r="C386" i="2"/>
  <c r="V382" i="2"/>
  <c r="N379" i="2"/>
  <c r="G376" i="2"/>
  <c r="Z372" i="2"/>
  <c r="R369" i="2"/>
  <c r="K366" i="2"/>
  <c r="D363" i="2"/>
  <c r="V359" i="2"/>
  <c r="O356" i="2"/>
  <c r="H353" i="2"/>
  <c r="Z349" i="2"/>
  <c r="S346" i="2"/>
  <c r="L343" i="2"/>
  <c r="D340" i="2"/>
  <c r="W336" i="2"/>
  <c r="P333" i="2"/>
  <c r="H330" i="2"/>
  <c r="A327" i="2"/>
  <c r="T323" i="2"/>
  <c r="L320" i="2"/>
  <c r="E317" i="2"/>
  <c r="X313" i="2"/>
  <c r="P310" i="2"/>
  <c r="I307" i="2"/>
  <c r="B304" i="2"/>
  <c r="T300" i="2"/>
  <c r="M297" i="2"/>
  <c r="F294" i="2"/>
  <c r="X290" i="2"/>
  <c r="Q287" i="2"/>
  <c r="J284" i="2"/>
  <c r="B281" i="2"/>
  <c r="U277" i="2"/>
  <c r="N274" i="2"/>
  <c r="F271" i="2"/>
  <c r="Y267" i="2"/>
  <c r="R264" i="2"/>
  <c r="J261" i="2"/>
  <c r="C258" i="2"/>
  <c r="V254" i="2"/>
  <c r="N251" i="2"/>
  <c r="G248" i="2"/>
  <c r="Z244" i="2"/>
  <c r="R241" i="2"/>
  <c r="K238" i="2"/>
  <c r="D235" i="2"/>
  <c r="V231" i="2"/>
  <c r="O228" i="2"/>
  <c r="H225" i="2"/>
  <c r="Z221" i="2"/>
  <c r="S218" i="2"/>
  <c r="L215" i="2"/>
  <c r="D212" i="2"/>
  <c r="W208" i="2"/>
  <c r="P205" i="2"/>
  <c r="H202" i="2"/>
  <c r="A199" i="2"/>
  <c r="T195" i="2"/>
  <c r="L192" i="2"/>
  <c r="E189" i="2"/>
  <c r="X185" i="2"/>
  <c r="P182" i="2"/>
  <c r="I179" i="2"/>
  <c r="B176" i="2"/>
  <c r="T172" i="2"/>
  <c r="M169" i="2"/>
  <c r="F166" i="2"/>
  <c r="X162" i="2"/>
  <c r="Q159" i="2"/>
  <c r="J156" i="2"/>
  <c r="B153" i="2"/>
  <c r="U149" i="2"/>
  <c r="N146" i="2"/>
  <c r="F143" i="2"/>
  <c r="Y139" i="2"/>
  <c r="R136" i="2"/>
  <c r="J133" i="2"/>
  <c r="C130" i="2"/>
  <c r="V126" i="2"/>
  <c r="N123" i="2"/>
  <c r="G120" i="2"/>
  <c r="Z116" i="2"/>
  <c r="R113" i="2"/>
  <c r="K110" i="2"/>
  <c r="D107" i="2"/>
  <c r="V103" i="2"/>
  <c r="O100" i="2"/>
  <c r="H97" i="2"/>
  <c r="Z93" i="2"/>
  <c r="S90" i="2"/>
  <c r="L87" i="2"/>
  <c r="D84" i="2"/>
  <c r="W80" i="2"/>
  <c r="P77" i="2"/>
  <c r="H74" i="2"/>
  <c r="A71" i="2"/>
  <c r="T67" i="2"/>
  <c r="L64" i="2"/>
  <c r="E61" i="2"/>
  <c r="X57" i="2"/>
  <c r="P54" i="2"/>
  <c r="I51" i="2"/>
  <c r="B48" i="2"/>
  <c r="T44" i="2"/>
  <c r="M41" i="2"/>
  <c r="F38" i="2"/>
  <c r="X34" i="2"/>
  <c r="Q31" i="2"/>
  <c r="J28" i="2"/>
  <c r="B25" i="2"/>
  <c r="U21" i="2"/>
  <c r="N18" i="2"/>
  <c r="F15" i="2"/>
  <c r="X11" i="2"/>
  <c r="Q8" i="2"/>
  <c r="S412" i="2"/>
  <c r="L409" i="2"/>
  <c r="D406" i="2"/>
  <c r="W402" i="2"/>
  <c r="P399" i="2"/>
  <c r="H396" i="2"/>
  <c r="A393" i="2"/>
  <c r="T389" i="2"/>
  <c r="L386" i="2"/>
  <c r="E383" i="2"/>
  <c r="X379" i="2"/>
  <c r="P376" i="2"/>
  <c r="I373" i="2"/>
  <c r="B370" i="2"/>
  <c r="T366" i="2"/>
  <c r="M363" i="2"/>
  <c r="F360" i="2"/>
  <c r="X356" i="2"/>
  <c r="Q353" i="2"/>
  <c r="J350" i="2"/>
  <c r="B347" i="2"/>
  <c r="U343" i="2"/>
  <c r="N340" i="2"/>
  <c r="F337" i="2"/>
  <c r="Y333" i="2"/>
  <c r="R330" i="2"/>
  <c r="J327" i="2"/>
  <c r="C324" i="2"/>
  <c r="V320" i="2"/>
  <c r="N317" i="2"/>
  <c r="G314" i="2"/>
  <c r="Z310" i="2"/>
  <c r="R307" i="2"/>
  <c r="K304" i="2"/>
  <c r="D301" i="2"/>
  <c r="V297" i="2"/>
  <c r="O294" i="2"/>
  <c r="H291" i="2"/>
  <c r="Z287" i="2"/>
  <c r="S284" i="2"/>
  <c r="L281" i="2"/>
  <c r="D278" i="2"/>
  <c r="W274" i="2"/>
  <c r="P271" i="2"/>
  <c r="H268" i="2"/>
  <c r="A265" i="2"/>
  <c r="T261" i="2"/>
  <c r="L258" i="2"/>
  <c r="E255" i="2"/>
  <c r="X251" i="2"/>
  <c r="P248" i="2"/>
  <c r="I245" i="2"/>
  <c r="B242" i="2"/>
  <c r="T238" i="2"/>
  <c r="M235" i="2"/>
  <c r="F232" i="2"/>
  <c r="X228" i="2"/>
  <c r="Q225" i="2"/>
  <c r="J222" i="2"/>
  <c r="B219" i="2"/>
  <c r="U215" i="2"/>
  <c r="N212" i="2"/>
  <c r="F209" i="2"/>
  <c r="Y205" i="2"/>
  <c r="R202" i="2"/>
  <c r="J199" i="2"/>
  <c r="C196" i="2"/>
  <c r="V192" i="2"/>
  <c r="N189" i="2"/>
  <c r="G186" i="2"/>
  <c r="Z182" i="2"/>
  <c r="R179" i="2"/>
  <c r="K176" i="2"/>
  <c r="D173" i="2"/>
  <c r="V169" i="2"/>
  <c r="O166" i="2"/>
  <c r="H163" i="2"/>
  <c r="Z159" i="2"/>
  <c r="S156" i="2"/>
  <c r="L153" i="2"/>
  <c r="D150" i="2"/>
  <c r="W146" i="2"/>
  <c r="P143" i="2"/>
  <c r="H140" i="2"/>
  <c r="A137" i="2"/>
  <c r="T133" i="2"/>
  <c r="L130" i="2"/>
  <c r="E127" i="2"/>
  <c r="X123" i="2"/>
  <c r="P120" i="2"/>
  <c r="I117" i="2"/>
  <c r="B114" i="2"/>
  <c r="T110" i="2"/>
  <c r="M107" i="2"/>
  <c r="F104" i="2"/>
  <c r="X100" i="2"/>
  <c r="Q97" i="2"/>
  <c r="J94" i="2"/>
  <c r="B91" i="2"/>
  <c r="U87" i="2"/>
  <c r="N84" i="2"/>
  <c r="F81" i="2"/>
  <c r="Y77" i="2"/>
  <c r="R74" i="2"/>
  <c r="J71" i="2"/>
  <c r="C68" i="2"/>
  <c r="V64" i="2"/>
  <c r="N61" i="2"/>
  <c r="G58" i="2"/>
  <c r="Z54" i="2"/>
  <c r="R51" i="2"/>
  <c r="K48" i="2"/>
  <c r="D45" i="2"/>
  <c r="V41" i="2"/>
  <c r="O38" i="2"/>
  <c r="H35" i="2"/>
  <c r="Z31" i="2"/>
  <c r="S28" i="2"/>
  <c r="L25" i="2"/>
  <c r="D22" i="2"/>
  <c r="W18" i="2"/>
  <c r="P15" i="2"/>
  <c r="G12" i="2"/>
  <c r="Z8" i="2"/>
  <c r="A6" i="3"/>
  <c r="U409" i="2"/>
  <c r="N406" i="2"/>
  <c r="F403" i="2"/>
  <c r="Y399" i="2"/>
  <c r="R396" i="2"/>
  <c r="J393" i="2"/>
  <c r="C390" i="2"/>
  <c r="V386" i="2"/>
  <c r="N383" i="2"/>
  <c r="G380" i="2"/>
  <c r="Z376" i="2"/>
  <c r="R373" i="2"/>
  <c r="K370" i="2"/>
  <c r="D367" i="2"/>
  <c r="V363" i="2"/>
  <c r="O360" i="2"/>
  <c r="H357" i="2"/>
  <c r="Z353" i="2"/>
  <c r="S350" i="2"/>
  <c r="L347" i="2"/>
  <c r="D344" i="2"/>
  <c r="W340" i="2"/>
  <c r="P337" i="2"/>
  <c r="H334" i="2"/>
  <c r="A331" i="2"/>
  <c r="T327" i="2"/>
  <c r="L324" i="2"/>
  <c r="E321" i="2"/>
  <c r="X317" i="2"/>
  <c r="P314" i="2"/>
  <c r="I311" i="2"/>
  <c r="B308" i="2"/>
  <c r="T304" i="2"/>
  <c r="M301" i="2"/>
  <c r="F298" i="2"/>
  <c r="X294" i="2"/>
  <c r="Q291" i="2"/>
  <c r="J288" i="2"/>
  <c r="B285" i="2"/>
  <c r="U281" i="2"/>
  <c r="N278" i="2"/>
  <c r="F275" i="2"/>
  <c r="Y271" i="2"/>
  <c r="R268" i="2"/>
  <c r="J265" i="2"/>
  <c r="C262" i="2"/>
  <c r="V258" i="2"/>
  <c r="N255" i="2"/>
  <c r="G252" i="2"/>
  <c r="Z248" i="2"/>
  <c r="R245" i="2"/>
  <c r="K242" i="2"/>
  <c r="D239" i="2"/>
  <c r="V235" i="2"/>
  <c r="O232" i="2"/>
  <c r="H229" i="2"/>
  <c r="Z225" i="2"/>
  <c r="S222" i="2"/>
  <c r="L219" i="2"/>
  <c r="D216" i="2"/>
  <c r="W212" i="2"/>
  <c r="P209" i="2"/>
  <c r="H206" i="2"/>
  <c r="A203" i="2"/>
  <c r="T199" i="2"/>
  <c r="L196" i="2"/>
  <c r="E193" i="2"/>
  <c r="X189" i="2"/>
  <c r="P186" i="2"/>
  <c r="I183" i="2"/>
  <c r="B180" i="2"/>
  <c r="T176" i="2"/>
  <c r="M173" i="2"/>
  <c r="F170" i="2"/>
  <c r="X166" i="2"/>
  <c r="Q163" i="2"/>
  <c r="J160" i="2"/>
  <c r="B157" i="2"/>
  <c r="U153" i="2"/>
  <c r="N150" i="2"/>
  <c r="F147" i="2"/>
  <c r="Y143" i="2"/>
  <c r="R140" i="2"/>
  <c r="J137" i="2"/>
  <c r="C134" i="2"/>
  <c r="V130" i="2"/>
  <c r="N127" i="2"/>
  <c r="G124" i="2"/>
  <c r="Z120" i="2"/>
  <c r="R117" i="2"/>
  <c r="K114" i="2"/>
  <c r="D111" i="2"/>
  <c r="V107" i="2"/>
  <c r="O104" i="2"/>
  <c r="H101" i="2"/>
  <c r="Z97" i="2"/>
  <c r="S94" i="2"/>
  <c r="L91" i="2"/>
  <c r="D88" i="2"/>
  <c r="W84" i="2"/>
  <c r="P81" i="2"/>
  <c r="H78" i="2"/>
  <c r="A75" i="2"/>
  <c r="T71" i="2"/>
  <c r="L68" i="2"/>
  <c r="E65" i="2"/>
  <c r="X61" i="2"/>
  <c r="P58" i="2"/>
  <c r="I55" i="2"/>
  <c r="B52" i="2"/>
  <c r="T48" i="2"/>
  <c r="M45" i="2"/>
  <c r="F42" i="2"/>
  <c r="X38" i="2"/>
  <c r="Q35" i="2"/>
  <c r="J32" i="2"/>
  <c r="B29" i="2"/>
  <c r="U25" i="2"/>
  <c r="N22" i="2"/>
  <c r="F19" i="2"/>
  <c r="Y15" i="2"/>
  <c r="Q12" i="2"/>
  <c r="I9" i="2"/>
  <c r="B6" i="2"/>
  <c r="G210" i="19"/>
  <c r="J189" i="17"/>
  <c r="C3" i="13"/>
  <c r="A151" i="11"/>
  <c r="D2" i="7"/>
  <c r="E172" i="6"/>
  <c r="E44" i="6"/>
  <c r="F382" i="5"/>
  <c r="B331" i="5"/>
  <c r="R279" i="5"/>
  <c r="N228" i="5"/>
  <c r="J177" i="5"/>
  <c r="F126" i="5"/>
  <c r="B75" i="5"/>
  <c r="R23" i="5"/>
  <c r="C373" i="3"/>
  <c r="B310" i="3"/>
  <c r="AF246" i="3"/>
  <c r="H183" i="3"/>
  <c r="C120" i="3"/>
  <c r="AH56" i="3"/>
  <c r="AJ7" i="3"/>
  <c r="G114" i="19"/>
  <c r="J165" i="17"/>
  <c r="C221" i="12"/>
  <c r="A119" i="11"/>
  <c r="E272" i="6"/>
  <c r="E144" i="6"/>
  <c r="E16" i="6"/>
  <c r="R367" i="5"/>
  <c r="N316" i="5"/>
  <c r="J265" i="5"/>
  <c r="F214" i="5"/>
  <c r="B163" i="5"/>
  <c r="R111" i="5"/>
  <c r="N60" i="5"/>
  <c r="I9" i="5"/>
  <c r="D355" i="3"/>
  <c r="F292" i="3"/>
  <c r="AH228" i="3"/>
  <c r="AF165" i="3"/>
  <c r="E102" i="3"/>
  <c r="AJ38" i="3"/>
  <c r="B406" i="2"/>
  <c r="R399" i="2"/>
  <c r="X392" i="2"/>
  <c r="J386" i="2"/>
  <c r="U379" i="2"/>
  <c r="L373" i="2"/>
  <c r="R366" i="2"/>
  <c r="C360" i="2"/>
  <c r="T353" i="2"/>
  <c r="E347" i="2"/>
  <c r="O338" i="2"/>
  <c r="Z331" i="2"/>
  <c r="L325" i="2"/>
  <c r="R318" i="2"/>
  <c r="N312" i="2"/>
  <c r="N305" i="2"/>
  <c r="Z298" i="2"/>
  <c r="V292" i="2"/>
  <c r="G286" i="2"/>
  <c r="R279" i="2"/>
  <c r="I273" i="2"/>
  <c r="T266" i="2"/>
  <c r="F260" i="2"/>
  <c r="B254" i="2"/>
  <c r="X247" i="2"/>
  <c r="X239" i="2"/>
  <c r="I233" i="2"/>
  <c r="J226" i="2"/>
  <c r="Z219" i="2"/>
  <c r="L213" i="2"/>
  <c r="L206" i="2"/>
  <c r="I201" i="2"/>
  <c r="E195" i="2"/>
  <c r="P188" i="2"/>
  <c r="L182" i="2"/>
  <c r="C176" i="2"/>
  <c r="D169" i="2"/>
  <c r="T162" i="2"/>
  <c r="P156" i="2"/>
  <c r="B150" i="2"/>
  <c r="B143" i="2"/>
  <c r="C136" i="2"/>
  <c r="N129" i="2"/>
  <c r="Z122" i="2"/>
  <c r="K116" i="2"/>
  <c r="V109" i="2"/>
  <c r="M103" i="2"/>
  <c r="X96" i="2"/>
  <c r="O90" i="2"/>
  <c r="P84" i="2"/>
  <c r="V77" i="2"/>
  <c r="H71" i="2"/>
  <c r="N64" i="2"/>
  <c r="Y57" i="2"/>
  <c r="U51" i="2"/>
  <c r="F45" i="2"/>
  <c r="M39" i="2"/>
  <c r="H32" i="2"/>
  <c r="N25" i="2"/>
  <c r="Z18" i="2"/>
  <c r="E12" i="2"/>
  <c r="E677" i="25"/>
  <c r="F7" i="19"/>
  <c r="J129" i="17"/>
  <c r="C173" i="12"/>
  <c r="D92" i="11"/>
  <c r="E278" i="6"/>
  <c r="E150" i="6"/>
  <c r="E22" i="6"/>
  <c r="F370" i="5"/>
  <c r="B319" i="5"/>
  <c r="R267" i="5"/>
  <c r="N216" i="5"/>
  <c r="J165" i="5"/>
  <c r="F114" i="5"/>
  <c r="B63" i="5"/>
  <c r="Q11" i="5"/>
  <c r="D354" i="3"/>
  <c r="F291" i="3"/>
  <c r="AI227" i="3"/>
  <c r="AF164" i="3"/>
  <c r="E101" i="3"/>
  <c r="AJ37" i="3"/>
  <c r="Z411" i="2"/>
  <c r="S408" i="2"/>
  <c r="U403" i="2"/>
  <c r="A397" i="2"/>
  <c r="W390" i="2"/>
  <c r="C384" i="2"/>
  <c r="T377" i="2"/>
  <c r="Z370" i="2"/>
  <c r="K364" i="2"/>
  <c r="V357" i="2"/>
  <c r="B351" i="2"/>
  <c r="D345" i="2"/>
  <c r="Z339" i="2"/>
  <c r="L333" i="2"/>
  <c r="W326" i="2"/>
  <c r="H320" i="2"/>
  <c r="N313" i="2"/>
  <c r="E307" i="2"/>
  <c r="V300" i="2"/>
  <c r="V293" i="2"/>
  <c r="H287" i="2"/>
  <c r="X280" i="2"/>
  <c r="Y273" i="2"/>
  <c r="J267" i="2"/>
  <c r="V260" i="2"/>
  <c r="V253" i="2"/>
  <c r="B247" i="2"/>
  <c r="N241" i="2"/>
  <c r="J235" i="2"/>
  <c r="A229" i="2"/>
  <c r="L222" i="2"/>
  <c r="R215" i="2"/>
  <c r="D209" i="2"/>
  <c r="Z202" i="2"/>
  <c r="O194" i="2"/>
  <c r="Z187" i="2"/>
  <c r="A181" i="2"/>
  <c r="L174" i="2"/>
  <c r="C168" i="2"/>
  <c r="D161" i="2"/>
  <c r="J154" i="2"/>
  <c r="U147" i="2"/>
  <c r="V141" i="2"/>
  <c r="M135" i="2"/>
  <c r="X128" i="2"/>
  <c r="J122" i="2"/>
  <c r="U115" i="2"/>
  <c r="F109" i="2"/>
  <c r="L102" i="2"/>
  <c r="R95" i="2"/>
  <c r="D89" i="2"/>
  <c r="Y81" i="2"/>
  <c r="J75" i="2"/>
  <c r="A69" i="2"/>
  <c r="R62" i="2"/>
  <c r="X55" i="2"/>
  <c r="I49" i="2"/>
  <c r="O42" i="2"/>
  <c r="T34" i="2"/>
  <c r="F29" i="2"/>
  <c r="W22" i="2"/>
  <c r="N16" i="2"/>
  <c r="X9" i="2"/>
  <c r="Z51" i="2"/>
  <c r="N40" i="2"/>
  <c r="L30" i="2"/>
  <c r="V20" i="2"/>
  <c r="K6" i="2"/>
  <c r="D97" i="33"/>
  <c r="A130" i="22"/>
  <c r="F388" i="25"/>
  <c r="D21" i="26"/>
  <c r="A147" i="23"/>
  <c r="A147" i="19"/>
  <c r="B110" i="25"/>
  <c r="H260" i="19"/>
  <c r="H52" i="19"/>
  <c r="A365" i="25"/>
  <c r="F190" i="23"/>
  <c r="B86" i="22"/>
  <c r="C115" i="19"/>
  <c r="E357" i="17"/>
  <c r="E293" i="17"/>
  <c r="E237" i="17"/>
  <c r="E165" i="17"/>
  <c r="E109" i="17"/>
  <c r="E37" i="17"/>
  <c r="C52" i="15"/>
  <c r="C803" i="25"/>
  <c r="E135" i="25"/>
  <c r="G59" i="23"/>
  <c r="B273" i="19"/>
  <c r="A33" i="19"/>
  <c r="H327" i="17"/>
  <c r="D242" i="17"/>
  <c r="H167" i="17"/>
  <c r="D82" i="17"/>
  <c r="B108" i="15"/>
  <c r="C10" i="14"/>
  <c r="A144" i="12"/>
  <c r="E71" i="12"/>
  <c r="F241" i="11"/>
  <c r="F193" i="11"/>
  <c r="F129" i="11"/>
  <c r="F73" i="11"/>
  <c r="F9" i="11"/>
  <c r="G500" i="25"/>
  <c r="D72" i="25"/>
  <c r="B11" i="23"/>
  <c r="F238" i="19"/>
  <c r="F15" i="18"/>
  <c r="C324" i="17"/>
  <c r="C268" i="17"/>
  <c r="C196" i="17"/>
  <c r="C140" i="17"/>
  <c r="C84" i="17"/>
  <c r="C12" i="17"/>
  <c r="H20" i="15"/>
  <c r="G93" i="12"/>
  <c r="D8" i="12"/>
  <c r="H164" i="11"/>
  <c r="E79" i="11"/>
  <c r="H15" i="33"/>
  <c r="A355" i="25"/>
  <c r="B63" i="24"/>
  <c r="H163" i="22"/>
  <c r="C2" i="22"/>
  <c r="F141" i="19"/>
  <c r="G372" i="17"/>
  <c r="G308" i="17"/>
  <c r="G252" i="17"/>
  <c r="G196" i="17"/>
  <c r="G140" i="17"/>
  <c r="G84" i="17"/>
  <c r="G20" i="17"/>
  <c r="D20" i="15"/>
  <c r="B190" i="12"/>
  <c r="D115" i="12"/>
  <c r="B30" i="12"/>
  <c r="C187" i="11"/>
  <c r="E112" i="11"/>
  <c r="C27" i="11"/>
  <c r="A117" i="25"/>
  <c r="G267" i="19"/>
  <c r="F355" i="17"/>
  <c r="F243" i="17"/>
  <c r="F115" i="17"/>
  <c r="E82" i="15"/>
  <c r="F145" i="12"/>
  <c r="D195" i="11"/>
  <c r="A46" i="11"/>
  <c r="D12" i="8"/>
  <c r="B260" i="6"/>
  <c r="B204" i="6"/>
  <c r="B140" i="6"/>
  <c r="B76" i="6"/>
  <c r="B20" i="6"/>
  <c r="G399" i="5"/>
  <c r="K370" i="5"/>
  <c r="S344" i="5"/>
  <c r="G319" i="5"/>
  <c r="O293" i="5"/>
  <c r="C268" i="5"/>
  <c r="O245" i="5"/>
  <c r="G223" i="5"/>
  <c r="O197" i="5"/>
  <c r="C172" i="5"/>
  <c r="K146" i="5"/>
  <c r="C124" i="5"/>
  <c r="K98" i="5"/>
  <c r="S72" i="5"/>
  <c r="C44" i="5"/>
  <c r="K18" i="5"/>
  <c r="AI396" i="3"/>
  <c r="F365" i="3"/>
  <c r="AI333" i="3"/>
  <c r="G306" i="3"/>
  <c r="J274" i="3"/>
  <c r="AI246" i="3"/>
  <c r="C219" i="3"/>
  <c r="I191" i="3"/>
  <c r="AI163" i="3"/>
  <c r="D132" i="3"/>
  <c r="H100" i="3"/>
  <c r="AH64" i="3"/>
  <c r="C37" i="3"/>
  <c r="H198" i="25"/>
  <c r="D10" i="22"/>
  <c r="N366" i="17"/>
  <c r="N238" i="17"/>
  <c r="N126" i="17"/>
  <c r="E105" i="15"/>
  <c r="C162" i="12"/>
  <c r="H12" i="12"/>
  <c r="D105" i="11"/>
  <c r="B30" i="8"/>
  <c r="G11" i="7"/>
  <c r="D262" i="6"/>
  <c r="D219" i="6"/>
  <c r="D171" i="6"/>
  <c r="D135" i="6"/>
  <c r="D111" i="6"/>
  <c r="D79" i="6"/>
  <c r="D43" i="6"/>
  <c r="D15" i="6"/>
  <c r="Q406" i="5"/>
  <c r="M395" i="5"/>
  <c r="Q382" i="5"/>
  <c r="I368" i="5"/>
  <c r="M355" i="5"/>
  <c r="A346" i="5"/>
  <c r="E333" i="5"/>
  <c r="I320" i="5"/>
  <c r="A306" i="5"/>
  <c r="M291" i="5"/>
  <c r="I280" i="5"/>
  <c r="M267" i="5"/>
  <c r="Q254" i="5"/>
  <c r="A242" i="5"/>
  <c r="E229" i="5"/>
  <c r="A218" i="5"/>
  <c r="Q206" i="5"/>
  <c r="A194" i="5"/>
  <c r="Q182" i="5"/>
  <c r="A170" i="5"/>
  <c r="E157" i="5"/>
  <c r="I144" i="5"/>
  <c r="M131" i="5"/>
  <c r="I120" i="5"/>
  <c r="A106" i="5"/>
  <c r="E93" i="5"/>
  <c r="I80" i="5"/>
  <c r="I64" i="5"/>
  <c r="M51" i="5"/>
  <c r="I40" i="5"/>
  <c r="M27" i="5"/>
  <c r="D13" i="5"/>
  <c r="D406" i="3"/>
  <c r="G388" i="3"/>
  <c r="AF372" i="3"/>
  <c r="AF358" i="3"/>
  <c r="A343" i="3"/>
  <c r="H327" i="3"/>
  <c r="AE311" i="3"/>
  <c r="AH295" i="3"/>
  <c r="AJ283" i="3"/>
  <c r="F238" i="3"/>
  <c r="H224" i="3"/>
  <c r="J210" i="3"/>
  <c r="AF194" i="3"/>
  <c r="B179" i="3"/>
  <c r="E163" i="3"/>
  <c r="I147" i="3"/>
  <c r="J133" i="3"/>
  <c r="AF117" i="3"/>
  <c r="AH99" i="3"/>
  <c r="B84" i="3"/>
  <c r="D66" i="3"/>
  <c r="G50" i="3"/>
  <c r="I38" i="3"/>
  <c r="I30" i="3"/>
  <c r="AD22" i="3"/>
  <c r="B204" i="25"/>
  <c r="G98" i="22"/>
  <c r="B368" i="17"/>
  <c r="B256" i="17"/>
  <c r="B144" i="17"/>
  <c r="B16" i="17"/>
  <c r="C207" i="12"/>
  <c r="F36" i="12"/>
  <c r="G107" i="11"/>
  <c r="A27" i="8"/>
  <c r="C275" i="6"/>
  <c r="C211" i="6"/>
  <c r="C155" i="6"/>
  <c r="C91" i="6"/>
  <c r="C43" i="6"/>
  <c r="D402" i="5"/>
  <c r="L376" i="5"/>
  <c r="D354" i="5"/>
  <c r="L328" i="5"/>
  <c r="D306" i="5"/>
  <c r="P283" i="5"/>
  <c r="D258" i="5"/>
  <c r="P235" i="5"/>
  <c r="H213" i="5"/>
  <c r="D194" i="5"/>
  <c r="P171" i="5"/>
  <c r="H149" i="5"/>
  <c r="T126" i="5"/>
  <c r="H101" i="5"/>
  <c r="D82" i="5"/>
  <c r="P59" i="5"/>
  <c r="D34" i="5"/>
  <c r="K8" i="5"/>
  <c r="H388" i="3"/>
  <c r="AI352" i="3"/>
  <c r="AE321" i="3"/>
  <c r="AJ289" i="3"/>
  <c r="D254" i="3"/>
  <c r="I222" i="3"/>
  <c r="AJ190" i="3"/>
  <c r="E167" i="3"/>
  <c r="AE135" i="3"/>
  <c r="AI111" i="3"/>
  <c r="C80" i="3"/>
  <c r="H52" i="3"/>
  <c r="AG24" i="3"/>
  <c r="AG9" i="3"/>
  <c r="B12" i="25"/>
  <c r="G200" i="19"/>
  <c r="B337" i="17"/>
  <c r="B225" i="17"/>
  <c r="B113" i="17"/>
  <c r="A77" i="15"/>
  <c r="H141" i="12"/>
  <c r="D234" i="11"/>
  <c r="G63" i="11"/>
  <c r="E10" i="8"/>
  <c r="G274" i="6"/>
  <c r="G210" i="6"/>
  <c r="G154" i="6"/>
  <c r="G98" i="6"/>
  <c r="G42" i="6"/>
  <c r="B70" i="15"/>
  <c r="I861" i="25"/>
  <c r="C161" i="17"/>
  <c r="E107" i="11"/>
  <c r="G257" i="17"/>
  <c r="E4" i="14"/>
  <c r="B74" i="12"/>
  <c r="H145" i="11"/>
  <c r="D503" i="25"/>
  <c r="C1" i="19"/>
  <c r="F133" i="17"/>
  <c r="F169" i="12"/>
  <c r="A70" i="11"/>
  <c r="B261" i="6"/>
  <c r="B133" i="6"/>
  <c r="B5" i="6"/>
  <c r="K364" i="5"/>
  <c r="G313" i="5"/>
  <c r="C262" i="5"/>
  <c r="S210" i="5"/>
  <c r="O159" i="5"/>
  <c r="K108" i="5"/>
  <c r="G57" i="5"/>
  <c r="B6" i="5"/>
  <c r="AJ349" i="3"/>
  <c r="B287" i="3"/>
  <c r="J223" i="3"/>
  <c r="G160" i="3"/>
  <c r="A97" i="3"/>
  <c r="AE33" i="3"/>
  <c r="G253" i="19"/>
  <c r="N208" i="17"/>
  <c r="E13" i="15"/>
  <c r="A172" i="11"/>
  <c r="G32" i="24"/>
  <c r="G29" i="22"/>
  <c r="H499" i="25"/>
  <c r="A15" i="18"/>
  <c r="A132" i="17"/>
  <c r="D421" i="25"/>
  <c r="D379" i="17"/>
  <c r="L37" i="17"/>
  <c r="A38" i="12"/>
  <c r="B24" i="11"/>
  <c r="F264" i="19"/>
  <c r="K210" i="17"/>
  <c r="H17" i="15"/>
  <c r="E173" i="11"/>
  <c r="G217" i="23"/>
  <c r="O306" i="17"/>
  <c r="O50" i="17"/>
  <c r="B60" i="12"/>
  <c r="C323" i="25"/>
  <c r="F112" i="17"/>
  <c r="A42" i="11"/>
  <c r="F122" i="6"/>
  <c r="G360" i="5"/>
  <c r="S257" i="5"/>
  <c r="K155" i="5"/>
  <c r="C53" i="5"/>
  <c r="AI344" i="3"/>
  <c r="G218" i="3"/>
  <c r="AI91" i="3"/>
  <c r="G169" i="19"/>
  <c r="G1" i="14"/>
  <c r="C16" i="7"/>
  <c r="H138" i="6"/>
  <c r="H10" i="6"/>
  <c r="M366" i="5"/>
  <c r="I315" i="5"/>
  <c r="E264" i="5"/>
  <c r="A213" i="5"/>
  <c r="Q161" i="5"/>
  <c r="M110" i="5"/>
  <c r="I59" i="5"/>
  <c r="D8" i="5"/>
  <c r="J352" i="3"/>
  <c r="AE289" i="3"/>
  <c r="D226" i="3"/>
  <c r="A163" i="3"/>
  <c r="J99" i="3"/>
  <c r="E36" i="3"/>
  <c r="B302" i="17"/>
  <c r="C55" i="12"/>
  <c r="C218" i="6"/>
  <c r="L398" i="5"/>
  <c r="D296" i="5"/>
  <c r="P193" i="5"/>
  <c r="H91" i="5"/>
  <c r="AI391" i="3"/>
  <c r="J265" i="3"/>
  <c r="C139" i="3"/>
  <c r="I17" i="3"/>
  <c r="B255" i="17"/>
  <c r="G231" i="11"/>
  <c r="G193" i="6"/>
  <c r="P388" i="5"/>
  <c r="H286" i="5"/>
  <c r="E459" i="25"/>
  <c r="B280" i="25"/>
  <c r="H100" i="19"/>
  <c r="C219" i="19"/>
  <c r="E199" i="17"/>
  <c r="D22" i="14"/>
  <c r="B185" i="19"/>
  <c r="H127" i="17"/>
  <c r="E105" i="12"/>
  <c r="F91" i="11"/>
  <c r="E64" i="23"/>
  <c r="C278" i="17"/>
  <c r="C22" i="17"/>
  <c r="G21" i="12"/>
  <c r="C369" i="25"/>
  <c r="G374" i="17"/>
  <c r="G118" i="17"/>
  <c r="B150" i="12"/>
  <c r="C51" i="11"/>
  <c r="F247" i="17"/>
  <c r="A222" i="11"/>
  <c r="B190" i="6"/>
  <c r="K406" i="5"/>
  <c r="G355" i="5"/>
  <c r="C304" i="5"/>
  <c r="S252" i="5"/>
  <c r="O201" i="5"/>
  <c r="K150" i="5"/>
  <c r="G99" i="5"/>
  <c r="C48" i="5"/>
  <c r="AH401" i="3"/>
  <c r="AG338" i="3"/>
  <c r="J275" i="3"/>
  <c r="C212" i="3"/>
  <c r="B149" i="3"/>
  <c r="AF85" i="3"/>
  <c r="A873" i="25"/>
  <c r="G197" i="19"/>
  <c r="N322" i="17"/>
  <c r="N194" i="17"/>
  <c r="N66" i="17"/>
  <c r="F14" i="14"/>
  <c r="C82" i="12"/>
  <c r="D153" i="11"/>
  <c r="B6" i="9"/>
  <c r="C18" i="7"/>
  <c r="H268" i="6"/>
  <c r="D226" i="6"/>
  <c r="D183" i="6"/>
  <c r="H140" i="6"/>
  <c r="D108" i="6"/>
  <c r="D76" i="6"/>
  <c r="D44" i="6"/>
  <c r="D12" i="6"/>
  <c r="M405" i="5"/>
  <c r="Q392" i="5"/>
  <c r="A380" i="5"/>
  <c r="E367" i="5"/>
  <c r="I354" i="5"/>
  <c r="M341" i="5"/>
  <c r="Q328" i="5"/>
  <c r="A316" i="5"/>
  <c r="E303" i="5"/>
  <c r="I290" i="5"/>
  <c r="M277" i="5"/>
  <c r="Q264" i="5"/>
  <c r="A252" i="5"/>
  <c r="E239" i="5"/>
  <c r="I226" i="5"/>
  <c r="M213" i="5"/>
  <c r="Q200" i="5"/>
  <c r="A188" i="5"/>
  <c r="E175" i="5"/>
  <c r="I162" i="5"/>
  <c r="M149" i="5"/>
  <c r="Q136" i="5"/>
  <c r="A124" i="5"/>
  <c r="E111" i="5"/>
  <c r="I98" i="5"/>
  <c r="M85" i="5"/>
  <c r="Q72" i="5"/>
  <c r="A60" i="5"/>
  <c r="E47" i="5"/>
  <c r="I34" i="5"/>
  <c r="M21" i="5"/>
  <c r="P8" i="5"/>
  <c r="AF400" i="3"/>
  <c r="AI384" i="3"/>
  <c r="D369" i="3"/>
  <c r="F353" i="3"/>
  <c r="AE337" i="3"/>
  <c r="B322" i="3"/>
  <c r="E306" i="3"/>
  <c r="G290" i="3"/>
  <c r="H274" i="3"/>
  <c r="J258" i="3"/>
  <c r="AH242" i="3"/>
  <c r="AJ226" i="3"/>
  <c r="A211" i="3"/>
  <c r="D195" i="3"/>
  <c r="J179" i="3"/>
  <c r="AG163" i="3"/>
  <c r="A148" i="3"/>
  <c r="B132" i="3"/>
  <c r="D116" i="3"/>
  <c r="F100" i="3"/>
  <c r="J84" i="3"/>
  <c r="AF68" i="3"/>
  <c r="AI52" i="3"/>
  <c r="A37" i="3"/>
  <c r="C21" i="3"/>
  <c r="F216" i="23"/>
  <c r="G140" i="19"/>
  <c r="B308" i="17"/>
  <c r="B180" i="17"/>
  <c r="B52" i="17"/>
  <c r="C2" i="13"/>
  <c r="C63" i="12"/>
  <c r="D134" i="11"/>
  <c r="A37" i="8"/>
  <c r="C285" i="6"/>
  <c r="C221" i="6"/>
  <c r="C157" i="6"/>
  <c r="C93" i="6"/>
  <c r="C29" i="6"/>
  <c r="P399" i="5"/>
  <c r="D374" i="5"/>
  <c r="L348" i="5"/>
  <c r="T322" i="5"/>
  <c r="H297" i="5"/>
  <c r="P271" i="5"/>
  <c r="D246" i="5"/>
  <c r="L220" i="5"/>
  <c r="T194" i="5"/>
  <c r="H169" i="5"/>
  <c r="P143" i="5"/>
  <c r="D118" i="5"/>
  <c r="L92" i="5"/>
  <c r="T66" i="5"/>
  <c r="H41" i="5"/>
  <c r="P15" i="5"/>
  <c r="G393" i="3"/>
  <c r="AG361" i="3"/>
  <c r="H330" i="3"/>
  <c r="AI298" i="3"/>
  <c r="A267" i="3"/>
  <c r="H235" i="3"/>
  <c r="AE203" i="3"/>
  <c r="E172" i="3"/>
  <c r="J140" i="3"/>
  <c r="AI108" i="3"/>
  <c r="D77" i="3"/>
  <c r="H45" i="3"/>
  <c r="E18" i="3"/>
  <c r="C534" i="25"/>
  <c r="D221" i="22"/>
  <c r="F2" i="19"/>
  <c r="B261" i="17"/>
  <c r="B133" i="17"/>
  <c r="A117" i="15"/>
  <c r="F168" i="12"/>
  <c r="G239" i="11"/>
  <c r="A69" i="11"/>
  <c r="E12" i="8"/>
  <c r="G260" i="6"/>
  <c r="G196" i="6"/>
  <c r="G132" i="6"/>
  <c r="G68" i="6"/>
  <c r="G4" i="6"/>
  <c r="T389" i="5"/>
  <c r="H364" i="5"/>
  <c r="P338" i="5"/>
  <c r="D313" i="5"/>
  <c r="L287" i="5"/>
  <c r="T261" i="5"/>
  <c r="H236" i="5"/>
  <c r="F231" i="25"/>
  <c r="C244" i="25"/>
  <c r="A19" i="23"/>
  <c r="B84" i="23"/>
  <c r="D750" i="25"/>
  <c r="A84" i="23"/>
  <c r="B45" i="19"/>
  <c r="E281" i="17"/>
  <c r="E153" i="17"/>
  <c r="E25" i="17"/>
  <c r="F632" i="25"/>
  <c r="E38" i="23"/>
  <c r="G22" i="19"/>
  <c r="L236" i="17"/>
  <c r="D66" i="17"/>
  <c r="A1" i="13"/>
  <c r="E59" i="12"/>
  <c r="F173" i="11"/>
  <c r="F45" i="11"/>
  <c r="E271" i="25"/>
  <c r="H55" i="22"/>
  <c r="C360" i="17"/>
  <c r="C232" i="17"/>
  <c r="C104" i="17"/>
  <c r="H60" i="15"/>
  <c r="B131" i="12"/>
  <c r="C202" i="11"/>
  <c r="E31" i="11"/>
  <c r="B42" i="25"/>
  <c r="F221" i="19"/>
  <c r="G328" i="17"/>
  <c r="G200" i="17"/>
  <c r="G72" i="17"/>
  <c r="E26" i="14"/>
  <c r="G88" i="12"/>
  <c r="E160" i="11"/>
  <c r="D766" i="25"/>
  <c r="G50" i="19"/>
  <c r="F155" i="17"/>
  <c r="H198" i="12"/>
  <c r="D99" i="11"/>
  <c r="B272" i="6"/>
  <c r="B144" i="6"/>
  <c r="B16" i="6"/>
  <c r="S368" i="5"/>
  <c r="O317" i="5"/>
  <c r="K266" i="5"/>
  <c r="G215" i="5"/>
  <c r="C164" i="5"/>
  <c r="S112" i="5"/>
  <c r="O61" i="5"/>
  <c r="J10" i="5"/>
  <c r="G355" i="3"/>
  <c r="I292" i="3"/>
  <c r="A229" i="3"/>
  <c r="AI165" i="3"/>
  <c r="H102" i="3"/>
  <c r="C39" i="3"/>
  <c r="G46" i="22"/>
  <c r="N230" i="17"/>
  <c r="E57" i="15"/>
  <c r="D201" i="11"/>
  <c r="B11" i="8"/>
  <c r="D238" i="6"/>
  <c r="H152" i="6"/>
  <c r="D85" i="6"/>
  <c r="D21" i="6"/>
  <c r="I396" i="5"/>
  <c r="Q370" i="5"/>
  <c r="E345" i="5"/>
  <c r="M319" i="5"/>
  <c r="A294" i="5"/>
  <c r="I268" i="5"/>
  <c r="Q242" i="5"/>
  <c r="E217" i="5"/>
  <c r="M191" i="5"/>
  <c r="A166" i="5"/>
  <c r="I140" i="5"/>
  <c r="Q114" i="5"/>
  <c r="E89" i="5"/>
  <c r="M63" i="5"/>
  <c r="A38" i="5"/>
  <c r="H12" i="5"/>
  <c r="G389" i="3"/>
  <c r="AF357" i="3"/>
  <c r="H326" i="3"/>
  <c r="AH294" i="3"/>
  <c r="A263" i="3"/>
  <c r="G231" i="3"/>
  <c r="J199" i="3"/>
  <c r="D168" i="3"/>
  <c r="J136" i="3"/>
  <c r="AH104" i="3"/>
  <c r="C73" i="3"/>
  <c r="H41" i="3"/>
  <c r="C147" i="25"/>
  <c r="B344" i="17"/>
  <c r="B88" i="17"/>
  <c r="C111" i="12"/>
  <c r="G11" i="11"/>
  <c r="C239" i="6"/>
  <c r="C111" i="6"/>
  <c r="T406" i="5"/>
  <c r="P355" i="5"/>
  <c r="L304" i="5"/>
  <c r="H253" i="5"/>
  <c r="D202" i="5"/>
  <c r="T150" i="5"/>
  <c r="P99" i="5"/>
  <c r="L48" i="5"/>
  <c r="E402" i="3"/>
  <c r="D339" i="3"/>
  <c r="A276" i="3"/>
  <c r="J212" i="3"/>
  <c r="I149" i="3"/>
  <c r="C86" i="3"/>
  <c r="H23" i="3"/>
  <c r="C179" i="23"/>
  <c r="B297" i="17"/>
  <c r="B41" i="17"/>
  <c r="H45" i="12"/>
  <c r="E30" i="8"/>
  <c r="G214" i="6"/>
  <c r="G86" i="6"/>
  <c r="D397" i="5"/>
  <c r="T345" i="5"/>
  <c r="L307" i="5"/>
  <c r="T281" i="5"/>
  <c r="H256" i="5"/>
  <c r="P230" i="5"/>
  <c r="H212" i="5"/>
  <c r="H196" i="5"/>
  <c r="L183" i="5"/>
  <c r="P170" i="5"/>
  <c r="T157" i="5"/>
  <c r="D145" i="5"/>
  <c r="H132" i="5"/>
  <c r="L119" i="5"/>
  <c r="P106" i="5"/>
  <c r="T93" i="5"/>
  <c r="D81" i="5"/>
  <c r="H68" i="5"/>
  <c r="L55" i="5"/>
  <c r="P42" i="5"/>
  <c r="T29" i="5"/>
  <c r="D17" i="5"/>
  <c r="AH410" i="3"/>
  <c r="B395" i="3"/>
  <c r="F379" i="3"/>
  <c r="I363" i="3"/>
  <c r="AG347" i="3"/>
  <c r="C332" i="3"/>
  <c r="G316" i="3"/>
  <c r="AE300" i="3"/>
  <c r="AG284" i="3"/>
  <c r="AG268" i="3"/>
  <c r="A253" i="3"/>
  <c r="D237" i="3"/>
  <c r="E221" i="3"/>
  <c r="G205" i="3"/>
  <c r="AF189" i="3"/>
  <c r="A174" i="3"/>
  <c r="C158" i="3"/>
  <c r="F142" i="3"/>
  <c r="H126" i="3"/>
  <c r="AE110" i="3"/>
  <c r="AH94" i="3"/>
  <c r="AJ78" i="3"/>
  <c r="A63" i="3"/>
  <c r="D47" i="3"/>
  <c r="F31" i="3"/>
  <c r="C19" i="3"/>
  <c r="C11" i="3"/>
  <c r="B364" i="25"/>
  <c r="G122" i="22"/>
  <c r="J370" i="17"/>
  <c r="J242" i="17"/>
  <c r="J114" i="17"/>
  <c r="A78" i="15"/>
  <c r="C137" i="12"/>
  <c r="A211" i="11"/>
  <c r="D40" i="11"/>
  <c r="G2" i="8"/>
  <c r="A251" i="6"/>
  <c r="A187" i="6"/>
  <c r="A123" i="6"/>
  <c r="A59" i="6"/>
  <c r="F411" i="5"/>
  <c r="N385" i="5"/>
  <c r="B360" i="5"/>
  <c r="J334" i="5"/>
  <c r="R308" i="5"/>
  <c r="F283" i="5"/>
  <c r="N257" i="5"/>
  <c r="B232" i="5"/>
  <c r="J206" i="5"/>
  <c r="R180" i="5"/>
  <c r="F155" i="5"/>
  <c r="N129" i="5"/>
  <c r="B104" i="5"/>
  <c r="J78" i="5"/>
  <c r="R52" i="5"/>
  <c r="F27" i="5"/>
  <c r="AG407" i="3"/>
  <c r="E376" i="3"/>
  <c r="AF344" i="3"/>
  <c r="F313" i="3"/>
  <c r="AE281" i="3"/>
  <c r="AI249" i="3"/>
  <c r="D218" i="3"/>
  <c r="AE186" i="3"/>
  <c r="B155" i="3"/>
  <c r="F123" i="3"/>
  <c r="AF91" i="3"/>
  <c r="AJ59" i="3"/>
  <c r="E28" i="3"/>
  <c r="J9" i="3"/>
  <c r="F8" i="25"/>
  <c r="G222" i="19"/>
  <c r="J332" i="17"/>
  <c r="J204" i="17"/>
  <c r="J76" i="17"/>
  <c r="A2" i="15"/>
  <c r="H91" i="12"/>
  <c r="D160" i="11"/>
  <c r="A7" i="9"/>
  <c r="A290" i="6"/>
  <c r="A226" i="6"/>
  <c r="A162" i="6"/>
  <c r="A98" i="6"/>
  <c r="A34" i="6"/>
  <c r="B402" i="5"/>
  <c r="J376" i="5"/>
  <c r="R350" i="5"/>
  <c r="F325" i="5"/>
  <c r="N299" i="5"/>
  <c r="B274" i="5"/>
  <c r="J248" i="5"/>
  <c r="R222" i="5"/>
  <c r="F197" i="5"/>
  <c r="N171" i="5"/>
  <c r="B146" i="5"/>
  <c r="J120" i="5"/>
  <c r="R94" i="5"/>
  <c r="F69" i="5"/>
  <c r="N43" i="5"/>
  <c r="B18" i="5"/>
  <c r="H396" i="3"/>
  <c r="AI364" i="3"/>
  <c r="H333" i="3"/>
  <c r="AJ301" i="3"/>
  <c r="C270" i="3"/>
  <c r="I238" i="3"/>
  <c r="AG206" i="3"/>
  <c r="G175" i="3"/>
  <c r="AF143" i="3"/>
  <c r="A112" i="3"/>
  <c r="E80" i="3"/>
  <c r="J48" i="3"/>
  <c r="AH19" i="3"/>
  <c r="Q412" i="2"/>
  <c r="S407" i="2"/>
  <c r="U402" i="2"/>
  <c r="W397" i="2"/>
  <c r="Y392" i="2"/>
  <c r="A388" i="2"/>
  <c r="C383" i="2"/>
  <c r="E378" i="2"/>
  <c r="G373" i="2"/>
  <c r="I368" i="2"/>
  <c r="K363" i="2"/>
  <c r="M358" i="2"/>
  <c r="O353" i="2"/>
  <c r="Q348" i="2"/>
  <c r="S343" i="2"/>
  <c r="U338" i="2"/>
  <c r="W333" i="2"/>
  <c r="Y328" i="2"/>
  <c r="A324" i="2"/>
  <c r="C319" i="2"/>
  <c r="E314" i="2"/>
  <c r="G309" i="2"/>
  <c r="I304" i="2"/>
  <c r="K299" i="2"/>
  <c r="M294" i="2"/>
  <c r="O289" i="2"/>
  <c r="Q284" i="2"/>
  <c r="S279" i="2"/>
  <c r="U274" i="2"/>
  <c r="W269" i="2"/>
  <c r="Y264" i="2"/>
  <c r="A260" i="2"/>
  <c r="C255" i="2"/>
  <c r="E250" i="2"/>
  <c r="G245" i="2"/>
  <c r="I240" i="2"/>
  <c r="K235" i="2"/>
  <c r="M230" i="2"/>
  <c r="O225" i="2"/>
  <c r="Q220" i="2"/>
  <c r="S215" i="2"/>
  <c r="U210" i="2"/>
  <c r="W205" i="2"/>
  <c r="Y200" i="2"/>
  <c r="A196" i="2"/>
  <c r="C191" i="2"/>
  <c r="E186" i="2"/>
  <c r="G181" i="2"/>
  <c r="I176" i="2"/>
  <c r="K171" i="2"/>
  <c r="M166" i="2"/>
  <c r="O161" i="2"/>
  <c r="Q156" i="2"/>
  <c r="S151" i="2"/>
  <c r="U146" i="2"/>
  <c r="W141" i="2"/>
  <c r="Y136" i="2"/>
  <c r="A132" i="2"/>
  <c r="C127" i="2"/>
  <c r="E122" i="2"/>
  <c r="G117" i="2"/>
  <c r="I112" i="2"/>
  <c r="K107" i="2"/>
  <c r="M102" i="2"/>
  <c r="O97" i="2"/>
  <c r="Q92" i="2"/>
  <c r="S87" i="2"/>
  <c r="U82" i="2"/>
  <c r="W77" i="2"/>
  <c r="Y72" i="2"/>
  <c r="A68" i="2"/>
  <c r="C63" i="2"/>
  <c r="E58" i="2"/>
  <c r="G53" i="2"/>
  <c r="I48" i="2"/>
  <c r="K43" i="2"/>
  <c r="M38" i="2"/>
  <c r="O33" i="2"/>
  <c r="Q28" i="2"/>
  <c r="S23" i="2"/>
  <c r="U18" i="2"/>
  <c r="W13" i="2"/>
  <c r="X8" i="2"/>
  <c r="H342" i="25"/>
  <c r="G106" i="22"/>
  <c r="J371" i="17"/>
  <c r="J243" i="17"/>
  <c r="J115" i="17"/>
  <c r="A80" i="15"/>
  <c r="C165" i="12"/>
  <c r="H79" i="12"/>
  <c r="G233" i="11"/>
  <c r="D148" i="11"/>
  <c r="A63" i="11"/>
  <c r="F3" i="9"/>
  <c r="C9" i="8"/>
  <c r="E287" i="6"/>
  <c r="E255" i="6"/>
  <c r="E223" i="6"/>
  <c r="E191" i="6"/>
  <c r="E159" i="6"/>
  <c r="E127" i="6"/>
  <c r="E95" i="6"/>
  <c r="E63" i="6"/>
  <c r="E31" i="6"/>
  <c r="B413" i="5"/>
  <c r="F400" i="5"/>
  <c r="J387" i="5"/>
  <c r="N374" i="5"/>
  <c r="R361" i="5"/>
  <c r="B349" i="5"/>
  <c r="F336" i="5"/>
  <c r="J323" i="5"/>
  <c r="N310" i="5"/>
  <c r="R297" i="5"/>
  <c r="B285" i="5"/>
  <c r="F272" i="5"/>
  <c r="J259" i="5"/>
  <c r="N246" i="5"/>
  <c r="R233" i="5"/>
  <c r="B221" i="5"/>
  <c r="F208" i="5"/>
  <c r="J195" i="5"/>
  <c r="N182" i="5"/>
  <c r="R169" i="5"/>
  <c r="B157" i="5"/>
  <c r="F144" i="5"/>
  <c r="J131" i="5"/>
  <c r="N118" i="5"/>
  <c r="R105" i="5"/>
  <c r="B93" i="5"/>
  <c r="F80" i="5"/>
  <c r="J67" i="5"/>
  <c r="N54" i="5"/>
  <c r="R41" i="5"/>
  <c r="B29" i="5"/>
  <c r="F16" i="5"/>
  <c r="AJ409" i="3"/>
  <c r="D394" i="3"/>
  <c r="H378" i="3"/>
  <c r="AE362" i="3"/>
  <c r="AJ346" i="3"/>
  <c r="E331" i="3"/>
  <c r="I315" i="3"/>
  <c r="AG299" i="3"/>
  <c r="AI283" i="3"/>
  <c r="AI267" i="3"/>
  <c r="C252" i="3"/>
  <c r="F236" i="3"/>
  <c r="G220" i="3"/>
  <c r="I204" i="3"/>
  <c r="AH188" i="3"/>
  <c r="C173" i="3"/>
  <c r="F157" i="3"/>
  <c r="H141" i="3"/>
  <c r="J125" i="3"/>
  <c r="AG109" i="3"/>
  <c r="AJ93" i="3"/>
  <c r="B78" i="3"/>
  <c r="C62" i="3"/>
  <c r="F46" i="3"/>
  <c r="H30" i="3"/>
  <c r="AF18" i="3"/>
  <c r="AF10" i="3"/>
  <c r="F96" i="23"/>
  <c r="J297" i="17"/>
  <c r="J41" i="17"/>
  <c r="H55" i="12"/>
  <c r="C1" i="9"/>
  <c r="E218" i="6"/>
  <c r="E90" i="6"/>
  <c r="N400" i="5"/>
  <c r="J349" i="5"/>
  <c r="F298" i="5"/>
  <c r="B247" i="5"/>
  <c r="R195" i="5"/>
  <c r="N144" i="5"/>
  <c r="J93" i="5"/>
  <c r="F42" i="5"/>
  <c r="AF395" i="3"/>
  <c r="AF332" i="3"/>
  <c r="G269" i="3"/>
  <c r="A206" i="3"/>
  <c r="AJ142" i="3"/>
  <c r="J79" i="3"/>
  <c r="H19" i="3"/>
  <c r="N411" i="2"/>
  <c r="G408" i="2"/>
  <c r="Z404" i="2"/>
  <c r="R401" i="2"/>
  <c r="K398" i="2"/>
  <c r="D395" i="2"/>
  <c r="V391" i="2"/>
  <c r="O388" i="2"/>
  <c r="H385" i="2"/>
  <c r="Z381" i="2"/>
  <c r="S378" i="2"/>
  <c r="L375" i="2"/>
  <c r="D372" i="2"/>
  <c r="W368" i="2"/>
  <c r="P365" i="2"/>
  <c r="H362" i="2"/>
  <c r="A359" i="2"/>
  <c r="T355" i="2"/>
  <c r="L352" i="2"/>
  <c r="E349" i="2"/>
  <c r="X345" i="2"/>
  <c r="P342" i="2"/>
  <c r="I339" i="2"/>
  <c r="B336" i="2"/>
  <c r="T332" i="2"/>
  <c r="M329" i="2"/>
  <c r="F326" i="2"/>
  <c r="X322" i="2"/>
  <c r="Q319" i="2"/>
  <c r="J316" i="2"/>
  <c r="B313" i="2"/>
  <c r="U309" i="2"/>
  <c r="N306" i="2"/>
  <c r="F303" i="2"/>
  <c r="Y299" i="2"/>
  <c r="R296" i="2"/>
  <c r="J293" i="2"/>
  <c r="C290" i="2"/>
  <c r="V286" i="2"/>
  <c r="N283" i="2"/>
  <c r="G280" i="2"/>
  <c r="Z276" i="2"/>
  <c r="R273" i="2"/>
  <c r="K270" i="2"/>
  <c r="D267" i="2"/>
  <c r="V263" i="2"/>
  <c r="O260" i="2"/>
  <c r="H257" i="2"/>
  <c r="Z253" i="2"/>
  <c r="S250" i="2"/>
  <c r="L247" i="2"/>
  <c r="D244" i="2"/>
  <c r="W240" i="2"/>
  <c r="P237" i="2"/>
  <c r="H234" i="2"/>
  <c r="A231" i="2"/>
  <c r="T227" i="2"/>
  <c r="L224" i="2"/>
  <c r="E221" i="2"/>
  <c r="X217" i="2"/>
  <c r="P214" i="2"/>
  <c r="I211" i="2"/>
  <c r="B208" i="2"/>
  <c r="T204" i="2"/>
  <c r="M201" i="2"/>
  <c r="F198" i="2"/>
  <c r="X194" i="2"/>
  <c r="Q191" i="2"/>
  <c r="J188" i="2"/>
  <c r="B185" i="2"/>
  <c r="U181" i="2"/>
  <c r="N178" i="2"/>
  <c r="F175" i="2"/>
  <c r="Y171" i="2"/>
  <c r="R168" i="2"/>
  <c r="J165" i="2"/>
  <c r="C162" i="2"/>
  <c r="V158" i="2"/>
  <c r="N155" i="2"/>
  <c r="G152" i="2"/>
  <c r="Z148" i="2"/>
  <c r="R145" i="2"/>
  <c r="K142" i="2"/>
  <c r="D139" i="2"/>
  <c r="V135" i="2"/>
  <c r="O132" i="2"/>
  <c r="H129" i="2"/>
  <c r="Z125" i="2"/>
  <c r="S122" i="2"/>
  <c r="L119" i="2"/>
  <c r="D116" i="2"/>
  <c r="W112" i="2"/>
  <c r="P109" i="2"/>
  <c r="H106" i="2"/>
  <c r="A103" i="2"/>
  <c r="T99" i="2"/>
  <c r="L96" i="2"/>
  <c r="E93" i="2"/>
  <c r="X89" i="2"/>
  <c r="P86" i="2"/>
  <c r="I83" i="2"/>
  <c r="B80" i="2"/>
  <c r="T76" i="2"/>
  <c r="M73" i="2"/>
  <c r="F70" i="2"/>
  <c r="X66" i="2"/>
  <c r="Q63" i="2"/>
  <c r="J60" i="2"/>
  <c r="B57" i="2"/>
  <c r="U53" i="2"/>
  <c r="N50" i="2"/>
  <c r="F47" i="2"/>
  <c r="Y43" i="2"/>
  <c r="R40" i="2"/>
  <c r="J37" i="2"/>
  <c r="C34" i="2"/>
  <c r="V30" i="2"/>
  <c r="N27" i="2"/>
  <c r="G24" i="2"/>
  <c r="Z20" i="2"/>
  <c r="R17" i="2"/>
  <c r="K14" i="2"/>
  <c r="C11" i="2"/>
  <c r="U7" i="2"/>
  <c r="X411" i="2"/>
  <c r="P408" i="2"/>
  <c r="I405" i="2"/>
  <c r="B402" i="2"/>
  <c r="T398" i="2"/>
  <c r="M395" i="2"/>
  <c r="F392" i="2"/>
  <c r="X388" i="2"/>
  <c r="Q385" i="2"/>
  <c r="J382" i="2"/>
  <c r="B379" i="2"/>
  <c r="U375" i="2"/>
  <c r="N372" i="2"/>
  <c r="F369" i="2"/>
  <c r="Y365" i="2"/>
  <c r="R362" i="2"/>
  <c r="J359" i="2"/>
  <c r="C356" i="2"/>
  <c r="V352" i="2"/>
  <c r="N349" i="2"/>
  <c r="G346" i="2"/>
  <c r="Z342" i="2"/>
  <c r="R339" i="2"/>
  <c r="K336" i="2"/>
  <c r="D333" i="2"/>
  <c r="V329" i="2"/>
  <c r="O326" i="2"/>
  <c r="H323" i="2"/>
  <c r="Z319" i="2"/>
  <c r="S316" i="2"/>
  <c r="L313" i="2"/>
  <c r="D310" i="2"/>
  <c r="W306" i="2"/>
  <c r="P303" i="2"/>
  <c r="H300" i="2"/>
  <c r="A297" i="2"/>
  <c r="T293" i="2"/>
  <c r="L290" i="2"/>
  <c r="E287" i="2"/>
  <c r="X283" i="2"/>
  <c r="P280" i="2"/>
  <c r="I277" i="2"/>
  <c r="B274" i="2"/>
  <c r="T270" i="2"/>
  <c r="M267" i="2"/>
  <c r="F264" i="2"/>
  <c r="X260" i="2"/>
  <c r="Q257" i="2"/>
  <c r="J254" i="2"/>
  <c r="B251" i="2"/>
  <c r="U247" i="2"/>
  <c r="N244" i="2"/>
  <c r="F241" i="2"/>
  <c r="Y237" i="2"/>
  <c r="R234" i="2"/>
  <c r="J231" i="2"/>
  <c r="C228" i="2"/>
  <c r="V224" i="2"/>
  <c r="N221" i="2"/>
  <c r="G218" i="2"/>
  <c r="Z214" i="2"/>
  <c r="R211" i="2"/>
  <c r="K208" i="2"/>
  <c r="D205" i="2"/>
  <c r="V201" i="2"/>
  <c r="O198" i="2"/>
  <c r="H195" i="2"/>
  <c r="Z191" i="2"/>
  <c r="S188" i="2"/>
  <c r="L185" i="2"/>
  <c r="D182" i="2"/>
  <c r="W178" i="2"/>
  <c r="P175" i="2"/>
  <c r="H172" i="2"/>
  <c r="A169" i="2"/>
  <c r="T165" i="2"/>
  <c r="L162" i="2"/>
  <c r="E159" i="2"/>
  <c r="X155" i="2"/>
  <c r="P152" i="2"/>
  <c r="I149" i="2"/>
  <c r="B146" i="2"/>
  <c r="T142" i="2"/>
  <c r="M139" i="2"/>
  <c r="F136" i="2"/>
  <c r="X132" i="2"/>
  <c r="Q129" i="2"/>
  <c r="J126" i="2"/>
  <c r="B123" i="2"/>
  <c r="U119" i="2"/>
  <c r="N116" i="2"/>
  <c r="F113" i="2"/>
  <c r="Y109" i="2"/>
  <c r="R106" i="2"/>
  <c r="J103" i="2"/>
  <c r="C100" i="2"/>
  <c r="V96" i="2"/>
  <c r="N93" i="2"/>
  <c r="G90" i="2"/>
  <c r="Z86" i="2"/>
  <c r="R83" i="2"/>
  <c r="K80" i="2"/>
  <c r="D77" i="2"/>
  <c r="V73" i="2"/>
  <c r="O70" i="2"/>
  <c r="H67" i="2"/>
  <c r="Z63" i="2"/>
  <c r="S60" i="2"/>
  <c r="L57" i="2"/>
  <c r="D54" i="2"/>
  <c r="W50" i="2"/>
  <c r="P47" i="2"/>
  <c r="H44" i="2"/>
  <c r="A41" i="2"/>
  <c r="T37" i="2"/>
  <c r="L34" i="2"/>
  <c r="E31" i="2"/>
  <c r="X27" i="2"/>
  <c r="P24" i="2"/>
  <c r="I21" i="2"/>
  <c r="B18" i="2"/>
  <c r="T14" i="2"/>
  <c r="L11" i="2"/>
  <c r="E8" i="2"/>
  <c r="G412" i="2"/>
  <c r="Z408" i="2"/>
  <c r="R405" i="2"/>
  <c r="K402" i="2"/>
  <c r="D399" i="2"/>
  <c r="V395" i="2"/>
  <c r="O392" i="2"/>
  <c r="H389" i="2"/>
  <c r="Z385" i="2"/>
  <c r="S382" i="2"/>
  <c r="L379" i="2"/>
  <c r="D376" i="2"/>
  <c r="W372" i="2"/>
  <c r="P369" i="2"/>
  <c r="H366" i="2"/>
  <c r="A363" i="2"/>
  <c r="T359" i="2"/>
  <c r="L356" i="2"/>
  <c r="E353" i="2"/>
  <c r="X349" i="2"/>
  <c r="P346" i="2"/>
  <c r="I343" i="2"/>
  <c r="B340" i="2"/>
  <c r="T336" i="2"/>
  <c r="M333" i="2"/>
  <c r="F330" i="2"/>
  <c r="X326" i="2"/>
  <c r="Q323" i="2"/>
  <c r="J320" i="2"/>
  <c r="B317" i="2"/>
  <c r="U313" i="2"/>
  <c r="N310" i="2"/>
  <c r="F307" i="2"/>
  <c r="Y303" i="2"/>
  <c r="R300" i="2"/>
  <c r="J297" i="2"/>
  <c r="C294" i="2"/>
  <c r="V290" i="2"/>
  <c r="N287" i="2"/>
  <c r="G284" i="2"/>
  <c r="Z280" i="2"/>
  <c r="R277" i="2"/>
  <c r="K274" i="2"/>
  <c r="D271" i="2"/>
  <c r="V267" i="2"/>
  <c r="O264" i="2"/>
  <c r="H261" i="2"/>
  <c r="Z257" i="2"/>
  <c r="S254" i="2"/>
  <c r="L251" i="2"/>
  <c r="D248" i="2"/>
  <c r="W244" i="2"/>
  <c r="P241" i="2"/>
  <c r="H238" i="2"/>
  <c r="A235" i="2"/>
  <c r="T231" i="2"/>
  <c r="L228" i="2"/>
  <c r="E225" i="2"/>
  <c r="X221" i="2"/>
  <c r="P218" i="2"/>
  <c r="I215" i="2"/>
  <c r="B212" i="2"/>
  <c r="T208" i="2"/>
  <c r="M205" i="2"/>
  <c r="F202" i="2"/>
  <c r="X198" i="2"/>
  <c r="Q195" i="2"/>
  <c r="J192" i="2"/>
  <c r="B189" i="2"/>
  <c r="U185" i="2"/>
  <c r="N182" i="2"/>
  <c r="F179" i="2"/>
  <c r="Y175" i="2"/>
  <c r="R172" i="2"/>
  <c r="J169" i="2"/>
  <c r="C166" i="2"/>
  <c r="V162" i="2"/>
  <c r="N159" i="2"/>
  <c r="G156" i="2"/>
  <c r="Z152" i="2"/>
  <c r="R149" i="2"/>
  <c r="K146" i="2"/>
  <c r="D143" i="2"/>
  <c r="V139" i="2"/>
  <c r="O136" i="2"/>
  <c r="H133" i="2"/>
  <c r="Z129" i="2"/>
  <c r="S126" i="2"/>
  <c r="L123" i="2"/>
  <c r="D120" i="2"/>
  <c r="W116" i="2"/>
  <c r="P113" i="2"/>
  <c r="H110" i="2"/>
  <c r="A107" i="2"/>
  <c r="T103" i="2"/>
  <c r="L100" i="2"/>
  <c r="E97" i="2"/>
  <c r="X93" i="2"/>
  <c r="P90" i="2"/>
  <c r="I87" i="2"/>
  <c r="B84" i="2"/>
  <c r="T80" i="2"/>
  <c r="M77" i="2"/>
  <c r="F74" i="2"/>
  <c r="X70" i="2"/>
  <c r="Q67" i="2"/>
  <c r="J64" i="2"/>
  <c r="B61" i="2"/>
  <c r="U57" i="2"/>
  <c r="N54" i="2"/>
  <c r="F51" i="2"/>
  <c r="Y47" i="2"/>
  <c r="R44" i="2"/>
  <c r="J41" i="2"/>
  <c r="C38" i="2"/>
  <c r="V34" i="2"/>
  <c r="N31" i="2"/>
  <c r="G28" i="2"/>
  <c r="Z24" i="2"/>
  <c r="R21" i="2"/>
  <c r="K18" i="2"/>
  <c r="D15" i="2"/>
  <c r="U11" i="2"/>
  <c r="N8" i="2"/>
  <c r="B463" i="25"/>
  <c r="G14" i="18"/>
  <c r="J125" i="17"/>
  <c r="H167" i="12"/>
  <c r="G65" i="11"/>
  <c r="E268" i="6"/>
  <c r="E140" i="6"/>
  <c r="E12" i="6"/>
  <c r="J369" i="5"/>
  <c r="F318" i="5"/>
  <c r="B267" i="5"/>
  <c r="R215" i="5"/>
  <c r="N164" i="5"/>
  <c r="J113" i="5"/>
  <c r="F62" i="5"/>
  <c r="A11" i="5"/>
  <c r="D357" i="3"/>
  <c r="E294" i="3"/>
  <c r="AH230" i="3"/>
  <c r="AE167" i="3"/>
  <c r="E104" i="3"/>
  <c r="AI40" i="3"/>
  <c r="C387" i="25"/>
  <c r="J357" i="17"/>
  <c r="J101" i="17"/>
  <c r="H135" i="12"/>
  <c r="G33" i="11"/>
  <c r="E240" i="6"/>
  <c r="E112" i="6"/>
  <c r="F406" i="5"/>
  <c r="B355" i="5"/>
  <c r="R303" i="5"/>
  <c r="N252" i="5"/>
  <c r="J201" i="5"/>
  <c r="F150" i="5"/>
  <c r="B99" i="5"/>
  <c r="R47" i="5"/>
  <c r="AE402" i="3"/>
  <c r="J339" i="3"/>
  <c r="G276" i="3"/>
  <c r="AJ212" i="3"/>
  <c r="AI149" i="3"/>
  <c r="I86" i="3"/>
  <c r="AF23" i="3"/>
  <c r="K404" i="2"/>
  <c r="B398" i="2"/>
  <c r="B391" i="2"/>
  <c r="S384" i="2"/>
  <c r="D378" i="2"/>
  <c r="U371" i="2"/>
  <c r="A365" i="2"/>
  <c r="L358" i="2"/>
  <c r="C352" i="2"/>
  <c r="R343" i="2"/>
  <c r="X336" i="2"/>
  <c r="J330" i="2"/>
  <c r="U323" i="2"/>
  <c r="A317" i="2"/>
  <c r="R310" i="2"/>
  <c r="X303" i="2"/>
  <c r="N297" i="2"/>
  <c r="E291" i="2"/>
  <c r="P284" i="2"/>
  <c r="B278" i="2"/>
  <c r="R271" i="2"/>
  <c r="I265" i="2"/>
  <c r="T258" i="2"/>
  <c r="K252" i="2"/>
  <c r="B246" i="2"/>
  <c r="B238" i="2"/>
  <c r="M231" i="2"/>
  <c r="S224" i="2"/>
  <c r="J218" i="2"/>
  <c r="U211" i="2"/>
  <c r="V204" i="2"/>
  <c r="R199" i="2"/>
  <c r="N193" i="2"/>
  <c r="Z186" i="2"/>
  <c r="V180" i="2"/>
  <c r="G174" i="2"/>
  <c r="R167" i="2"/>
  <c r="I161" i="2"/>
  <c r="Z154" i="2"/>
  <c r="K148" i="2"/>
  <c r="F141" i="2"/>
  <c r="L134" i="2"/>
  <c r="X127" i="2"/>
  <c r="I121" i="2"/>
  <c r="T114" i="2"/>
  <c r="F108" i="2"/>
  <c r="V101" i="2"/>
  <c r="M95" i="2"/>
  <c r="X88" i="2"/>
  <c r="Z82" i="2"/>
  <c r="F76" i="2"/>
  <c r="Q69" i="2"/>
  <c r="W62" i="2"/>
  <c r="N56" i="2"/>
  <c r="D50" i="2"/>
  <c r="P43" i="2"/>
  <c r="L38" i="2"/>
  <c r="R30" i="2"/>
  <c r="X23" i="2"/>
  <c r="I17" i="2"/>
  <c r="N10" i="2"/>
  <c r="E129" i="25"/>
  <c r="J321" i="17"/>
  <c r="J65" i="17"/>
  <c r="H87" i="12"/>
  <c r="A7" i="11"/>
  <c r="E246" i="6"/>
  <c r="E118" i="6"/>
  <c r="N408" i="5"/>
  <c r="J357" i="5"/>
  <c r="F306" i="5"/>
  <c r="B255" i="5"/>
  <c r="R203" i="5"/>
  <c r="N152" i="5"/>
  <c r="J101" i="5"/>
  <c r="F50" i="5"/>
  <c r="AE401" i="3"/>
  <c r="J338" i="3"/>
  <c r="G275" i="3"/>
  <c r="AJ211" i="3"/>
  <c r="AI148" i="3"/>
  <c r="I85" i="3"/>
  <c r="A23" i="3"/>
  <c r="E411" i="2"/>
  <c r="X407" i="2"/>
  <c r="D402" i="2"/>
  <c r="J395" i="2"/>
  <c r="F389" i="2"/>
  <c r="R382" i="2"/>
  <c r="C376" i="2"/>
  <c r="I369" i="2"/>
  <c r="T362" i="2"/>
  <c r="F356" i="2"/>
  <c r="L349" i="2"/>
  <c r="H344" i="2"/>
  <c r="J338" i="2"/>
  <c r="U331" i="2"/>
  <c r="F325" i="2"/>
  <c r="W318" i="2"/>
  <c r="X311" i="2"/>
  <c r="T305" i="2"/>
  <c r="E299" i="2"/>
  <c r="Z291" i="2"/>
  <c r="Q285" i="2"/>
  <c r="B279" i="2"/>
  <c r="H272" i="2"/>
  <c r="N265" i="2"/>
  <c r="E259" i="2"/>
  <c r="F252" i="2"/>
  <c r="Q245" i="2"/>
  <c r="C240" i="2"/>
  <c r="N233" i="2"/>
  <c r="J227" i="2"/>
  <c r="P220" i="2"/>
  <c r="B214" i="2"/>
  <c r="R207" i="2"/>
  <c r="X199" i="2"/>
  <c r="X192" i="2"/>
  <c r="D186" i="2"/>
  <c r="J179" i="2"/>
  <c r="V172" i="2"/>
  <c r="G166" i="2"/>
  <c r="M159" i="2"/>
  <c r="S152" i="2"/>
  <c r="D146" i="2"/>
  <c r="F140" i="2"/>
  <c r="V133" i="2"/>
  <c r="H127" i="2"/>
  <c r="S120" i="2"/>
  <c r="D114" i="2"/>
  <c r="P107" i="2"/>
  <c r="V100" i="2"/>
  <c r="B94" i="2"/>
  <c r="H87" i="2"/>
  <c r="N80" i="2"/>
  <c r="Y73" i="2"/>
  <c r="P67" i="2"/>
  <c r="A61" i="2"/>
  <c r="G54" i="2"/>
  <c r="M47" i="2"/>
  <c r="X40" i="2"/>
  <c r="Y33" i="2"/>
  <c r="U27" i="2"/>
  <c r="F21" i="2"/>
  <c r="W14" i="2"/>
  <c r="G8" i="2"/>
  <c r="S48" i="2"/>
  <c r="U35" i="2"/>
  <c r="J27" i="2"/>
  <c r="N17" i="2"/>
  <c r="H30" i="38"/>
  <c r="F409" i="25"/>
  <c r="O45" i="26"/>
  <c r="G272" i="25"/>
  <c r="C512" i="25"/>
  <c r="F61" i="23"/>
  <c r="D866" i="25"/>
  <c r="B212" i="23"/>
  <c r="H180" i="19"/>
  <c r="H25" i="26"/>
  <c r="C251" i="25"/>
  <c r="C105" i="23"/>
  <c r="H7" i="22"/>
  <c r="G55" i="19"/>
  <c r="E341" i="17"/>
  <c r="E277" i="17"/>
  <c r="E221" i="17"/>
  <c r="E149" i="17"/>
  <c r="E93" i="17"/>
  <c r="E21" i="17"/>
  <c r="C20" i="15"/>
  <c r="I584" i="25"/>
  <c r="G21" i="25"/>
  <c r="C211" i="22"/>
  <c r="B209" i="19"/>
  <c r="H16" i="18"/>
  <c r="D306" i="17"/>
  <c r="L220" i="17"/>
  <c r="D146" i="17"/>
  <c r="L60" i="17"/>
  <c r="B76" i="15"/>
  <c r="A224" i="12"/>
  <c r="E127" i="12"/>
  <c r="E55" i="12"/>
  <c r="F233" i="11"/>
  <c r="F177" i="11"/>
  <c r="F113" i="11"/>
  <c r="F57" i="11"/>
  <c r="H8" i="9"/>
  <c r="I424" i="25"/>
  <c r="B65" i="24"/>
  <c r="F162" i="22"/>
  <c r="F174" i="19"/>
  <c r="C372" i="17"/>
  <c r="C308" i="17"/>
  <c r="C252" i="17"/>
  <c r="C180" i="17"/>
  <c r="C124" i="17"/>
  <c r="C68" i="17"/>
  <c r="H116" i="15"/>
  <c r="B179" i="12"/>
  <c r="D72" i="12"/>
  <c r="H228" i="11"/>
  <c r="E143" i="11"/>
  <c r="C58" i="11"/>
  <c r="C787" i="25"/>
  <c r="C241" i="25"/>
  <c r="B183" i="23"/>
  <c r="C121" i="22"/>
  <c r="F269" i="19"/>
  <c r="F77" i="19"/>
  <c r="G356" i="17"/>
  <c r="G292" i="17"/>
  <c r="G236" i="17"/>
  <c r="G180" i="17"/>
  <c r="G124" i="17"/>
  <c r="G68" i="17"/>
  <c r="D116" i="15"/>
  <c r="D4" i="15"/>
  <c r="D179" i="12"/>
  <c r="B94" i="12"/>
  <c r="G8" i="12"/>
  <c r="E176" i="11"/>
  <c r="C91" i="11"/>
  <c r="H5" i="11"/>
  <c r="F220" i="23"/>
  <c r="G139" i="19"/>
  <c r="F323" i="17"/>
  <c r="F211" i="17"/>
  <c r="F83" i="17"/>
  <c r="E18" i="15"/>
  <c r="F81" i="12"/>
  <c r="G152" i="11"/>
  <c r="D3" i="11"/>
  <c r="A15" i="7"/>
  <c r="B244" i="6"/>
  <c r="B188" i="6"/>
  <c r="B124" i="6"/>
  <c r="B60" i="6"/>
  <c r="B4" i="6"/>
  <c r="S392" i="5"/>
  <c r="C364" i="5"/>
  <c r="K338" i="5"/>
  <c r="S312" i="5"/>
  <c r="G287" i="5"/>
  <c r="O261" i="5"/>
  <c r="G239" i="5"/>
  <c r="S216" i="5"/>
  <c r="G191" i="5"/>
  <c r="O165" i="5"/>
  <c r="C140" i="5"/>
  <c r="O117" i="5"/>
  <c r="C92" i="5"/>
  <c r="G63" i="5"/>
  <c r="O37" i="5"/>
  <c r="B12" i="5"/>
  <c r="A389" i="3"/>
  <c r="G357" i="3"/>
  <c r="A330" i="3"/>
  <c r="H298" i="3"/>
  <c r="J270" i="3"/>
  <c r="AJ238" i="3"/>
  <c r="C211" i="3"/>
  <c r="AE183" i="3"/>
  <c r="A156" i="3"/>
  <c r="E124" i="3"/>
  <c r="AE92" i="3"/>
  <c r="A57" i="3"/>
  <c r="D29" i="3"/>
  <c r="D79" i="24"/>
  <c r="G181" i="19"/>
  <c r="N334" i="17"/>
  <c r="N222" i="17"/>
  <c r="N94" i="17"/>
  <c r="E41" i="15"/>
  <c r="F119" i="12"/>
  <c r="A212" i="11"/>
  <c r="G62" i="11"/>
  <c r="B19" i="8"/>
  <c r="D1" i="7"/>
  <c r="D251" i="6"/>
  <c r="D203" i="6"/>
  <c r="H160" i="6"/>
  <c r="D131" i="6"/>
  <c r="D103" i="6"/>
  <c r="D67" i="6"/>
  <c r="D39" i="6"/>
  <c r="D7" i="6"/>
  <c r="M403" i="5"/>
  <c r="I392" i="5"/>
  <c r="M379" i="5"/>
  <c r="E365" i="5"/>
  <c r="A354" i="5"/>
  <c r="Q342" i="5"/>
  <c r="A330" i="5"/>
  <c r="E317" i="5"/>
  <c r="E301" i="5"/>
  <c r="A290" i="5"/>
  <c r="E277" i="5"/>
  <c r="I264" i="5"/>
  <c r="M251" i="5"/>
  <c r="Q238" i="5"/>
  <c r="A226" i="5"/>
  <c r="Q214" i="5"/>
  <c r="M203" i="5"/>
  <c r="Q190" i="5"/>
  <c r="M179" i="5"/>
  <c r="Q166" i="5"/>
  <c r="A154" i="5"/>
  <c r="E141" i="5"/>
  <c r="A130" i="5"/>
  <c r="E117" i="5"/>
  <c r="Q102" i="5"/>
  <c r="A90" i="5"/>
  <c r="M75" i="5"/>
  <c r="E61" i="5"/>
  <c r="I48" i="5"/>
  <c r="E37" i="5"/>
  <c r="I24" i="5"/>
  <c r="T9" i="5"/>
  <c r="D400" i="3"/>
  <c r="G384" i="3"/>
  <c r="AF368" i="3"/>
  <c r="AG354" i="3"/>
  <c r="C339" i="3"/>
  <c r="I323" i="3"/>
  <c r="AG307" i="3"/>
  <c r="AH293" i="3"/>
  <c r="B258" i="3"/>
  <c r="G234" i="3"/>
  <c r="H220" i="3"/>
  <c r="J206" i="3"/>
  <c r="AI190" i="3"/>
  <c r="D175" i="3"/>
  <c r="F159" i="3"/>
  <c r="I143" i="3"/>
  <c r="J129" i="3"/>
  <c r="AG113" i="3"/>
  <c r="AJ95" i="3"/>
  <c r="B80" i="3"/>
  <c r="D62" i="3"/>
  <c r="G46" i="3"/>
  <c r="I36" i="3"/>
  <c r="J28" i="3"/>
  <c r="H826" i="25"/>
  <c r="D90" i="25"/>
  <c r="G252" i="19"/>
  <c r="B336" i="17"/>
  <c r="B224" i="17"/>
  <c r="B112" i="17"/>
  <c r="A75" i="15"/>
  <c r="F164" i="12"/>
  <c r="G235" i="11"/>
  <c r="A65" i="11"/>
  <c r="A11" i="8"/>
  <c r="C259" i="6"/>
  <c r="C195" i="6"/>
  <c r="C139" i="6"/>
  <c r="C83" i="6"/>
  <c r="C19" i="6"/>
  <c r="P395" i="5"/>
  <c r="D370" i="5"/>
  <c r="P347" i="5"/>
  <c r="D322" i="5"/>
  <c r="T302" i="5"/>
  <c r="H277" i="5"/>
  <c r="P251" i="5"/>
  <c r="L232" i="5"/>
  <c r="T206" i="5"/>
  <c r="P187" i="5"/>
  <c r="L168" i="5"/>
  <c r="T142" i="5"/>
  <c r="L120" i="5"/>
  <c r="D98" i="5"/>
  <c r="P75" i="5"/>
  <c r="H53" i="5"/>
  <c r="P27" i="5"/>
  <c r="C408" i="3"/>
  <c r="J380" i="3"/>
  <c r="B345" i="3"/>
  <c r="AE313" i="3"/>
  <c r="A282" i="3"/>
  <c r="F246" i="3"/>
  <c r="J214" i="3"/>
  <c r="B183" i="3"/>
  <c r="G159" i="3"/>
  <c r="AE127" i="3"/>
  <c r="AI103" i="3"/>
  <c r="D72" i="3"/>
  <c r="I44" i="3"/>
  <c r="D22" i="3"/>
  <c r="J7" i="26"/>
  <c r="F136" i="23"/>
  <c r="G72" i="19"/>
  <c r="B321" i="17"/>
  <c r="B193" i="17"/>
  <c r="B81" i="17"/>
  <c r="A13" i="15"/>
  <c r="C99" i="12"/>
  <c r="G191" i="11"/>
  <c r="A21" i="11"/>
  <c r="E2" i="8"/>
  <c r="G258" i="6"/>
  <c r="G194" i="6"/>
  <c r="G138" i="6"/>
  <c r="G82" i="6"/>
  <c r="G26" i="6"/>
  <c r="T401" i="5"/>
  <c r="L379" i="5"/>
  <c r="H360" i="5"/>
  <c r="T337" i="5"/>
  <c r="L315" i="5"/>
  <c r="D293" i="5"/>
  <c r="P270" i="5"/>
  <c r="T241" i="5"/>
  <c r="T219" i="5"/>
  <c r="D205" i="5"/>
  <c r="H192" i="5"/>
  <c r="L179" i="5"/>
  <c r="H168" i="5"/>
  <c r="L155" i="5"/>
  <c r="P142" i="5"/>
  <c r="T129" i="5"/>
  <c r="D117" i="5"/>
  <c r="H104" i="5"/>
  <c r="D93" i="5"/>
  <c r="T81" i="5"/>
  <c r="D69" i="5"/>
  <c r="T49" i="5"/>
  <c r="P38" i="5"/>
  <c r="T25" i="5"/>
  <c r="K11" i="5"/>
  <c r="A404" i="3"/>
  <c r="D388" i="3"/>
  <c r="H374" i="3"/>
  <c r="I358" i="3"/>
  <c r="AH342" i="3"/>
  <c r="D329" i="3"/>
  <c r="G315" i="3"/>
  <c r="AE299" i="3"/>
  <c r="AG285" i="3"/>
  <c r="AG269" i="3"/>
  <c r="AJ253" i="3"/>
  <c r="C240" i="3"/>
  <c r="E224" i="3"/>
  <c r="G210" i="3"/>
  <c r="J194" i="3"/>
  <c r="AH180" i="3"/>
  <c r="B165" i="3"/>
  <c r="E151" i="3"/>
  <c r="G137" i="3"/>
  <c r="H121" i="3"/>
  <c r="AE107" i="3"/>
  <c r="AH89" i="3"/>
  <c r="AJ73" i="3"/>
  <c r="B60" i="3"/>
  <c r="F32" i="3"/>
  <c r="AE18" i="3"/>
  <c r="AE10" i="3"/>
  <c r="E193" i="25"/>
  <c r="D3" i="22"/>
  <c r="J362" i="17"/>
  <c r="J234" i="17"/>
  <c r="J106" i="17"/>
  <c r="A94" i="15"/>
  <c r="F126" i="12"/>
  <c r="G38" i="8"/>
  <c r="G6" i="8"/>
  <c r="A287" i="6"/>
  <c r="A255" i="6"/>
  <c r="A223" i="6"/>
  <c r="A183" i="6"/>
  <c r="A143" i="6"/>
  <c r="A87" i="6"/>
  <c r="A31" i="6"/>
  <c r="B400" i="5"/>
  <c r="N377" i="5"/>
  <c r="B352" i="5"/>
  <c r="J326" i="5"/>
  <c r="R300" i="5"/>
  <c r="J278" i="5"/>
  <c r="B256" i="5"/>
  <c r="J230" i="5"/>
  <c r="N201" i="5"/>
  <c r="F179" i="5"/>
  <c r="R156" i="5"/>
  <c r="J134" i="5"/>
  <c r="B112" i="5"/>
  <c r="E116" i="12"/>
  <c r="B123" i="23"/>
  <c r="C33" i="17"/>
  <c r="I469" i="25"/>
  <c r="G129" i="17"/>
  <c r="B202" i="12"/>
  <c r="D31" i="12"/>
  <c r="C103" i="11"/>
  <c r="E17" i="25"/>
  <c r="F325" i="17"/>
  <c r="F69" i="17"/>
  <c r="C84" i="12"/>
  <c r="G7" i="9"/>
  <c r="B229" i="6"/>
  <c r="B101" i="6"/>
  <c r="S402" i="5"/>
  <c r="O351" i="5"/>
  <c r="K300" i="5"/>
  <c r="G249" i="5"/>
  <c r="C198" i="5"/>
  <c r="S146" i="5"/>
  <c r="O95" i="5"/>
  <c r="K44" i="5"/>
  <c r="G397" i="3"/>
  <c r="G334" i="3"/>
  <c r="B271" i="3"/>
  <c r="AF207" i="3"/>
  <c r="AE144" i="3"/>
  <c r="D81" i="3"/>
  <c r="A617" i="25"/>
  <c r="B21" i="19"/>
  <c r="N144" i="17"/>
  <c r="C186" i="12"/>
  <c r="G86" i="11"/>
  <c r="H605" i="25"/>
  <c r="H320" i="25"/>
  <c r="H14" i="25"/>
  <c r="A324" i="17"/>
  <c r="A68" i="17"/>
  <c r="B60" i="24"/>
  <c r="L293" i="17"/>
  <c r="F41" i="15"/>
  <c r="B216" i="11"/>
  <c r="G655" i="25"/>
  <c r="C27" i="19"/>
  <c r="K146" i="17"/>
  <c r="G187" i="12"/>
  <c r="C88" i="11"/>
  <c r="C113" i="22"/>
  <c r="O242" i="17"/>
  <c r="D81" i="15"/>
  <c r="C217" i="11"/>
  <c r="G102" i="22"/>
  <c r="E76" i="15"/>
  <c r="H2" i="8"/>
  <c r="F58" i="6"/>
  <c r="O334" i="5"/>
  <c r="G232" i="5"/>
  <c r="S129" i="5"/>
  <c r="K27" i="5"/>
  <c r="I313" i="3"/>
  <c r="AH186" i="3"/>
  <c r="C60" i="3"/>
  <c r="N315" i="17"/>
  <c r="H72" i="12"/>
  <c r="H266" i="6"/>
  <c r="H106" i="6"/>
  <c r="A405" i="5"/>
  <c r="Q353" i="5"/>
  <c r="M302" i="5"/>
  <c r="I251" i="5"/>
  <c r="E200" i="5"/>
  <c r="A149" i="5"/>
  <c r="Q97" i="5"/>
  <c r="M46" i="5"/>
  <c r="AJ399" i="3"/>
  <c r="AI336" i="3"/>
  <c r="AF273" i="3"/>
  <c r="F210" i="3"/>
  <c r="E147" i="3"/>
  <c r="AH83" i="3"/>
  <c r="H34" i="33"/>
  <c r="B174" i="17"/>
  <c r="D126" i="11"/>
  <c r="C154" i="6"/>
  <c r="T372" i="5"/>
  <c r="L270" i="5"/>
  <c r="D168" i="5"/>
  <c r="P65" i="5"/>
  <c r="E360" i="3"/>
  <c r="AJ233" i="3"/>
  <c r="G107" i="3"/>
  <c r="D477" i="25"/>
  <c r="B127" i="17"/>
  <c r="A61" i="11"/>
  <c r="G129" i="6"/>
  <c r="D363" i="5"/>
  <c r="P260" i="5"/>
  <c r="C84" i="24"/>
  <c r="G63" i="22"/>
  <c r="G530" i="25"/>
  <c r="H3" i="19"/>
  <c r="E135" i="17"/>
  <c r="B452" i="25"/>
  <c r="H4" i="18"/>
  <c r="D42" i="17"/>
  <c r="E41" i="12"/>
  <c r="F27" i="11"/>
  <c r="F278" i="19"/>
  <c r="C214" i="17"/>
  <c r="H24" i="15"/>
  <c r="C178" i="11"/>
  <c r="B15" i="24"/>
  <c r="G310" i="17"/>
  <c r="G54" i="17"/>
  <c r="G64" i="12"/>
  <c r="A373" i="25"/>
  <c r="F119" i="17"/>
  <c r="D51" i="11"/>
  <c r="B126" i="6"/>
  <c r="O393" i="5"/>
  <c r="K342" i="5"/>
  <c r="G291" i="5"/>
  <c r="C240" i="5"/>
  <c r="S188" i="5"/>
  <c r="O137" i="5"/>
  <c r="K86" i="5"/>
  <c r="G35" i="5"/>
  <c r="A386" i="3"/>
  <c r="C323" i="3"/>
  <c r="AF259" i="3"/>
  <c r="E196" i="3"/>
  <c r="D133" i="3"/>
  <c r="AH69" i="3"/>
  <c r="C227" i="25"/>
  <c r="G69" i="19"/>
  <c r="N290" i="17"/>
  <c r="N162" i="17"/>
  <c r="N34" i="17"/>
  <c r="C210" i="12"/>
  <c r="F39" i="12"/>
  <c r="G110" i="11"/>
  <c r="B31" i="8"/>
  <c r="G7" i="7"/>
  <c r="D258" i="6"/>
  <c r="D215" i="6"/>
  <c r="H172" i="6"/>
  <c r="D132" i="6"/>
  <c r="D100" i="6"/>
  <c r="D68" i="6"/>
  <c r="D36" i="6"/>
  <c r="D4" i="6"/>
  <c r="I402" i="5"/>
  <c r="M389" i="5"/>
  <c r="Q376" i="5"/>
  <c r="A364" i="5"/>
  <c r="E351" i="5"/>
  <c r="I338" i="5"/>
  <c r="M325" i="5"/>
  <c r="Q312" i="5"/>
  <c r="A300" i="5"/>
  <c r="E287" i="5"/>
  <c r="I274" i="5"/>
  <c r="M261" i="5"/>
  <c r="Q248" i="5"/>
  <c r="A236" i="5"/>
  <c r="E223" i="5"/>
  <c r="I210" i="5"/>
  <c r="M197" i="5"/>
  <c r="Q184" i="5"/>
  <c r="A172" i="5"/>
  <c r="E159" i="5"/>
  <c r="I146" i="5"/>
  <c r="M133" i="5"/>
  <c r="Q120" i="5"/>
  <c r="A108" i="5"/>
  <c r="E95" i="5"/>
  <c r="I82" i="5"/>
  <c r="M69" i="5"/>
  <c r="Q56" i="5"/>
  <c r="A44" i="5"/>
  <c r="E31" i="5"/>
  <c r="I18" i="5"/>
  <c r="I412" i="3"/>
  <c r="AG396" i="3"/>
  <c r="AJ380" i="3"/>
  <c r="D365" i="3"/>
  <c r="G349" i="3"/>
  <c r="AG333" i="3"/>
  <c r="B318" i="3"/>
  <c r="E302" i="3"/>
  <c r="H286" i="3"/>
  <c r="H270" i="3"/>
  <c r="AE254" i="3"/>
  <c r="AH238" i="3"/>
  <c r="AJ222" i="3"/>
  <c r="B207" i="3"/>
  <c r="G191" i="3"/>
  <c r="AE175" i="3"/>
  <c r="AG159" i="3"/>
  <c r="A144" i="3"/>
  <c r="B128" i="3"/>
  <c r="F112" i="3"/>
  <c r="H96" i="3"/>
  <c r="J80" i="3"/>
  <c r="AF64" i="3"/>
  <c r="AI48" i="3"/>
  <c r="A33" i="3"/>
  <c r="B656" i="25"/>
  <c r="A46" i="23"/>
  <c r="B30" i="19"/>
  <c r="B276" i="17"/>
  <c r="B148" i="17"/>
  <c r="B20" i="17"/>
  <c r="C191" i="12"/>
  <c r="F20" i="12"/>
  <c r="G91" i="11"/>
  <c r="A21" i="8"/>
  <c r="C269" i="6"/>
  <c r="C205" i="6"/>
  <c r="C141" i="6"/>
  <c r="C77" i="6"/>
  <c r="C13" i="6"/>
  <c r="H393" i="5"/>
  <c r="P367" i="5"/>
  <c r="D342" i="5"/>
  <c r="L316" i="5"/>
  <c r="T290" i="5"/>
  <c r="H265" i="5"/>
  <c r="P239" i="5"/>
  <c r="D214" i="5"/>
  <c r="L188" i="5"/>
  <c r="T162" i="5"/>
  <c r="H137" i="5"/>
  <c r="P111" i="5"/>
  <c r="D86" i="5"/>
  <c r="L60" i="5"/>
  <c r="T34" i="5"/>
  <c r="G9" i="5"/>
  <c r="H385" i="3"/>
  <c r="AH353" i="3"/>
  <c r="AD322" i="3"/>
  <c r="AJ290" i="3"/>
  <c r="C259" i="3"/>
  <c r="I227" i="3"/>
  <c r="AF195" i="3"/>
  <c r="F164" i="3"/>
  <c r="AE132" i="3"/>
  <c r="AI100" i="3"/>
  <c r="E69" i="3"/>
  <c r="J37" i="3"/>
  <c r="E14" i="3"/>
  <c r="B268" i="25"/>
  <c r="G50" i="22"/>
  <c r="B357" i="17"/>
  <c r="B229" i="17"/>
  <c r="B101" i="17"/>
  <c r="A53" i="15"/>
  <c r="H125" i="12"/>
  <c r="A197" i="11"/>
  <c r="D26" i="11"/>
  <c r="F15" i="7"/>
  <c r="G244" i="6"/>
  <c r="G180" i="6"/>
  <c r="G116" i="6"/>
  <c r="G52" i="6"/>
  <c r="D409" i="5"/>
  <c r="L383" i="5"/>
  <c r="T357" i="5"/>
  <c r="H332" i="5"/>
  <c r="P306" i="5"/>
  <c r="D281" i="5"/>
  <c r="L255" i="5"/>
  <c r="T229" i="5"/>
  <c r="D85" i="23"/>
  <c r="G16" i="25"/>
  <c r="A243" i="19"/>
  <c r="F2" i="21"/>
  <c r="I397" i="25"/>
  <c r="B150" i="22"/>
  <c r="E377" i="17"/>
  <c r="E249" i="17"/>
  <c r="E121" i="17"/>
  <c r="C92" i="15"/>
  <c r="F334" i="25"/>
  <c r="F104" i="22"/>
  <c r="L364" i="17"/>
  <c r="D194" i="17"/>
  <c r="H23" i="17"/>
  <c r="A168" i="12"/>
  <c r="E27" i="12"/>
  <c r="F141" i="11"/>
  <c r="F13" i="11"/>
  <c r="I43" i="25"/>
  <c r="F222" i="19"/>
  <c r="C328" i="17"/>
  <c r="C200" i="17"/>
  <c r="C72" i="17"/>
  <c r="A26" i="14"/>
  <c r="D88" i="12"/>
  <c r="E159" i="11"/>
  <c r="B43" i="26"/>
  <c r="G161" i="23"/>
  <c r="F93" i="19"/>
  <c r="G296" i="17"/>
  <c r="G168" i="17"/>
  <c r="G40" i="17"/>
  <c r="G216" i="12"/>
  <c r="B46" i="12"/>
  <c r="H117" i="11"/>
  <c r="I173" i="25"/>
  <c r="F347" i="17"/>
  <c r="F91" i="17"/>
  <c r="F113" i="12"/>
  <c r="A14" i="11"/>
  <c r="B240" i="6"/>
  <c r="B112" i="6"/>
  <c r="G407" i="5"/>
  <c r="C356" i="5"/>
  <c r="S304" i="5"/>
  <c r="O253" i="5"/>
  <c r="K202" i="5"/>
  <c r="G151" i="5"/>
  <c r="C100" i="5"/>
  <c r="S48" i="5"/>
  <c r="AH402" i="3"/>
  <c r="AF339" i="3"/>
  <c r="J276" i="3"/>
  <c r="C213" i="3"/>
  <c r="B150" i="3"/>
  <c r="AF86" i="3"/>
  <c r="A32" i="26"/>
  <c r="G85" i="19"/>
  <c r="N166" i="17"/>
  <c r="F215" i="12"/>
  <c r="A116" i="11"/>
  <c r="C9" i="7"/>
  <c r="H216" i="6"/>
  <c r="D133" i="6"/>
  <c r="D69" i="6"/>
  <c r="D5" i="6"/>
  <c r="A390" i="5"/>
  <c r="I364" i="5"/>
  <c r="Q338" i="5"/>
  <c r="E313" i="5"/>
  <c r="M287" i="5"/>
  <c r="A262" i="5"/>
  <c r="I236" i="5"/>
  <c r="Q210" i="5"/>
  <c r="E185" i="5"/>
  <c r="M159" i="5"/>
  <c r="A134" i="5"/>
  <c r="I108" i="5"/>
  <c r="Q82" i="5"/>
  <c r="E57" i="5"/>
  <c r="M31" i="5"/>
  <c r="AJ412" i="3"/>
  <c r="H381" i="3"/>
  <c r="AH349" i="3"/>
  <c r="J318" i="3"/>
  <c r="AJ286" i="3"/>
  <c r="C255" i="3"/>
  <c r="H223" i="3"/>
  <c r="AI191" i="3"/>
  <c r="E160" i="3"/>
  <c r="J128" i="3"/>
  <c r="AI96" i="3"/>
  <c r="D65" i="3"/>
  <c r="I33" i="3"/>
  <c r="C67" i="23"/>
  <c r="B280" i="17"/>
  <c r="B24" i="17"/>
  <c r="H25" i="12"/>
  <c r="A23" i="8"/>
  <c r="C207" i="6"/>
  <c r="C79" i="6"/>
  <c r="D394" i="5"/>
  <c r="T342" i="5"/>
  <c r="P291" i="5"/>
  <c r="L240" i="5"/>
  <c r="H189" i="5"/>
  <c r="D138" i="5"/>
  <c r="T86" i="5"/>
  <c r="P35" i="5"/>
  <c r="H386" i="3"/>
  <c r="J323" i="3"/>
  <c r="C260" i="3"/>
  <c r="AF196" i="3"/>
  <c r="AE133" i="3"/>
  <c r="E70" i="3"/>
  <c r="AG14" i="3"/>
  <c r="B72" i="22"/>
  <c r="B233" i="17"/>
  <c r="A61" i="15"/>
  <c r="D202" i="11"/>
  <c r="F17" i="7"/>
  <c r="G182" i="6"/>
  <c r="G54" i="6"/>
  <c r="H384" i="5"/>
  <c r="D333" i="5"/>
  <c r="D301" i="5"/>
  <c r="L275" i="5"/>
  <c r="T249" i="5"/>
  <c r="D225" i="5"/>
  <c r="H208" i="5"/>
  <c r="D193" i="5"/>
  <c r="H180" i="5"/>
  <c r="L167" i="5"/>
  <c r="P154" i="5"/>
  <c r="T141" i="5"/>
  <c r="D129" i="5"/>
  <c r="H116" i="5"/>
  <c r="L103" i="5"/>
  <c r="P90" i="5"/>
  <c r="T77" i="5"/>
  <c r="D65" i="5"/>
  <c r="H52" i="5"/>
  <c r="L39" i="5"/>
  <c r="P26" i="5"/>
  <c r="S13" i="5"/>
  <c r="AJ406" i="3"/>
  <c r="C391" i="3"/>
  <c r="G375" i="3"/>
  <c r="I359" i="3"/>
  <c r="AH343" i="3"/>
  <c r="D328" i="3"/>
  <c r="H312" i="3"/>
  <c r="AE296" i="3"/>
  <c r="AG280" i="3"/>
  <c r="AH264" i="3"/>
  <c r="B249" i="3"/>
  <c r="D233" i="3"/>
  <c r="F217" i="3"/>
  <c r="G201" i="3"/>
  <c r="AG185" i="3"/>
  <c r="A170" i="3"/>
  <c r="E154" i="3"/>
  <c r="G138" i="3"/>
  <c r="H122" i="3"/>
  <c r="AE106" i="3"/>
  <c r="AH90" i="3"/>
  <c r="AJ74" i="3"/>
  <c r="B59" i="3"/>
  <c r="E43" i="3"/>
  <c r="G27" i="3"/>
  <c r="C17" i="3"/>
  <c r="C9" i="3"/>
  <c r="F136" i="25"/>
  <c r="G278" i="19"/>
  <c r="J338" i="17"/>
  <c r="J210" i="17"/>
  <c r="J82" i="17"/>
  <c r="A14" i="15"/>
  <c r="F94" i="12"/>
  <c r="D168" i="11"/>
  <c r="E3" i="10"/>
  <c r="H6" i="7"/>
  <c r="A235" i="6"/>
  <c r="A171" i="6"/>
  <c r="A107" i="6"/>
  <c r="A43" i="6"/>
  <c r="R404" i="5"/>
  <c r="F379" i="5"/>
  <c r="N353" i="5"/>
  <c r="B328" i="5"/>
  <c r="J302" i="5"/>
  <c r="R276" i="5"/>
  <c r="F251" i="5"/>
  <c r="N225" i="5"/>
  <c r="B200" i="5"/>
  <c r="J174" i="5"/>
  <c r="R148" i="5"/>
  <c r="F123" i="5"/>
  <c r="N97" i="5"/>
  <c r="B72" i="5"/>
  <c r="J46" i="5"/>
  <c r="R20" i="5"/>
  <c r="AI399" i="3"/>
  <c r="G368" i="3"/>
  <c r="AH336" i="3"/>
  <c r="H305" i="3"/>
  <c r="AE273" i="3"/>
  <c r="A242" i="3"/>
  <c r="E210" i="3"/>
  <c r="AG178" i="3"/>
  <c r="D147" i="3"/>
  <c r="H115" i="3"/>
  <c r="AG83" i="3"/>
  <c r="B52" i="3"/>
  <c r="AJ21" i="3"/>
  <c r="H890" i="25"/>
  <c r="A134" i="23"/>
  <c r="G94" i="19"/>
  <c r="J300" i="17"/>
  <c r="J172" i="17"/>
  <c r="J44" i="17"/>
  <c r="H219" i="12"/>
  <c r="C49" i="12"/>
  <c r="G117" i="11"/>
  <c r="G27" i="8"/>
  <c r="A274" i="6"/>
  <c r="A210" i="6"/>
  <c r="A146" i="6"/>
  <c r="A82" i="6"/>
  <c r="A18" i="6"/>
  <c r="N395" i="5"/>
  <c r="B370" i="5"/>
  <c r="J344" i="5"/>
  <c r="R318" i="5"/>
  <c r="F293" i="5"/>
  <c r="N267" i="5"/>
  <c r="B242" i="5"/>
  <c r="J216" i="5"/>
  <c r="R190" i="5"/>
  <c r="F165" i="5"/>
  <c r="N139" i="5"/>
  <c r="B114" i="5"/>
  <c r="J88" i="5"/>
  <c r="R62" i="5"/>
  <c r="F37" i="5"/>
  <c r="M11" i="5"/>
  <c r="J388" i="3"/>
  <c r="AJ356" i="3"/>
  <c r="AE325" i="3"/>
  <c r="A294" i="3"/>
  <c r="D262" i="3"/>
  <c r="J230" i="3"/>
  <c r="AG198" i="3"/>
  <c r="G167" i="3"/>
  <c r="AG135" i="3"/>
  <c r="A104" i="3"/>
  <c r="F72" i="3"/>
  <c r="AE40" i="3"/>
  <c r="AH15" i="3"/>
  <c r="K411" i="2"/>
  <c r="M406" i="2"/>
  <c r="O401" i="2"/>
  <c r="Q396" i="2"/>
  <c r="S391" i="2"/>
  <c r="U386" i="2"/>
  <c r="W381" i="2"/>
  <c r="Y376" i="2"/>
  <c r="A372" i="2"/>
  <c r="C367" i="2"/>
  <c r="E362" i="2"/>
  <c r="G357" i="2"/>
  <c r="I352" i="2"/>
  <c r="K347" i="2"/>
  <c r="M342" i="2"/>
  <c r="O337" i="2"/>
  <c r="Q332" i="2"/>
  <c r="S327" i="2"/>
  <c r="U322" i="2"/>
  <c r="W317" i="2"/>
  <c r="Y312" i="2"/>
  <c r="A308" i="2"/>
  <c r="C303" i="2"/>
  <c r="E298" i="2"/>
  <c r="G293" i="2"/>
  <c r="I288" i="2"/>
  <c r="K283" i="2"/>
  <c r="M278" i="2"/>
  <c r="O273" i="2"/>
  <c r="Q268" i="2"/>
  <c r="S263" i="2"/>
  <c r="U258" i="2"/>
  <c r="W253" i="2"/>
  <c r="Y248" i="2"/>
  <c r="A244" i="2"/>
  <c r="C239" i="2"/>
  <c r="E234" i="2"/>
  <c r="G229" i="2"/>
  <c r="I224" i="2"/>
  <c r="K219" i="2"/>
  <c r="M214" i="2"/>
  <c r="O209" i="2"/>
  <c r="Q204" i="2"/>
  <c r="S199" i="2"/>
  <c r="U194" i="2"/>
  <c r="W189" i="2"/>
  <c r="Y184" i="2"/>
  <c r="A180" i="2"/>
  <c r="C175" i="2"/>
  <c r="E170" i="2"/>
  <c r="G165" i="2"/>
  <c r="I160" i="2"/>
  <c r="K155" i="2"/>
  <c r="M150" i="2"/>
  <c r="O145" i="2"/>
  <c r="Q140" i="2"/>
  <c r="S135" i="2"/>
  <c r="U130" i="2"/>
  <c r="W125" i="2"/>
  <c r="Y120" i="2"/>
  <c r="A116" i="2"/>
  <c r="C111" i="2"/>
  <c r="E106" i="2"/>
  <c r="G101" i="2"/>
  <c r="I96" i="2"/>
  <c r="K91" i="2"/>
  <c r="M86" i="2"/>
  <c r="O81" i="2"/>
  <c r="Q76" i="2"/>
  <c r="S71" i="2"/>
  <c r="U66" i="2"/>
  <c r="W61" i="2"/>
  <c r="Y56" i="2"/>
  <c r="A52" i="2"/>
  <c r="C47" i="2"/>
  <c r="E42" i="2"/>
  <c r="G37" i="2"/>
  <c r="I32" i="2"/>
  <c r="K27" i="2"/>
  <c r="M22" i="2"/>
  <c r="O17" i="2"/>
  <c r="P12" i="2"/>
  <c r="R7" i="2"/>
  <c r="C115" i="25"/>
  <c r="G250" i="19"/>
  <c r="J339" i="17"/>
  <c r="J211" i="17"/>
  <c r="J83" i="17"/>
  <c r="A16" i="15"/>
  <c r="H143" i="12"/>
  <c r="F58" i="12"/>
  <c r="D212" i="11"/>
  <c r="A127" i="11"/>
  <c r="G41" i="11"/>
  <c r="C33" i="8"/>
  <c r="D19" i="7"/>
  <c r="E279" i="6"/>
  <c r="E247" i="6"/>
  <c r="E215" i="6"/>
  <c r="E183" i="6"/>
  <c r="E151" i="6"/>
  <c r="E119" i="6"/>
  <c r="E87" i="6"/>
  <c r="E55" i="6"/>
  <c r="E23" i="6"/>
  <c r="R409" i="5"/>
  <c r="B397" i="5"/>
  <c r="F384" i="5"/>
  <c r="J371" i="5"/>
  <c r="N358" i="5"/>
  <c r="R345" i="5"/>
  <c r="B333" i="5"/>
  <c r="F320" i="5"/>
  <c r="J307" i="5"/>
  <c r="N294" i="5"/>
  <c r="R281" i="5"/>
  <c r="B269" i="5"/>
  <c r="F256" i="5"/>
  <c r="J243" i="5"/>
  <c r="N230" i="5"/>
  <c r="R217" i="5"/>
  <c r="B205" i="5"/>
  <c r="F192" i="5"/>
  <c r="J179" i="5"/>
  <c r="N166" i="5"/>
  <c r="R153" i="5"/>
  <c r="B141" i="5"/>
  <c r="F128" i="5"/>
  <c r="J115" i="5"/>
  <c r="N102" i="5"/>
  <c r="R89" i="5"/>
  <c r="B77" i="5"/>
  <c r="F64" i="5"/>
  <c r="J51" i="5"/>
  <c r="N38" i="5"/>
  <c r="R25" i="5"/>
  <c r="A13" i="5"/>
  <c r="C406" i="3"/>
  <c r="E390" i="3"/>
  <c r="J374" i="3"/>
  <c r="AE358" i="3"/>
  <c r="AJ342" i="3"/>
  <c r="G327" i="3"/>
  <c r="J311" i="3"/>
  <c r="AG295" i="3"/>
  <c r="AI279" i="3"/>
  <c r="AJ263" i="3"/>
  <c r="D248" i="3"/>
  <c r="F232" i="3"/>
  <c r="H216" i="3"/>
  <c r="I200" i="3"/>
  <c r="AJ184" i="3"/>
  <c r="C169" i="3"/>
  <c r="G153" i="3"/>
  <c r="I137" i="3"/>
  <c r="J121" i="3"/>
  <c r="AG105" i="3"/>
  <c r="AJ89" i="3"/>
  <c r="B74" i="3"/>
  <c r="E58" i="3"/>
  <c r="G42" i="3"/>
  <c r="I26" i="3"/>
  <c r="AF16" i="3"/>
  <c r="AF8" i="3"/>
  <c r="B32" i="22"/>
  <c r="J233" i="17"/>
  <c r="A84" i="15"/>
  <c r="G209" i="11"/>
  <c r="C8" i="8"/>
  <c r="E186" i="6"/>
  <c r="E58" i="6"/>
  <c r="R387" i="5"/>
  <c r="N336" i="5"/>
  <c r="J285" i="5"/>
  <c r="F234" i="5"/>
  <c r="B183" i="5"/>
  <c r="R131" i="5"/>
  <c r="N80" i="5"/>
  <c r="J29" i="5"/>
  <c r="AJ379" i="3"/>
  <c r="A317" i="3"/>
  <c r="AD253" i="3"/>
  <c r="F190" i="3"/>
  <c r="A127" i="3"/>
  <c r="AE63" i="3"/>
  <c r="H11" i="3"/>
  <c r="S410" i="2"/>
  <c r="L407" i="2"/>
  <c r="D404" i="2"/>
  <c r="W400" i="2"/>
  <c r="P397" i="2"/>
  <c r="H394" i="2"/>
  <c r="A391" i="2"/>
  <c r="T387" i="2"/>
  <c r="L384" i="2"/>
  <c r="E381" i="2"/>
  <c r="X377" i="2"/>
  <c r="P374" i="2"/>
  <c r="I371" i="2"/>
  <c r="B368" i="2"/>
  <c r="T364" i="2"/>
  <c r="M361" i="2"/>
  <c r="F358" i="2"/>
  <c r="X354" i="2"/>
  <c r="Q351" i="2"/>
  <c r="J348" i="2"/>
  <c r="B345" i="2"/>
  <c r="U341" i="2"/>
  <c r="N338" i="2"/>
  <c r="F335" i="2"/>
  <c r="Y331" i="2"/>
  <c r="R328" i="2"/>
  <c r="J325" i="2"/>
  <c r="C322" i="2"/>
  <c r="V318" i="2"/>
  <c r="N315" i="2"/>
  <c r="G312" i="2"/>
  <c r="Z308" i="2"/>
  <c r="R305" i="2"/>
  <c r="K302" i="2"/>
  <c r="D299" i="2"/>
  <c r="V295" i="2"/>
  <c r="O292" i="2"/>
  <c r="H289" i="2"/>
  <c r="Z285" i="2"/>
  <c r="S282" i="2"/>
  <c r="L279" i="2"/>
  <c r="D276" i="2"/>
  <c r="W272" i="2"/>
  <c r="P269" i="2"/>
  <c r="H266" i="2"/>
  <c r="A263" i="2"/>
  <c r="T259" i="2"/>
  <c r="L256" i="2"/>
  <c r="E253" i="2"/>
  <c r="X249" i="2"/>
  <c r="P246" i="2"/>
  <c r="I243" i="2"/>
  <c r="B240" i="2"/>
  <c r="T236" i="2"/>
  <c r="M233" i="2"/>
  <c r="F230" i="2"/>
  <c r="X226" i="2"/>
  <c r="Q223" i="2"/>
  <c r="J220" i="2"/>
  <c r="B217" i="2"/>
  <c r="U213" i="2"/>
  <c r="N210" i="2"/>
  <c r="F207" i="2"/>
  <c r="Y203" i="2"/>
  <c r="R200" i="2"/>
  <c r="J197" i="2"/>
  <c r="C194" i="2"/>
  <c r="V190" i="2"/>
  <c r="N187" i="2"/>
  <c r="G184" i="2"/>
  <c r="Z180" i="2"/>
  <c r="R177" i="2"/>
  <c r="K174" i="2"/>
  <c r="D171" i="2"/>
  <c r="V167" i="2"/>
  <c r="O164" i="2"/>
  <c r="H161" i="2"/>
  <c r="Z157" i="2"/>
  <c r="S154" i="2"/>
  <c r="L151" i="2"/>
  <c r="D148" i="2"/>
  <c r="W144" i="2"/>
  <c r="P141" i="2"/>
  <c r="H138" i="2"/>
  <c r="A135" i="2"/>
  <c r="T131" i="2"/>
  <c r="L128" i="2"/>
  <c r="E125" i="2"/>
  <c r="X121" i="2"/>
  <c r="P118" i="2"/>
  <c r="I115" i="2"/>
  <c r="B112" i="2"/>
  <c r="T108" i="2"/>
  <c r="M105" i="2"/>
  <c r="F102" i="2"/>
  <c r="X98" i="2"/>
  <c r="Q95" i="2"/>
  <c r="J92" i="2"/>
  <c r="B89" i="2"/>
  <c r="U85" i="2"/>
  <c r="N82" i="2"/>
  <c r="F79" i="2"/>
  <c r="Y75" i="2"/>
  <c r="R72" i="2"/>
  <c r="J69" i="2"/>
  <c r="C66" i="2"/>
  <c r="V62" i="2"/>
  <c r="N59" i="2"/>
  <c r="G56" i="2"/>
  <c r="Z52" i="2"/>
  <c r="R49" i="2"/>
  <c r="K46" i="2"/>
  <c r="D43" i="2"/>
  <c r="V39" i="2"/>
  <c r="O36" i="2"/>
  <c r="H33" i="2"/>
  <c r="Z29" i="2"/>
  <c r="S26" i="2"/>
  <c r="L23" i="2"/>
  <c r="D20" i="2"/>
  <c r="W16" i="2"/>
  <c r="P13" i="2"/>
  <c r="G10" i="2"/>
  <c r="Z6" i="2"/>
  <c r="B411" i="2"/>
  <c r="U407" i="2"/>
  <c r="N404" i="2"/>
  <c r="F401" i="2"/>
  <c r="Y397" i="2"/>
  <c r="R394" i="2"/>
  <c r="J391" i="2"/>
  <c r="C388" i="2"/>
  <c r="V384" i="2"/>
  <c r="N381" i="2"/>
  <c r="G378" i="2"/>
  <c r="Z374" i="2"/>
  <c r="R371" i="2"/>
  <c r="K368" i="2"/>
  <c r="D365" i="2"/>
  <c r="V361" i="2"/>
  <c r="O358" i="2"/>
  <c r="H355" i="2"/>
  <c r="Z351" i="2"/>
  <c r="S348" i="2"/>
  <c r="L345" i="2"/>
  <c r="D342" i="2"/>
  <c r="W338" i="2"/>
  <c r="P335" i="2"/>
  <c r="H332" i="2"/>
  <c r="A329" i="2"/>
  <c r="T325" i="2"/>
  <c r="L322" i="2"/>
  <c r="E319" i="2"/>
  <c r="X315" i="2"/>
  <c r="P312" i="2"/>
  <c r="I309" i="2"/>
  <c r="B306" i="2"/>
  <c r="T302" i="2"/>
  <c r="M299" i="2"/>
  <c r="F296" i="2"/>
  <c r="X292" i="2"/>
  <c r="Q289" i="2"/>
  <c r="J286" i="2"/>
  <c r="B283" i="2"/>
  <c r="U279" i="2"/>
  <c r="N276" i="2"/>
  <c r="F273" i="2"/>
  <c r="Y269" i="2"/>
  <c r="R266" i="2"/>
  <c r="J263" i="2"/>
  <c r="C260" i="2"/>
  <c r="V256" i="2"/>
  <c r="N253" i="2"/>
  <c r="G250" i="2"/>
  <c r="Z246" i="2"/>
  <c r="R243" i="2"/>
  <c r="K240" i="2"/>
  <c r="D237" i="2"/>
  <c r="V233" i="2"/>
  <c r="O230" i="2"/>
  <c r="H227" i="2"/>
  <c r="Z223" i="2"/>
  <c r="S220" i="2"/>
  <c r="L217" i="2"/>
  <c r="D214" i="2"/>
  <c r="W210" i="2"/>
  <c r="P207" i="2"/>
  <c r="H204" i="2"/>
  <c r="A201" i="2"/>
  <c r="T197" i="2"/>
  <c r="L194" i="2"/>
  <c r="E191" i="2"/>
  <c r="X187" i="2"/>
  <c r="P184" i="2"/>
  <c r="I181" i="2"/>
  <c r="B178" i="2"/>
  <c r="T174" i="2"/>
  <c r="M171" i="2"/>
  <c r="F168" i="2"/>
  <c r="X164" i="2"/>
  <c r="Q161" i="2"/>
  <c r="J158" i="2"/>
  <c r="B155" i="2"/>
  <c r="U151" i="2"/>
  <c r="N148" i="2"/>
  <c r="F145" i="2"/>
  <c r="Y141" i="2"/>
  <c r="R138" i="2"/>
  <c r="J135" i="2"/>
  <c r="C132" i="2"/>
  <c r="V128" i="2"/>
  <c r="N125" i="2"/>
  <c r="G122" i="2"/>
  <c r="Z118" i="2"/>
  <c r="R115" i="2"/>
  <c r="K112" i="2"/>
  <c r="D109" i="2"/>
  <c r="V105" i="2"/>
  <c r="O102" i="2"/>
  <c r="H99" i="2"/>
  <c r="Z95" i="2"/>
  <c r="S92" i="2"/>
  <c r="L89" i="2"/>
  <c r="D86" i="2"/>
  <c r="W82" i="2"/>
  <c r="P79" i="2"/>
  <c r="H76" i="2"/>
  <c r="A73" i="2"/>
  <c r="T69" i="2"/>
  <c r="L66" i="2"/>
  <c r="E63" i="2"/>
  <c r="X59" i="2"/>
  <c r="P56" i="2"/>
  <c r="I53" i="2"/>
  <c r="B50" i="2"/>
  <c r="T46" i="2"/>
  <c r="M43" i="2"/>
  <c r="F40" i="2"/>
  <c r="X36" i="2"/>
  <c r="Q33" i="2"/>
  <c r="J30" i="2"/>
  <c r="B27" i="2"/>
  <c r="U23" i="2"/>
  <c r="N20" i="2"/>
  <c r="F17" i="2"/>
  <c r="Y13" i="2"/>
  <c r="Q10" i="2"/>
  <c r="I7" i="2"/>
  <c r="L411" i="2"/>
  <c r="D408" i="2"/>
  <c r="W404" i="2"/>
  <c r="P401" i="2"/>
  <c r="H398" i="2"/>
  <c r="A395" i="2"/>
  <c r="T391" i="2"/>
  <c r="L388" i="2"/>
  <c r="E385" i="2"/>
  <c r="X381" i="2"/>
  <c r="P378" i="2"/>
  <c r="I375" i="2"/>
  <c r="B372" i="2"/>
  <c r="T368" i="2"/>
  <c r="M365" i="2"/>
  <c r="F362" i="2"/>
  <c r="X358" i="2"/>
  <c r="Q355" i="2"/>
  <c r="J352" i="2"/>
  <c r="B349" i="2"/>
  <c r="U345" i="2"/>
  <c r="N342" i="2"/>
  <c r="F339" i="2"/>
  <c r="Y335" i="2"/>
  <c r="R332" i="2"/>
  <c r="J329" i="2"/>
  <c r="C326" i="2"/>
  <c r="V322" i="2"/>
  <c r="N319" i="2"/>
  <c r="G316" i="2"/>
  <c r="Z312" i="2"/>
  <c r="R309" i="2"/>
  <c r="K306" i="2"/>
  <c r="D303" i="2"/>
  <c r="V299" i="2"/>
  <c r="O296" i="2"/>
  <c r="H293" i="2"/>
  <c r="Z289" i="2"/>
  <c r="S286" i="2"/>
  <c r="L283" i="2"/>
  <c r="D280" i="2"/>
  <c r="W276" i="2"/>
  <c r="P273" i="2"/>
  <c r="H270" i="2"/>
  <c r="A267" i="2"/>
  <c r="T263" i="2"/>
  <c r="L260" i="2"/>
  <c r="E257" i="2"/>
  <c r="X253" i="2"/>
  <c r="P250" i="2"/>
  <c r="I247" i="2"/>
  <c r="B244" i="2"/>
  <c r="T240" i="2"/>
  <c r="M237" i="2"/>
  <c r="F234" i="2"/>
  <c r="X230" i="2"/>
  <c r="Q227" i="2"/>
  <c r="J224" i="2"/>
  <c r="B221" i="2"/>
  <c r="U217" i="2"/>
  <c r="N214" i="2"/>
  <c r="F211" i="2"/>
  <c r="Y207" i="2"/>
  <c r="R204" i="2"/>
  <c r="J201" i="2"/>
  <c r="C198" i="2"/>
  <c r="V194" i="2"/>
  <c r="N191" i="2"/>
  <c r="G188" i="2"/>
  <c r="Z184" i="2"/>
  <c r="R181" i="2"/>
  <c r="K178" i="2"/>
  <c r="D175" i="2"/>
  <c r="V171" i="2"/>
  <c r="O168" i="2"/>
  <c r="H165" i="2"/>
  <c r="Z161" i="2"/>
  <c r="S158" i="2"/>
  <c r="L155" i="2"/>
  <c r="D152" i="2"/>
  <c r="W148" i="2"/>
  <c r="P145" i="2"/>
  <c r="H142" i="2"/>
  <c r="A139" i="2"/>
  <c r="T135" i="2"/>
  <c r="L132" i="2"/>
  <c r="E129" i="2"/>
  <c r="X125" i="2"/>
  <c r="P122" i="2"/>
  <c r="I119" i="2"/>
  <c r="B116" i="2"/>
  <c r="T112" i="2"/>
  <c r="M109" i="2"/>
  <c r="F106" i="2"/>
  <c r="X102" i="2"/>
  <c r="Q99" i="2"/>
  <c r="J96" i="2"/>
  <c r="B93" i="2"/>
  <c r="U89" i="2"/>
  <c r="N86" i="2"/>
  <c r="F83" i="2"/>
  <c r="Y79" i="2"/>
  <c r="R76" i="2"/>
  <c r="J73" i="2"/>
  <c r="C70" i="2"/>
  <c r="V66" i="2"/>
  <c r="N63" i="2"/>
  <c r="G60" i="2"/>
  <c r="Z56" i="2"/>
  <c r="R53" i="2"/>
  <c r="K50" i="2"/>
  <c r="D47" i="2"/>
  <c r="V43" i="2"/>
  <c r="O40" i="2"/>
  <c r="H37" i="2"/>
  <c r="Z33" i="2"/>
  <c r="S30" i="2"/>
  <c r="L27" i="2"/>
  <c r="D24" i="2"/>
  <c r="W20" i="2"/>
  <c r="P17" i="2"/>
  <c r="H14" i="2"/>
  <c r="Z10" i="2"/>
  <c r="S7" i="2"/>
  <c r="D97" i="24"/>
  <c r="J317" i="17"/>
  <c r="J61" i="17"/>
  <c r="F82" i="12"/>
  <c r="C2" i="9"/>
  <c r="E236" i="6"/>
  <c r="E108" i="6"/>
  <c r="R407" i="5"/>
  <c r="N356" i="5"/>
  <c r="J305" i="5"/>
  <c r="F254" i="5"/>
  <c r="B203" i="5"/>
  <c r="R151" i="5"/>
  <c r="N100" i="5"/>
  <c r="J49" i="5"/>
  <c r="AE404" i="3"/>
  <c r="H341" i="3"/>
  <c r="G278" i="3"/>
  <c r="AJ214" i="3"/>
  <c r="AI151" i="3"/>
  <c r="I88" i="3"/>
  <c r="A25" i="3"/>
  <c r="D33" i="24"/>
  <c r="J293" i="17"/>
  <c r="J37" i="17"/>
  <c r="F50" i="12"/>
  <c r="C30" i="8"/>
  <c r="E208" i="6"/>
  <c r="E80" i="6"/>
  <c r="J393" i="5"/>
  <c r="F342" i="5"/>
  <c r="B291" i="5"/>
  <c r="R239" i="5"/>
  <c r="N188" i="5"/>
  <c r="J137" i="5"/>
  <c r="F86" i="5"/>
  <c r="B35" i="5"/>
  <c r="AH386" i="3"/>
  <c r="AJ323" i="3"/>
  <c r="I260" i="3"/>
  <c r="B197" i="3"/>
  <c r="A134" i="3"/>
  <c r="AD70" i="3"/>
  <c r="AJ14" i="3"/>
  <c r="T402" i="2"/>
  <c r="K396" i="2"/>
  <c r="L389" i="2"/>
  <c r="B383" i="2"/>
  <c r="H376" i="2"/>
  <c r="Y369" i="2"/>
  <c r="J363" i="2"/>
  <c r="V356" i="2"/>
  <c r="L350" i="2"/>
  <c r="V341" i="2"/>
  <c r="H335" i="2"/>
  <c r="S328" i="2"/>
  <c r="D322" i="2"/>
  <c r="P315" i="2"/>
  <c r="A309" i="2"/>
  <c r="G302" i="2"/>
  <c r="C296" i="2"/>
  <c r="T289" i="2"/>
  <c r="T282" i="2"/>
  <c r="P276" i="2"/>
  <c r="B270" i="2"/>
  <c r="M263" i="2"/>
  <c r="D257" i="2"/>
  <c r="Z250" i="2"/>
  <c r="F244" i="2"/>
  <c r="K236" i="2"/>
  <c r="V229" i="2"/>
  <c r="B223" i="2"/>
  <c r="S216" i="2"/>
  <c r="D210" i="2"/>
  <c r="E203" i="2"/>
  <c r="G198" i="2"/>
  <c r="R191" i="2"/>
  <c r="N185" i="2"/>
  <c r="E179" i="2"/>
  <c r="K172" i="2"/>
  <c r="B166" i="2"/>
  <c r="R159" i="2"/>
  <c r="I153" i="2"/>
  <c r="T146" i="2"/>
  <c r="P139" i="2"/>
  <c r="V132" i="2"/>
  <c r="G126" i="2"/>
  <c r="R119" i="2"/>
  <c r="D113" i="2"/>
  <c r="T106" i="2"/>
  <c r="F100" i="2"/>
  <c r="V93" i="2"/>
  <c r="M87" i="2"/>
  <c r="D81" i="2"/>
  <c r="O74" i="2"/>
  <c r="U67" i="2"/>
  <c r="F61" i="2"/>
  <c r="W54" i="2"/>
  <c r="N48" i="2"/>
  <c r="T41" i="2"/>
  <c r="V36" i="2"/>
  <c r="A29" i="2"/>
  <c r="G22" i="2"/>
  <c r="M15" i="2"/>
  <c r="W8" i="2"/>
  <c r="A54" i="23"/>
  <c r="J257" i="17"/>
  <c r="A100" i="15"/>
  <c r="F2" i="12"/>
  <c r="C20" i="8"/>
  <c r="E214" i="6"/>
  <c r="E86" i="6"/>
  <c r="R395" i="5"/>
  <c r="N344" i="5"/>
  <c r="J293" i="5"/>
  <c r="F242" i="5"/>
  <c r="B191" i="5"/>
  <c r="R139" i="5"/>
  <c r="N88" i="5"/>
  <c r="J37" i="5"/>
  <c r="AH385" i="3"/>
  <c r="AJ322" i="3"/>
  <c r="I259" i="3"/>
  <c r="B196" i="3"/>
  <c r="A133" i="3"/>
  <c r="AE69" i="3"/>
  <c r="H14" i="3"/>
  <c r="J410" i="2"/>
  <c r="W406" i="2"/>
  <c r="N400" i="2"/>
  <c r="Y393" i="2"/>
  <c r="P387" i="2"/>
  <c r="A381" i="2"/>
  <c r="B374" i="2"/>
  <c r="R367" i="2"/>
  <c r="D361" i="2"/>
  <c r="J354" i="2"/>
  <c r="U347" i="2"/>
  <c r="H343" i="2"/>
  <c r="S336" i="2"/>
  <c r="D330" i="2"/>
  <c r="P323" i="2"/>
  <c r="F317" i="2"/>
  <c r="L310" i="2"/>
  <c r="C304" i="2"/>
  <c r="D297" i="2"/>
  <c r="O290" i="2"/>
  <c r="Z283" i="2"/>
  <c r="L277" i="2"/>
  <c r="R270" i="2"/>
  <c r="X263" i="2"/>
  <c r="I257" i="2"/>
  <c r="J250" i="2"/>
  <c r="U243" i="2"/>
  <c r="R238" i="2"/>
  <c r="X231" i="2"/>
  <c r="T225" i="2"/>
  <c r="Z218" i="2"/>
  <c r="K212" i="2"/>
  <c r="G206" i="2"/>
  <c r="B198" i="2"/>
  <c r="M191" i="2"/>
  <c r="S184" i="2"/>
  <c r="N177" i="2"/>
  <c r="J171" i="2"/>
  <c r="P164" i="2"/>
  <c r="V157" i="2"/>
  <c r="B151" i="2"/>
  <c r="N144" i="2"/>
  <c r="O138" i="2"/>
  <c r="Z131" i="2"/>
  <c r="Q125" i="2"/>
  <c r="B119" i="2"/>
  <c r="H112" i="2"/>
  <c r="T105" i="2"/>
  <c r="E99" i="2"/>
  <c r="K92" i="2"/>
  <c r="F85" i="2"/>
  <c r="W78" i="2"/>
  <c r="N72" i="2"/>
  <c r="Y65" i="2"/>
  <c r="J59" i="2"/>
  <c r="K52" i="2"/>
  <c r="V45" i="2"/>
  <c r="V37" i="2"/>
  <c r="N32" i="2"/>
  <c r="D26" i="2"/>
  <c r="P19" i="2"/>
  <c r="F13" i="2"/>
  <c r="V6" i="2"/>
  <c r="L45" i="2"/>
  <c r="O34" i="2"/>
  <c r="T25" i="2"/>
  <c r="C16" i="2"/>
  <c r="G857" i="25"/>
  <c r="I60" i="25"/>
  <c r="E736" i="25"/>
  <c r="I158" i="25"/>
  <c r="G251" i="25"/>
  <c r="G127" i="22"/>
  <c r="C475" i="25"/>
  <c r="E41" i="23"/>
  <c r="D138" i="19"/>
  <c r="E693" i="25"/>
  <c r="F80" i="25"/>
  <c r="A20" i="23"/>
  <c r="C243" i="19"/>
  <c r="E17" i="18"/>
  <c r="E325" i="17"/>
  <c r="E261" i="17"/>
  <c r="E205" i="17"/>
  <c r="E133" i="17"/>
  <c r="E69" i="17"/>
  <c r="C116" i="15"/>
  <c r="D18" i="14"/>
  <c r="B433" i="25"/>
  <c r="B6" i="24"/>
  <c r="H125" i="22"/>
  <c r="B145" i="19"/>
  <c r="D370" i="17"/>
  <c r="L284" i="17"/>
  <c r="D210" i="17"/>
  <c r="L124" i="17"/>
  <c r="H39" i="17"/>
  <c r="B44" i="15"/>
  <c r="A208" i="12"/>
  <c r="E111" i="12"/>
  <c r="E31" i="12"/>
  <c r="F217" i="11"/>
  <c r="F161" i="11"/>
  <c r="F105" i="11"/>
  <c r="F41" i="11"/>
  <c r="B11" i="26"/>
  <c r="I299" i="25"/>
  <c r="G181" i="23"/>
  <c r="C77" i="22"/>
  <c r="F78" i="19"/>
  <c r="C356" i="17"/>
  <c r="C300" i="17"/>
  <c r="C236" i="17"/>
  <c r="C172" i="17"/>
  <c r="C108" i="17"/>
  <c r="C44" i="17"/>
  <c r="H84" i="15"/>
  <c r="D136" i="12"/>
  <c r="B51" i="12"/>
  <c r="E207" i="11"/>
  <c r="C122" i="11"/>
  <c r="H36" i="11"/>
  <c r="E673" i="25"/>
  <c r="E127" i="25"/>
  <c r="G97" i="23"/>
  <c r="F78" i="22"/>
  <c r="F237" i="19"/>
  <c r="F30" i="19"/>
  <c r="G340" i="17"/>
  <c r="G276" i="17"/>
  <c r="G228" i="17"/>
  <c r="G172" i="17"/>
  <c r="G108" i="17"/>
  <c r="G52" i="17"/>
  <c r="D84" i="15"/>
  <c r="E2" i="14"/>
  <c r="B158" i="12"/>
  <c r="G72" i="12"/>
  <c r="H229" i="11"/>
  <c r="C155" i="11"/>
  <c r="H69" i="11"/>
  <c r="F652" i="25"/>
  <c r="A50" i="23"/>
  <c r="E29" i="19"/>
  <c r="F291" i="17"/>
  <c r="F179" i="17"/>
  <c r="F51" i="17"/>
  <c r="H230" i="12"/>
  <c r="H38" i="12"/>
  <c r="D131" i="11"/>
  <c r="D36" i="8"/>
  <c r="B292" i="6"/>
  <c r="B236" i="6"/>
  <c r="B172" i="6"/>
  <c r="B108" i="6"/>
  <c r="B52" i="6"/>
  <c r="S408" i="5"/>
  <c r="G383" i="5"/>
  <c r="O357" i="5"/>
  <c r="C332" i="5"/>
  <c r="K306" i="5"/>
  <c r="S280" i="5"/>
  <c r="K258" i="5"/>
  <c r="C236" i="5"/>
  <c r="K210" i="5"/>
  <c r="S184" i="5"/>
  <c r="G159" i="5"/>
  <c r="S136" i="5"/>
  <c r="G111" i="5"/>
  <c r="O85" i="5"/>
  <c r="S56" i="5"/>
  <c r="G31" i="5"/>
  <c r="AD412" i="3"/>
  <c r="B381" i="3"/>
  <c r="I349" i="3"/>
  <c r="D322" i="3"/>
  <c r="I290" i="3"/>
  <c r="AE262" i="3"/>
  <c r="A235" i="3"/>
  <c r="D203" i="3"/>
  <c r="AG175" i="3"/>
  <c r="C148" i="3"/>
  <c r="F116" i="3"/>
  <c r="AF80" i="3"/>
  <c r="A49" i="3"/>
  <c r="B816" i="25"/>
  <c r="A106" i="23"/>
  <c r="E57" i="19"/>
  <c r="N302" i="17"/>
  <c r="N190" i="17"/>
  <c r="N62" i="17"/>
  <c r="F6" i="14"/>
  <c r="H76" i="12"/>
  <c r="D169" i="11"/>
  <c r="A20" i="11"/>
  <c r="F8" i="8"/>
  <c r="D283" i="6"/>
  <c r="H240" i="6"/>
  <c r="H192" i="6"/>
  <c r="D155" i="6"/>
  <c r="D123" i="6"/>
  <c r="D95" i="6"/>
  <c r="D59" i="6"/>
  <c r="D31" i="6"/>
  <c r="E413" i="5"/>
  <c r="A402" i="5"/>
  <c r="E389" i="5"/>
  <c r="I376" i="5"/>
  <c r="A362" i="5"/>
  <c r="Q350" i="5"/>
  <c r="M339" i="5"/>
  <c r="Q326" i="5"/>
  <c r="I312" i="5"/>
  <c r="A298" i="5"/>
  <c r="Q286" i="5"/>
  <c r="A274" i="5"/>
  <c r="E261" i="5"/>
  <c r="I248" i="5"/>
  <c r="M235" i="5"/>
  <c r="Q222" i="5"/>
  <c r="E213" i="5"/>
  <c r="I200" i="5"/>
  <c r="E189" i="5"/>
  <c r="I176" i="5"/>
  <c r="M163" i="5"/>
  <c r="Q150" i="5"/>
  <c r="A138" i="5"/>
  <c r="Q126" i="5"/>
  <c r="I112" i="5"/>
  <c r="M99" i="5"/>
  <c r="Q86" i="5"/>
  <c r="I72" i="5"/>
  <c r="A58" i="5"/>
  <c r="E45" i="5"/>
  <c r="A34" i="5"/>
  <c r="E21" i="5"/>
  <c r="P6" i="5"/>
  <c r="E396" i="3"/>
  <c r="I380" i="3"/>
  <c r="AF364" i="3"/>
  <c r="AH350" i="3"/>
  <c r="E335" i="3"/>
  <c r="J319" i="3"/>
  <c r="AG303" i="3"/>
  <c r="AI289" i="3"/>
  <c r="E248" i="3"/>
  <c r="G230" i="3"/>
  <c r="I216" i="3"/>
  <c r="J202" i="3"/>
  <c r="AJ186" i="3"/>
  <c r="D171" i="3"/>
  <c r="G155" i="3"/>
  <c r="I141" i="3"/>
  <c r="AE125" i="3"/>
  <c r="AH109" i="3"/>
  <c r="A92" i="3"/>
  <c r="C76" i="3"/>
  <c r="F58" i="3"/>
  <c r="H42" i="3"/>
  <c r="I34" i="3"/>
  <c r="J26" i="3"/>
  <c r="F600" i="25"/>
  <c r="C195" i="23"/>
  <c r="G124" i="19"/>
  <c r="B304" i="17"/>
  <c r="B192" i="17"/>
  <c r="B80" i="17"/>
  <c r="A43" i="15"/>
  <c r="H121" i="12"/>
  <c r="A193" i="11"/>
  <c r="D22" i="11"/>
  <c r="B14" i="7"/>
  <c r="C243" i="6"/>
  <c r="C179" i="6"/>
  <c r="C123" i="6"/>
  <c r="C67" i="6"/>
  <c r="C3" i="6"/>
  <c r="H389" i="5"/>
  <c r="P363" i="5"/>
  <c r="H341" i="5"/>
  <c r="P315" i="5"/>
  <c r="L296" i="5"/>
  <c r="T270" i="5"/>
  <c r="L248" i="5"/>
  <c r="D226" i="5"/>
  <c r="P203" i="5"/>
  <c r="H181" i="5"/>
  <c r="D162" i="5"/>
  <c r="L136" i="5"/>
  <c r="D114" i="5"/>
  <c r="P91" i="5"/>
  <c r="H69" i="5"/>
  <c r="T46" i="5"/>
  <c r="H21" i="5"/>
  <c r="E400" i="3"/>
  <c r="AG372" i="3"/>
  <c r="D337" i="3"/>
  <c r="AH305" i="3"/>
  <c r="A274" i="3"/>
  <c r="G238" i="3"/>
  <c r="AE206" i="3"/>
  <c r="C179" i="3"/>
  <c r="I151" i="3"/>
  <c r="AF123" i="3"/>
  <c r="A96" i="3"/>
  <c r="E68" i="3"/>
  <c r="J36" i="3"/>
  <c r="AG17" i="3"/>
  <c r="C496" i="25"/>
  <c r="B200" i="22"/>
  <c r="G13" i="18"/>
  <c r="B289" i="17"/>
  <c r="B161" i="17"/>
  <c r="B49" i="17"/>
  <c r="C227" i="12"/>
  <c r="H77" i="12"/>
  <c r="A149" i="11"/>
  <c r="A4" i="9"/>
  <c r="F5" i="7"/>
  <c r="G242" i="6"/>
  <c r="G186" i="6"/>
  <c r="G130" i="6"/>
  <c r="G74" i="6"/>
  <c r="G18" i="6"/>
  <c r="L395" i="5"/>
  <c r="H376" i="5"/>
  <c r="T353" i="5"/>
  <c r="L331" i="5"/>
  <c r="D309" i="5"/>
  <c r="P286" i="5"/>
  <c r="H264" i="5"/>
  <c r="L235" i="5"/>
  <c r="L215" i="5"/>
  <c r="P200" i="5"/>
  <c r="D189" i="5"/>
  <c r="H176" i="5"/>
  <c r="D165" i="5"/>
  <c r="H152" i="5"/>
  <c r="L139" i="5"/>
  <c r="P126" i="5"/>
  <c r="T113" i="5"/>
  <c r="D101" i="5"/>
  <c r="T89" i="5"/>
  <c r="P78" i="5"/>
  <c r="T65" i="5"/>
  <c r="P46" i="5"/>
  <c r="L35" i="5"/>
  <c r="P22" i="5"/>
  <c r="G8" i="5"/>
  <c r="A400" i="3"/>
  <c r="D384" i="3"/>
  <c r="I370" i="3"/>
  <c r="J354" i="3"/>
  <c r="AH340" i="3"/>
  <c r="E327" i="3"/>
  <c r="H311" i="3"/>
  <c r="AE295" i="3"/>
  <c r="AG281" i="3"/>
  <c r="AH265" i="3"/>
  <c r="A252" i="3"/>
  <c r="D236" i="3"/>
  <c r="E222" i="3"/>
  <c r="G204" i="3"/>
  <c r="AF190" i="3"/>
  <c r="AJ176" i="3"/>
  <c r="B161" i="3"/>
  <c r="F147" i="3"/>
  <c r="G133" i="3"/>
  <c r="I119" i="3"/>
  <c r="AE103" i="3"/>
  <c r="AI85" i="3"/>
  <c r="A70" i="3"/>
  <c r="D56" i="3"/>
  <c r="G26" i="3"/>
  <c r="AE16" i="3"/>
  <c r="AE8" i="3"/>
  <c r="D73" i="24"/>
  <c r="G246" i="19"/>
  <c r="J330" i="17"/>
  <c r="J202" i="17"/>
  <c r="J90" i="17"/>
  <c r="A30" i="15"/>
  <c r="H83" i="12"/>
  <c r="G30" i="8"/>
  <c r="H18" i="7"/>
  <c r="A279" i="6"/>
  <c r="A247" i="6"/>
  <c r="A207" i="6"/>
  <c r="A175" i="6"/>
  <c r="A127" i="6"/>
  <c r="A71" i="6"/>
  <c r="A15" i="6"/>
  <c r="N393" i="5"/>
  <c r="F371" i="5"/>
  <c r="N345" i="5"/>
  <c r="B320" i="5"/>
  <c r="N297" i="5"/>
  <c r="B272" i="5"/>
  <c r="N249" i="5"/>
  <c r="B224" i="5"/>
  <c r="J198" i="5"/>
  <c r="R172" i="5"/>
  <c r="J150" i="5"/>
  <c r="B128" i="5"/>
  <c r="N105" i="5"/>
  <c r="B80" i="5"/>
  <c r="F67" i="5"/>
  <c r="F51" i="5"/>
  <c r="R28" i="5"/>
  <c r="I6" i="5"/>
  <c r="C382" i="3"/>
  <c r="H354" i="3"/>
  <c r="D323" i="3"/>
  <c r="J291" i="3"/>
  <c r="AG259" i="3"/>
  <c r="C228" i="3"/>
  <c r="E200" i="3"/>
  <c r="AI172" i="3"/>
  <c r="D141" i="3"/>
  <c r="H113" i="3"/>
  <c r="AG81" i="3"/>
  <c r="B54" i="3"/>
  <c r="D23" i="3"/>
  <c r="B28" i="27"/>
  <c r="F176" i="23"/>
  <c r="E63" i="19"/>
  <c r="J308" i="17"/>
  <c r="J180" i="17"/>
  <c r="J68" i="17"/>
  <c r="A18" i="15"/>
  <c r="F102" i="12"/>
  <c r="A171" i="11"/>
  <c r="G23" i="8"/>
  <c r="A270" i="6"/>
  <c r="A214" i="6"/>
  <c r="A150" i="6"/>
  <c r="A86" i="6"/>
  <c r="A30" i="6"/>
  <c r="J400" i="5"/>
  <c r="J384" i="5"/>
  <c r="F365" i="5"/>
  <c r="N339" i="5"/>
  <c r="B314" i="5"/>
  <c r="J288" i="5"/>
  <c r="R262" i="5"/>
  <c r="F237" i="5"/>
  <c r="N211" i="5"/>
  <c r="B186" i="5"/>
  <c r="J160" i="5"/>
  <c r="N131" i="5"/>
  <c r="F109" i="5"/>
  <c r="N83" i="5"/>
  <c r="B58" i="5"/>
  <c r="R38" i="5"/>
  <c r="J16" i="5"/>
  <c r="H394" i="3"/>
  <c r="AI366" i="3"/>
  <c r="I331" i="3"/>
  <c r="B292" i="3"/>
  <c r="E256" i="3"/>
  <c r="AE224" i="3"/>
  <c r="A193" i="3"/>
  <c r="H165" i="3"/>
  <c r="AG133" i="3"/>
  <c r="A106" i="3"/>
  <c r="F78" i="3"/>
  <c r="J46" i="3"/>
  <c r="AJ20" i="3"/>
  <c r="Y412" i="2"/>
  <c r="A408" i="2"/>
  <c r="C403" i="2"/>
  <c r="E398" i="2"/>
  <c r="A392" i="2"/>
  <c r="C387" i="2"/>
  <c r="E382" i="2"/>
  <c r="G377" i="2"/>
  <c r="S371" i="2"/>
  <c r="K367" i="2"/>
  <c r="C363" i="2"/>
  <c r="U358" i="2"/>
  <c r="W353" i="2"/>
  <c r="Y348" i="2"/>
  <c r="A344" i="2"/>
  <c r="S339" i="2"/>
  <c r="U334" i="2"/>
  <c r="M330" i="2"/>
  <c r="O325" i="2"/>
  <c r="W321" i="2"/>
  <c r="Y316" i="2"/>
  <c r="Q312" i="2"/>
  <c r="S307" i="2"/>
  <c r="K303" i="2"/>
  <c r="C299" i="2"/>
  <c r="U294" i="2"/>
  <c r="M290" i="2"/>
  <c r="E286" i="2"/>
  <c r="W281" i="2"/>
  <c r="Y276" i="2"/>
  <c r="Q272" i="2"/>
  <c r="S267" i="2"/>
  <c r="U262" i="2"/>
  <c r="I651" i="25"/>
  <c r="D613" i="25"/>
  <c r="A72" i="25"/>
  <c r="E142" i="22"/>
  <c r="A748" i="25"/>
  <c r="C396" i="25"/>
  <c r="G164" i="25"/>
  <c r="E40" i="24"/>
  <c r="A377" i="25"/>
  <c r="H23" i="24"/>
  <c r="D136" i="22"/>
  <c r="E153" i="19"/>
  <c r="G490" i="25"/>
  <c r="I7" i="25"/>
  <c r="C202" i="22"/>
  <c r="D213" i="19"/>
  <c r="H118" i="19"/>
  <c r="D33" i="19"/>
  <c r="G594" i="25"/>
  <c r="E313" i="25"/>
  <c r="I85" i="25"/>
  <c r="F194" i="23"/>
  <c r="A24" i="23"/>
  <c r="B90" i="22"/>
  <c r="C246" i="19"/>
  <c r="C118" i="19"/>
  <c r="D17" i="19"/>
  <c r="A366" i="17"/>
  <c r="A334" i="17"/>
  <c r="A302" i="17"/>
  <c r="A270" i="17"/>
  <c r="A238" i="17"/>
  <c r="A206" i="17"/>
  <c r="A174" i="17"/>
  <c r="A142" i="17"/>
  <c r="A110" i="17"/>
  <c r="A78" i="17"/>
  <c r="A46" i="17"/>
  <c r="A14" i="17"/>
  <c r="G69" i="15"/>
  <c r="G5" i="15"/>
  <c r="D25" i="26"/>
  <c r="B516" i="25"/>
  <c r="F254" i="25"/>
  <c r="A27" i="25"/>
  <c r="B149" i="23"/>
  <c r="C215" i="22"/>
  <c r="F44" i="22"/>
  <c r="B212" i="19"/>
  <c r="B84" i="19"/>
  <c r="D18" i="18"/>
  <c r="L349" i="17"/>
  <c r="D307" i="17"/>
  <c r="H264" i="17"/>
  <c r="L221" i="17"/>
  <c r="D179" i="17"/>
  <c r="H136" i="17"/>
  <c r="L93" i="17"/>
  <c r="D51" i="17"/>
  <c r="O8" i="17"/>
  <c r="F61" i="15"/>
  <c r="G27" i="14"/>
  <c r="E209" i="12"/>
  <c r="E145" i="12"/>
  <c r="A112" i="12"/>
  <c r="A80" i="12"/>
  <c r="A48" i="12"/>
  <c r="A16" i="12"/>
  <c r="B226" i="11"/>
  <c r="B194" i="11"/>
  <c r="B162" i="11"/>
  <c r="B130" i="11"/>
  <c r="B98" i="11"/>
  <c r="B66" i="11"/>
  <c r="B34" i="11"/>
  <c r="B2" i="11"/>
  <c r="I797" i="25"/>
  <c r="F429" i="25"/>
  <c r="G189" i="25"/>
  <c r="B69" i="24"/>
  <c r="B99" i="23"/>
  <c r="C165" i="22"/>
  <c r="C3" i="22"/>
  <c r="F176" i="19"/>
  <c r="A54" i="19"/>
  <c r="K380" i="17"/>
  <c r="K348" i="17"/>
  <c r="K316" i="17"/>
  <c r="K284" i="17"/>
  <c r="K252" i="17"/>
  <c r="K220" i="17"/>
  <c r="K188" i="17"/>
  <c r="K156" i="17"/>
  <c r="K124" i="17"/>
  <c r="K92" i="17"/>
  <c r="K60" i="17"/>
  <c r="K28" i="17"/>
  <c r="H101" i="15"/>
  <c r="H37" i="15"/>
  <c r="A3" i="14"/>
  <c r="B201" i="12"/>
  <c r="D158" i="12"/>
  <c r="G115" i="12"/>
  <c r="B73" i="12"/>
  <c r="D30" i="12"/>
  <c r="E229" i="11"/>
  <c r="H186" i="11"/>
  <c r="C144" i="11"/>
  <c r="E101" i="11"/>
  <c r="H58" i="11"/>
  <c r="C16" i="11"/>
  <c r="D794" i="25"/>
  <c r="C427" i="25"/>
  <c r="I187" i="25"/>
  <c r="B67" i="24"/>
  <c r="E100" i="23"/>
  <c r="F166" i="22"/>
  <c r="C4" i="22"/>
  <c r="F175" i="19"/>
  <c r="C53" i="19"/>
  <c r="O380" i="17"/>
  <c r="O348" i="17"/>
  <c r="O316" i="17"/>
  <c r="O284" i="17"/>
  <c r="O252" i="17"/>
  <c r="O220" i="17"/>
  <c r="O188" i="17"/>
  <c r="O156" i="17"/>
  <c r="O124" i="17"/>
  <c r="O92" i="17"/>
  <c r="O60" i="17"/>
  <c r="O28" i="17"/>
  <c r="D101" i="15"/>
  <c r="D37" i="15"/>
  <c r="E3" i="14"/>
  <c r="D201" i="12"/>
  <c r="G158" i="12"/>
  <c r="B116" i="12"/>
  <c r="D73" i="12"/>
  <c r="G30" i="12"/>
  <c r="E230" i="11"/>
  <c r="H187" i="11"/>
  <c r="C145" i="11"/>
  <c r="E102" i="11"/>
  <c r="H59" i="11"/>
  <c r="C17" i="11"/>
  <c r="I493" i="25"/>
  <c r="D10" i="25"/>
  <c r="D209" i="22"/>
  <c r="G207" i="19"/>
  <c r="C17" i="18"/>
  <c r="F324" i="17"/>
  <c r="F260" i="17"/>
  <c r="F196" i="17"/>
  <c r="F132" i="17"/>
  <c r="F68" i="17"/>
  <c r="E116" i="15"/>
  <c r="F19" i="14"/>
  <c r="C168" i="12"/>
  <c r="H82" i="12"/>
  <c r="D239" i="11"/>
  <c r="A154" i="11"/>
  <c r="G68" i="11"/>
  <c r="B7" i="9"/>
  <c r="H12" i="8"/>
  <c r="F292" i="6"/>
  <c r="F260" i="6"/>
  <c r="F228" i="6"/>
  <c r="F196" i="6"/>
  <c r="F164" i="6"/>
  <c r="F132" i="6"/>
  <c r="F100" i="6"/>
  <c r="F68" i="6"/>
  <c r="F36" i="6"/>
  <c r="F4" i="6"/>
  <c r="O402" i="5"/>
  <c r="S389" i="5"/>
  <c r="C377" i="5"/>
  <c r="G364" i="5"/>
  <c r="K351" i="5"/>
  <c r="O338" i="5"/>
  <c r="S325" i="5"/>
  <c r="C313" i="5"/>
  <c r="G300" i="5"/>
  <c r="K287" i="5"/>
  <c r="O274" i="5"/>
  <c r="S261" i="5"/>
  <c r="C249" i="5"/>
  <c r="G236" i="5"/>
  <c r="K223" i="5"/>
  <c r="O210" i="5"/>
  <c r="S197" i="5"/>
  <c r="C185" i="5"/>
  <c r="G172" i="5"/>
  <c r="K159" i="5"/>
  <c r="O146" i="5"/>
  <c r="S133" i="5"/>
  <c r="C121" i="5"/>
  <c r="G108" i="5"/>
  <c r="K95" i="5"/>
  <c r="O82" i="5"/>
  <c r="S69" i="5"/>
  <c r="C57" i="5"/>
  <c r="G44" i="5"/>
  <c r="K31" i="5"/>
  <c r="O18" i="5"/>
  <c r="AH412" i="3"/>
  <c r="C397" i="3"/>
  <c r="F381" i="3"/>
  <c r="J365" i="3"/>
  <c r="AF349" i="3"/>
  <c r="C334" i="3"/>
  <c r="H318" i="3"/>
  <c r="AE302" i="3"/>
  <c r="AH286" i="3"/>
  <c r="AH270" i="3"/>
  <c r="A255" i="3"/>
  <c r="D239" i="3"/>
  <c r="F223" i="3"/>
  <c r="H207" i="3"/>
  <c r="AG191" i="3"/>
  <c r="A176" i="3"/>
  <c r="C160" i="3"/>
  <c r="G144" i="3"/>
  <c r="H128" i="3"/>
  <c r="AE112" i="3"/>
  <c r="AG96" i="3"/>
  <c r="AJ80" i="3"/>
  <c r="B65" i="3"/>
  <c r="E49" i="3"/>
  <c r="G33" i="3"/>
  <c r="I602" i="25"/>
  <c r="B92" i="25"/>
  <c r="A26" i="23"/>
  <c r="G249" i="19"/>
  <c r="B19" i="19"/>
  <c r="N335" i="17"/>
  <c r="N271" i="17"/>
  <c r="N207" i="17"/>
  <c r="N143" i="17"/>
  <c r="N79" i="17"/>
  <c r="N15" i="17"/>
  <c r="E11" i="15"/>
  <c r="H184" i="12"/>
  <c r="F99" i="12"/>
  <c r="C14" i="12"/>
  <c r="G170" i="11"/>
  <c r="D85" i="11"/>
  <c r="A1" i="11"/>
  <c r="B25" i="8"/>
  <c r="B4" i="8"/>
  <c r="H1" i="7"/>
  <c r="D273" i="6"/>
  <c r="D252" i="6"/>
  <c r="H230" i="6"/>
  <c r="D209" i="6"/>
  <c r="D188" i="6"/>
  <c r="H166" i="6"/>
  <c r="D145" i="6"/>
  <c r="H127" i="6"/>
  <c r="H111" i="6"/>
  <c r="H95" i="6"/>
  <c r="H79" i="6"/>
  <c r="H63" i="6"/>
  <c r="H47" i="6"/>
  <c r="H31" i="6"/>
  <c r="H15" i="6"/>
  <c r="I413" i="5"/>
  <c r="A407" i="5"/>
  <c r="M400" i="5"/>
  <c r="E394" i="5"/>
  <c r="Q387" i="5"/>
  <c r="I381" i="5"/>
  <c r="A375" i="5"/>
  <c r="M368" i="5"/>
  <c r="E362" i="5"/>
  <c r="Q355" i="5"/>
  <c r="I349" i="5"/>
  <c r="A343" i="5"/>
  <c r="M336" i="5"/>
  <c r="E330" i="5"/>
  <c r="Q323" i="5"/>
  <c r="I317" i="5"/>
  <c r="A311" i="5"/>
  <c r="M304" i="5"/>
  <c r="E298" i="5"/>
  <c r="Q291" i="5"/>
  <c r="I285" i="5"/>
  <c r="A279" i="5"/>
  <c r="M272" i="5"/>
  <c r="E266" i="5"/>
  <c r="Q259" i="5"/>
  <c r="I253" i="5"/>
  <c r="A247" i="5"/>
  <c r="M240" i="5"/>
  <c r="E234" i="5"/>
  <c r="Q227" i="5"/>
  <c r="I221" i="5"/>
  <c r="A215" i="5"/>
  <c r="M208" i="5"/>
  <c r="E202" i="5"/>
  <c r="Q195" i="5"/>
  <c r="I189" i="5"/>
  <c r="A183" i="5"/>
  <c r="M176" i="5"/>
  <c r="E170" i="5"/>
  <c r="Q163" i="5"/>
  <c r="I157" i="5"/>
  <c r="A151" i="5"/>
  <c r="M144" i="5"/>
  <c r="E138" i="5"/>
  <c r="Q131" i="5"/>
  <c r="I125" i="5"/>
  <c r="A119" i="5"/>
  <c r="M112" i="5"/>
  <c r="E106" i="5"/>
  <c r="Q99" i="5"/>
  <c r="I93" i="5"/>
  <c r="A87" i="5"/>
  <c r="M80" i="5"/>
  <c r="E74" i="5"/>
  <c r="Q67" i="5"/>
  <c r="I61" i="5"/>
  <c r="A55" i="5"/>
  <c r="M48" i="5"/>
  <c r="E42" i="5"/>
  <c r="Q35" i="5"/>
  <c r="H408" i="5"/>
  <c r="T321" i="5"/>
  <c r="H224" i="5"/>
  <c r="L171" i="5"/>
  <c r="H120" i="5"/>
  <c r="H72" i="5"/>
  <c r="O14" i="5"/>
  <c r="I362" i="3"/>
  <c r="J303" i="3"/>
  <c r="C244" i="3"/>
  <c r="AH184" i="3"/>
  <c r="H125" i="3"/>
  <c r="A62" i="3"/>
  <c r="D586" i="25"/>
  <c r="J138" i="17"/>
  <c r="G14" i="8"/>
  <c r="A191" i="6"/>
  <c r="J406" i="5"/>
  <c r="F307" i="5"/>
  <c r="F211" i="5"/>
  <c r="J118" i="5"/>
  <c r="J70" i="5"/>
  <c r="F35" i="5"/>
  <c r="A390" i="3"/>
  <c r="A331" i="3"/>
  <c r="AE267" i="3"/>
  <c r="E208" i="3"/>
  <c r="C149" i="3"/>
  <c r="AF89" i="3"/>
  <c r="D30" i="3"/>
  <c r="E65" i="25"/>
  <c r="J340" i="17"/>
  <c r="J100" i="17"/>
  <c r="C145" i="12"/>
  <c r="D5" i="10"/>
  <c r="A230" i="6"/>
  <c r="A102" i="6"/>
  <c r="R406" i="5"/>
  <c r="N371" i="5"/>
  <c r="J320" i="5"/>
  <c r="F269" i="5"/>
  <c r="B218" i="5"/>
  <c r="R166" i="5"/>
  <c r="N115" i="5"/>
  <c r="J64" i="5"/>
  <c r="N19" i="5"/>
  <c r="AG374" i="3"/>
  <c r="AJ303" i="3"/>
  <c r="J232" i="3"/>
  <c r="G173" i="3"/>
  <c r="A110" i="3"/>
  <c r="J54" i="3"/>
  <c r="AH8" i="3"/>
  <c r="I404" i="2"/>
  <c r="W393" i="2"/>
  <c r="K383" i="2"/>
  <c r="Y372" i="2"/>
  <c r="S363" i="2"/>
  <c r="C355" i="2"/>
  <c r="G345" i="2"/>
  <c r="A336" i="2"/>
  <c r="U326" i="2"/>
  <c r="E318" i="2"/>
  <c r="Y308" i="2"/>
  <c r="I300" i="2"/>
  <c r="C291" i="2"/>
  <c r="M282" i="2"/>
  <c r="G273" i="2"/>
  <c r="A264" i="2"/>
  <c r="F621" i="25"/>
  <c r="H33" i="23"/>
  <c r="B472" i="25"/>
  <c r="E104" i="24"/>
  <c r="G35" i="25"/>
  <c r="E217" i="19"/>
  <c r="G121" i="25"/>
  <c r="D267" i="19"/>
  <c r="H54" i="19"/>
  <c r="D370" i="25"/>
  <c r="D16" i="24"/>
  <c r="G132" i="22"/>
  <c r="C150" i="19"/>
  <c r="A374" i="17"/>
  <c r="A310" i="17"/>
  <c r="A246" i="17"/>
  <c r="A182" i="17"/>
  <c r="A118" i="17"/>
  <c r="A54" i="17"/>
  <c r="G85" i="15"/>
  <c r="E2" i="13"/>
  <c r="E311" i="25"/>
  <c r="G191" i="23"/>
  <c r="C87" i="22"/>
  <c r="B116" i="19"/>
  <c r="H360" i="17"/>
  <c r="D275" i="17"/>
  <c r="L189" i="17"/>
  <c r="H104" i="17"/>
  <c r="D19" i="17"/>
  <c r="F13" i="15"/>
  <c r="E161" i="12"/>
  <c r="A88" i="12"/>
  <c r="A24" i="12"/>
  <c r="B202" i="11"/>
  <c r="B138" i="11"/>
  <c r="B74" i="11"/>
  <c r="B10" i="11"/>
  <c r="E505" i="25"/>
  <c r="A19" i="25"/>
  <c r="H207" i="22"/>
  <c r="F208" i="19"/>
  <c r="F16" i="18"/>
  <c r="K324" i="17"/>
  <c r="K260" i="17"/>
  <c r="K196" i="17"/>
  <c r="K132" i="17"/>
  <c r="K68" i="17"/>
  <c r="H117" i="15"/>
  <c r="A19" i="14"/>
  <c r="B169" i="12"/>
  <c r="G83" i="12"/>
  <c r="C240" i="11"/>
  <c r="H154" i="11"/>
  <c r="E69" i="11"/>
  <c r="M16" i="26"/>
  <c r="H244" i="25"/>
  <c r="B143" i="23"/>
  <c r="F38" i="22"/>
  <c r="F79" i="19"/>
  <c r="O356" i="17"/>
  <c r="O292" i="17"/>
  <c r="O228" i="17"/>
  <c r="O164" i="17"/>
  <c r="O100" i="17"/>
  <c r="O36" i="17"/>
  <c r="D53" i="15"/>
  <c r="B212" i="12"/>
  <c r="G126" i="12"/>
  <c r="D41" i="12"/>
  <c r="E198" i="11"/>
  <c r="C113" i="11"/>
  <c r="H27" i="11"/>
  <c r="B124" i="25"/>
  <c r="G271" i="19"/>
  <c r="F340" i="17"/>
  <c r="F212" i="17"/>
  <c r="F84" i="17"/>
  <c r="E20" i="15"/>
  <c r="C104" i="12"/>
  <c r="D175" i="11"/>
  <c r="G4" i="11"/>
  <c r="E7" i="7"/>
  <c r="F236" i="6"/>
  <c r="F172" i="6"/>
  <c r="F108" i="6"/>
  <c r="F44" i="6"/>
  <c r="S405" i="5"/>
  <c r="G380" i="5"/>
  <c r="O354" i="5"/>
  <c r="C329" i="5"/>
  <c r="K303" i="5"/>
  <c r="S277" i="5"/>
  <c r="G252" i="5"/>
  <c r="O226" i="5"/>
  <c r="C201" i="5"/>
  <c r="K175" i="5"/>
  <c r="S149" i="5"/>
  <c r="G124" i="5"/>
  <c r="O98" i="5"/>
  <c r="C73" i="5"/>
  <c r="K47" i="5"/>
  <c r="S21" i="5"/>
  <c r="B401" i="3"/>
  <c r="J369" i="3"/>
  <c r="A338" i="3"/>
  <c r="AE306" i="3"/>
  <c r="AH274" i="3"/>
  <c r="D243" i="3"/>
  <c r="G211" i="3"/>
  <c r="AI179" i="3"/>
  <c r="G148" i="3"/>
  <c r="J116" i="3"/>
  <c r="AJ84" i="3"/>
  <c r="E53" i="3"/>
  <c r="D830" i="25"/>
  <c r="C111" i="23"/>
  <c r="B60" i="19"/>
  <c r="N287" i="17"/>
  <c r="N159" i="17"/>
  <c r="N31" i="17"/>
  <c r="C206" i="12"/>
  <c r="F35" i="12"/>
  <c r="G106" i="11"/>
  <c r="F30" i="8"/>
  <c r="C7" i="7"/>
  <c r="D257" i="6"/>
  <c r="H214" i="6"/>
  <c r="D172" i="6"/>
  <c r="H131" i="6"/>
  <c r="H99" i="6"/>
  <c r="H67" i="6"/>
  <c r="H35" i="6"/>
  <c r="H3" i="6"/>
  <c r="E402" i="5"/>
  <c r="I389" i="5"/>
  <c r="M376" i="5"/>
  <c r="Q363" i="5"/>
  <c r="A351" i="5"/>
  <c r="E338" i="5"/>
  <c r="I325" i="5"/>
  <c r="M312" i="5"/>
  <c r="Q299" i="5"/>
  <c r="A287" i="5"/>
  <c r="E274" i="5"/>
  <c r="I261" i="5"/>
  <c r="M248" i="5"/>
  <c r="Q235" i="5"/>
  <c r="A223" i="5"/>
  <c r="E210" i="5"/>
  <c r="I197" i="5"/>
  <c r="M184" i="5"/>
  <c r="Q171" i="5"/>
  <c r="A159" i="5"/>
  <c r="E146" i="5"/>
  <c r="I133" i="5"/>
  <c r="M120" i="5"/>
  <c r="Q107" i="5"/>
  <c r="A95" i="5"/>
  <c r="E82" i="5"/>
  <c r="I69" i="5"/>
  <c r="M56" i="5"/>
  <c r="Q43" i="5"/>
  <c r="A31" i="5"/>
  <c r="M24" i="5"/>
  <c r="E18" i="5"/>
  <c r="P11" i="5"/>
  <c r="E412" i="3"/>
  <c r="H404" i="3"/>
  <c r="I396" i="3"/>
  <c r="AE388" i="3"/>
  <c r="AF380" i="3"/>
  <c r="AJ372" i="3"/>
  <c r="AJ364" i="3"/>
  <c r="A357" i="3"/>
  <c r="C349" i="3"/>
  <c r="E341" i="3"/>
  <c r="I333" i="3"/>
  <c r="AF325" i="3"/>
  <c r="AH317" i="3"/>
  <c r="AI309" i="3"/>
  <c r="A302" i="3"/>
  <c r="B294" i="3"/>
  <c r="D286" i="3"/>
  <c r="D278" i="3"/>
  <c r="D270" i="3"/>
  <c r="E262" i="3"/>
  <c r="G254" i="3"/>
  <c r="I246" i="3"/>
  <c r="J238" i="3"/>
  <c r="AE230" i="3"/>
  <c r="AF222" i="3"/>
  <c r="AG214" i="3"/>
  <c r="AH206" i="3"/>
  <c r="AH198" i="3"/>
  <c r="C191" i="3"/>
  <c r="E183" i="3"/>
  <c r="H175" i="3"/>
  <c r="H167" i="3"/>
  <c r="J159" i="3"/>
  <c r="AF151" i="3"/>
  <c r="AG143" i="3"/>
  <c r="AH135" i="3"/>
  <c r="AH127" i="3"/>
  <c r="AJ119" i="3"/>
  <c r="B112" i="3"/>
  <c r="B104" i="3"/>
  <c r="D96" i="3"/>
  <c r="F88" i="3"/>
  <c r="F80" i="3"/>
  <c r="G72" i="3"/>
  <c r="H64" i="3"/>
  <c r="AE56" i="3"/>
  <c r="AE48" i="3"/>
  <c r="AF40" i="3"/>
  <c r="AG32" i="3"/>
  <c r="AH24" i="3"/>
  <c r="G627" i="25"/>
  <c r="F104" i="25"/>
  <c r="C35" i="23"/>
  <c r="G260" i="19"/>
  <c r="G24" i="19"/>
  <c r="B338" i="17"/>
  <c r="B274" i="17"/>
  <c r="B210" i="17"/>
  <c r="B146" i="17"/>
  <c r="B82" i="17"/>
  <c r="B18" i="17"/>
  <c r="A15" i="15"/>
  <c r="F188" i="12"/>
  <c r="C103" i="12"/>
  <c r="H17" i="12"/>
  <c r="D174" i="11"/>
  <c r="A89" i="11"/>
  <c r="G3" i="11"/>
  <c r="A20" i="8"/>
  <c r="B7" i="7"/>
  <c r="C268" i="6"/>
  <c r="C236" i="6"/>
  <c r="C204" i="6"/>
  <c r="C172" i="6"/>
  <c r="C140" i="6"/>
  <c r="C108" i="6"/>
  <c r="C76" i="6"/>
  <c r="C44" i="6"/>
  <c r="C12" i="6"/>
  <c r="P405" i="5"/>
  <c r="T392" i="5"/>
  <c r="D380" i="5"/>
  <c r="H367" i="5"/>
  <c r="L354" i="5"/>
  <c r="P341" i="5"/>
  <c r="T328" i="5"/>
  <c r="D316" i="5"/>
  <c r="H303" i="5"/>
  <c r="L290" i="5"/>
  <c r="P277" i="5"/>
  <c r="T264" i="5"/>
  <c r="D252" i="5"/>
  <c r="H239" i="5"/>
  <c r="L226" i="5"/>
  <c r="P213" i="5"/>
  <c r="T200" i="5"/>
  <c r="D188" i="5"/>
  <c r="H175" i="5"/>
  <c r="L162" i="5"/>
  <c r="P149" i="5"/>
  <c r="T136" i="5"/>
  <c r="D124" i="5"/>
  <c r="H111" i="5"/>
  <c r="L98" i="5"/>
  <c r="P85" i="5"/>
  <c r="T72" i="5"/>
  <c r="D60" i="5"/>
  <c r="H47" i="5"/>
  <c r="L34" i="5"/>
  <c r="P21" i="5"/>
  <c r="S8" i="5"/>
  <c r="AG400" i="3"/>
  <c r="AJ384" i="3"/>
  <c r="E369" i="3"/>
  <c r="G353" i="3"/>
  <c r="AF337" i="3"/>
  <c r="C322" i="3"/>
  <c r="F306" i="3"/>
  <c r="H290" i="3"/>
  <c r="I274" i="3"/>
  <c r="AE258" i="3"/>
  <c r="AI242" i="3"/>
  <c r="A227" i="3"/>
  <c r="B211" i="3"/>
  <c r="E195" i="3"/>
  <c r="AD179" i="3"/>
  <c r="AH163" i="3"/>
  <c r="B148" i="3"/>
  <c r="C132" i="3"/>
  <c r="E116" i="3"/>
  <c r="G100" i="3"/>
  <c r="AE84" i="3"/>
  <c r="AG68" i="3"/>
  <c r="AJ52" i="3"/>
  <c r="B37" i="3"/>
  <c r="I22" i="3"/>
  <c r="A14" i="3"/>
  <c r="K22" i="26"/>
  <c r="I253" i="25"/>
  <c r="C147" i="23"/>
  <c r="B40" i="22"/>
  <c r="G80" i="19"/>
  <c r="B355" i="17"/>
  <c r="B291" i="17"/>
  <c r="B227" i="17"/>
  <c r="B163" i="17"/>
  <c r="B99" i="17"/>
  <c r="B35" i="17"/>
  <c r="A49" i="15"/>
  <c r="F208" i="12"/>
  <c r="C123" i="12"/>
  <c r="H37" i="12"/>
  <c r="D194" i="11"/>
  <c r="A109" i="11"/>
  <c r="G23" i="11"/>
  <c r="E27" i="8"/>
  <c r="F14" i="7"/>
  <c r="G275" i="6"/>
  <c r="G243" i="6"/>
  <c r="G211" i="6"/>
  <c r="G179" i="6"/>
  <c r="G147" i="6"/>
  <c r="G115" i="6"/>
  <c r="G83" i="6"/>
  <c r="G51" i="6"/>
  <c r="G19" i="6"/>
  <c r="P408" i="5"/>
  <c r="T395" i="5"/>
  <c r="D383" i="5"/>
  <c r="H370" i="5"/>
  <c r="L357" i="5"/>
  <c r="P344" i="5"/>
  <c r="T331" i="5"/>
  <c r="D319" i="5"/>
  <c r="H306" i="5"/>
  <c r="L293" i="5"/>
  <c r="P280" i="5"/>
  <c r="T267" i="5"/>
  <c r="D255" i="5"/>
  <c r="H242" i="5"/>
  <c r="L229" i="5"/>
  <c r="H220" i="5"/>
  <c r="T211" i="5"/>
  <c r="L203" i="5"/>
  <c r="T195" i="5"/>
  <c r="L189" i="5"/>
  <c r="D183" i="5"/>
  <c r="P176" i="5"/>
  <c r="H170" i="5"/>
  <c r="T163" i="5"/>
  <c r="L157" i="5"/>
  <c r="D151" i="5"/>
  <c r="P144" i="5"/>
  <c r="H138" i="5"/>
  <c r="T131" i="5"/>
  <c r="L125" i="5"/>
  <c r="D119" i="5"/>
  <c r="P112" i="5"/>
  <c r="H106" i="5"/>
  <c r="T99" i="5"/>
  <c r="L93" i="5"/>
  <c r="D87" i="5"/>
  <c r="P80" i="5"/>
  <c r="H74" i="5"/>
  <c r="T67" i="5"/>
  <c r="L61" i="5"/>
  <c r="D55" i="5"/>
  <c r="P48" i="5"/>
  <c r="H42" i="5"/>
  <c r="T35" i="5"/>
  <c r="L29" i="5"/>
  <c r="D23" i="5"/>
  <c r="P16" i="5"/>
  <c r="G10" i="5"/>
  <c r="F410" i="3"/>
  <c r="I402" i="3"/>
  <c r="J394" i="3"/>
  <c r="AF386" i="3"/>
  <c r="AH378" i="3"/>
  <c r="A371" i="3"/>
  <c r="A363" i="3"/>
  <c r="B355" i="3"/>
  <c r="F347" i="3"/>
  <c r="H339" i="3"/>
  <c r="AE331" i="3"/>
  <c r="AH323" i="3"/>
  <c r="AI315" i="3"/>
  <c r="B308" i="3"/>
  <c r="C300" i="3"/>
  <c r="D292" i="3"/>
  <c r="E284" i="3"/>
  <c r="E276" i="3"/>
  <c r="E268" i="3"/>
  <c r="G260" i="3"/>
  <c r="I252" i="3"/>
  <c r="AE244" i="3"/>
  <c r="AF236" i="3"/>
  <c r="AF228" i="3"/>
  <c r="AG220" i="3"/>
  <c r="AH212" i="3"/>
  <c r="AI204" i="3"/>
  <c r="AJ196" i="3"/>
  <c r="D189" i="3"/>
  <c r="F181" i="3"/>
  <c r="I173" i="3"/>
  <c r="J165" i="3"/>
  <c r="AE157" i="3"/>
  <c r="AG149" i="3"/>
  <c r="AH141" i="3"/>
  <c r="AI133" i="3"/>
  <c r="AJ125" i="3"/>
  <c r="A118" i="3"/>
  <c r="C110" i="3"/>
  <c r="C102" i="3"/>
  <c r="F94" i="3"/>
  <c r="G86" i="3"/>
  <c r="H78" i="3"/>
  <c r="I70" i="3"/>
  <c r="I62" i="3"/>
  <c r="AF54" i="3"/>
  <c r="AF46" i="3"/>
  <c r="AH38" i="3"/>
  <c r="AH30" i="3"/>
  <c r="AE23" i="3"/>
  <c r="AI18" i="3"/>
  <c r="AI14" i="3"/>
  <c r="AI10" i="3"/>
  <c r="AE6" i="3"/>
  <c r="G335" i="25"/>
  <c r="F208" i="23"/>
  <c r="D101" i="22"/>
  <c r="G134" i="19"/>
  <c r="J366" i="17"/>
  <c r="J302" i="17"/>
  <c r="J238" i="17"/>
  <c r="J174" i="17"/>
  <c r="J110" i="17"/>
  <c r="J46" i="17"/>
  <c r="A70" i="15"/>
  <c r="C217" i="12"/>
  <c r="H131" i="12"/>
  <c r="F46" i="12"/>
  <c r="G205" i="11"/>
  <c r="D120" i="11"/>
  <c r="A35" i="11"/>
  <c r="G32" i="8"/>
  <c r="H1" i="8"/>
  <c r="A281" i="6"/>
  <c r="A249" i="6"/>
  <c r="A217" i="6"/>
  <c r="A185" i="6"/>
  <c r="A153" i="6"/>
  <c r="A121" i="6"/>
  <c r="A89" i="6"/>
  <c r="A57" i="6"/>
  <c r="A25" i="6"/>
  <c r="J410" i="5"/>
  <c r="N397" i="5"/>
  <c r="R384" i="5"/>
  <c r="B372" i="5"/>
  <c r="F359" i="5"/>
  <c r="J346" i="5"/>
  <c r="N333" i="5"/>
  <c r="R320" i="5"/>
  <c r="B308" i="5"/>
  <c r="F295" i="5"/>
  <c r="J282" i="5"/>
  <c r="N269" i="5"/>
  <c r="R256" i="5"/>
  <c r="B244" i="5"/>
  <c r="F231" i="5"/>
  <c r="J218" i="5"/>
  <c r="N205" i="5"/>
  <c r="R192" i="5"/>
  <c r="B180" i="5"/>
  <c r="F167" i="5"/>
  <c r="J154" i="5"/>
  <c r="N141" i="5"/>
  <c r="R128" i="5"/>
  <c r="B116" i="5"/>
  <c r="F103" i="5"/>
  <c r="J90" i="5"/>
  <c r="N77" i="5"/>
  <c r="R64" i="5"/>
  <c r="B52" i="5"/>
  <c r="F39" i="5"/>
  <c r="J26" i="5"/>
  <c r="M13" i="5"/>
  <c r="AH406" i="3"/>
  <c r="A391" i="3"/>
  <c r="E375" i="3"/>
  <c r="G359" i="3"/>
  <c r="AF343" i="3"/>
  <c r="B328" i="3"/>
  <c r="F312" i="3"/>
  <c r="I296" i="3"/>
  <c r="AE280" i="3"/>
  <c r="AF264" i="3"/>
  <c r="AJ248" i="3"/>
  <c r="B233" i="3"/>
  <c r="D217" i="3"/>
  <c r="E201" i="3"/>
  <c r="AE185" i="3"/>
  <c r="AI169" i="3"/>
  <c r="C154" i="3"/>
  <c r="E138" i="3"/>
  <c r="F122" i="3"/>
  <c r="I106" i="3"/>
  <c r="AF90" i="3"/>
  <c r="AH74" i="3"/>
  <c r="AJ58" i="3"/>
  <c r="C43" i="3"/>
  <c r="E27" i="3"/>
  <c r="B17" i="3"/>
  <c r="B9" i="3"/>
  <c r="F453" i="25"/>
  <c r="D89" i="24"/>
  <c r="B176" i="22"/>
  <c r="G206" i="19"/>
  <c r="G12" i="18"/>
  <c r="J328" i="17"/>
  <c r="J264" i="17"/>
  <c r="J200" i="17"/>
  <c r="J136" i="17"/>
  <c r="J72" i="17"/>
  <c r="I8" i="17"/>
  <c r="B29" i="14"/>
  <c r="H171" i="12"/>
  <c r="F86" i="12"/>
  <c r="D240" i="11"/>
  <c r="A155" i="11"/>
  <c r="G69" i="11"/>
  <c r="C4" i="9"/>
  <c r="G9" i="8"/>
  <c r="A288" i="6"/>
  <c r="A256" i="6"/>
  <c r="A224" i="6"/>
  <c r="A192" i="6"/>
  <c r="A160" i="6"/>
  <c r="A128" i="6"/>
  <c r="A96" i="6"/>
  <c r="A64" i="6"/>
  <c r="A32" i="6"/>
  <c r="B1" i="6"/>
  <c r="F401" i="5"/>
  <c r="J388" i="5"/>
  <c r="N375" i="5"/>
  <c r="R362" i="5"/>
  <c r="B350" i="5"/>
  <c r="F337" i="5"/>
  <c r="J324" i="5"/>
  <c r="N311" i="5"/>
  <c r="R298" i="5"/>
  <c r="B286" i="5"/>
  <c r="F273" i="5"/>
  <c r="J260" i="5"/>
  <c r="N247" i="5"/>
  <c r="R234" i="5"/>
  <c r="B222" i="5"/>
  <c r="F209" i="5"/>
  <c r="J196" i="5"/>
  <c r="N183" i="5"/>
  <c r="R170" i="5"/>
  <c r="B158" i="5"/>
  <c r="F145" i="5"/>
  <c r="J132" i="5"/>
  <c r="N119" i="5"/>
  <c r="R106" i="5"/>
  <c r="B94" i="5"/>
  <c r="F81" i="5"/>
  <c r="J68" i="5"/>
  <c r="N55" i="5"/>
  <c r="R42" i="5"/>
  <c r="B30" i="5"/>
  <c r="F17" i="5"/>
  <c r="D411" i="3"/>
  <c r="H395" i="3"/>
  <c r="AF379" i="3"/>
  <c r="AI363" i="3"/>
  <c r="C348" i="3"/>
  <c r="I332" i="3"/>
  <c r="AG316" i="3"/>
  <c r="A301" i="3"/>
  <c r="C285" i="3"/>
  <c r="C269" i="3"/>
  <c r="G253" i="3"/>
  <c r="J237" i="3"/>
  <c r="AE221" i="3"/>
  <c r="AG205" i="3"/>
  <c r="B190" i="3"/>
  <c r="G174" i="3"/>
  <c r="I158" i="3"/>
  <c r="AF142" i="3"/>
  <c r="AG126" i="3"/>
  <c r="A111" i="3"/>
  <c r="D95" i="3"/>
  <c r="F79" i="3"/>
  <c r="G63" i="3"/>
  <c r="J47" i="3"/>
  <c r="AF31" i="3"/>
  <c r="F19" i="3"/>
  <c r="F11" i="3"/>
  <c r="M412" i="2"/>
  <c r="A410" i="2"/>
  <c r="O407" i="2"/>
  <c r="C405" i="2"/>
  <c r="Q402" i="2"/>
  <c r="E400" i="2"/>
  <c r="S397" i="2"/>
  <c r="G395" i="2"/>
  <c r="U392" i="2"/>
  <c r="I390" i="2"/>
  <c r="W387" i="2"/>
  <c r="K385" i="2"/>
  <c r="Y382" i="2"/>
  <c r="M380" i="2"/>
  <c r="A378" i="2"/>
  <c r="O375" i="2"/>
  <c r="C373" i="2"/>
  <c r="Q370" i="2"/>
  <c r="E368" i="2"/>
  <c r="S365" i="2"/>
  <c r="G363" i="2"/>
  <c r="U360" i="2"/>
  <c r="I358" i="2"/>
  <c r="W355" i="2"/>
  <c r="K353" i="2"/>
  <c r="Y350" i="2"/>
  <c r="M348" i="2"/>
  <c r="A346" i="2"/>
  <c r="O343" i="2"/>
  <c r="C341" i="2"/>
  <c r="Q338" i="2"/>
  <c r="E336" i="2"/>
  <c r="S333" i="2"/>
  <c r="G331" i="2"/>
  <c r="U328" i="2"/>
  <c r="I326" i="2"/>
  <c r="W323" i="2"/>
  <c r="K321" i="2"/>
  <c r="Y318" i="2"/>
  <c r="M316" i="2"/>
  <c r="A314" i="2"/>
  <c r="O311" i="2"/>
  <c r="C309" i="2"/>
  <c r="Q306" i="2"/>
  <c r="E304" i="2"/>
  <c r="S301" i="2"/>
  <c r="G299" i="2"/>
  <c r="U296" i="2"/>
  <c r="I294" i="2"/>
  <c r="W291" i="2"/>
  <c r="K289" i="2"/>
  <c r="Y286" i="2"/>
  <c r="M284" i="2"/>
  <c r="A282" i="2"/>
  <c r="O279" i="2"/>
  <c r="C277" i="2"/>
  <c r="Q274" i="2"/>
  <c r="E272" i="2"/>
  <c r="S269" i="2"/>
  <c r="G267" i="2"/>
  <c r="U264" i="2"/>
  <c r="I262" i="2"/>
  <c r="W259" i="2"/>
  <c r="K257" i="2"/>
  <c r="Y254" i="2"/>
  <c r="M252" i="2"/>
  <c r="A250" i="2"/>
  <c r="O247" i="2"/>
  <c r="C245" i="2"/>
  <c r="Q242" i="2"/>
  <c r="E240" i="2"/>
  <c r="S237" i="2"/>
  <c r="G235" i="2"/>
  <c r="U232" i="2"/>
  <c r="I230" i="2"/>
  <c r="W227" i="2"/>
  <c r="K225" i="2"/>
  <c r="Y222" i="2"/>
  <c r="M220" i="2"/>
  <c r="A218" i="2"/>
  <c r="O215" i="2"/>
  <c r="C213" i="2"/>
  <c r="Q210" i="2"/>
  <c r="E208" i="2"/>
  <c r="S205" i="2"/>
  <c r="G203" i="2"/>
  <c r="U200" i="2"/>
  <c r="I198" i="2"/>
  <c r="W195" i="2"/>
  <c r="K193" i="2"/>
  <c r="Y190" i="2"/>
  <c r="M188" i="2"/>
  <c r="A186" i="2"/>
  <c r="O183" i="2"/>
  <c r="C181" i="2"/>
  <c r="Q178" i="2"/>
  <c r="E176" i="2"/>
  <c r="S173" i="2"/>
  <c r="G171" i="2"/>
  <c r="U168" i="2"/>
  <c r="I166" i="2"/>
  <c r="W163" i="2"/>
  <c r="K161" i="2"/>
  <c r="Y158" i="2"/>
  <c r="M156" i="2"/>
  <c r="A154" i="2"/>
  <c r="O151" i="2"/>
  <c r="C149" i="2"/>
  <c r="Q146" i="2"/>
  <c r="E144" i="2"/>
  <c r="S141" i="2"/>
  <c r="G139" i="2"/>
  <c r="U136" i="2"/>
  <c r="I134" i="2"/>
  <c r="W131" i="2"/>
  <c r="K129" i="2"/>
  <c r="Y126" i="2"/>
  <c r="M124" i="2"/>
  <c r="A122" i="2"/>
  <c r="O119" i="2"/>
  <c r="C117" i="2"/>
  <c r="Q114" i="2"/>
  <c r="E112" i="2"/>
  <c r="S109" i="2"/>
  <c r="G107" i="2"/>
  <c r="U104" i="2"/>
  <c r="I102" i="2"/>
  <c r="W99" i="2"/>
  <c r="K97" i="2"/>
  <c r="Y94" i="2"/>
  <c r="M92" i="2"/>
  <c r="A90" i="2"/>
  <c r="O87" i="2"/>
  <c r="C85" i="2"/>
  <c r="Q82" i="2"/>
  <c r="E80" i="2"/>
  <c r="S77" i="2"/>
  <c r="G75" i="2"/>
  <c r="U72" i="2"/>
  <c r="I70" i="2"/>
  <c r="W67" i="2"/>
  <c r="K65" i="2"/>
  <c r="Y62" i="2"/>
  <c r="M60" i="2"/>
  <c r="A58" i="2"/>
  <c r="O55" i="2"/>
  <c r="C53" i="2"/>
  <c r="Q50" i="2"/>
  <c r="E48" i="2"/>
  <c r="S45" i="2"/>
  <c r="G43" i="2"/>
  <c r="U40" i="2"/>
  <c r="I38" i="2"/>
  <c r="W35" i="2"/>
  <c r="K33" i="2"/>
  <c r="Y30" i="2"/>
  <c r="M28" i="2"/>
  <c r="A26" i="2"/>
  <c r="O23" i="2"/>
  <c r="C21" i="2"/>
  <c r="Q18" i="2"/>
  <c r="E16" i="2"/>
  <c r="S13" i="2"/>
  <c r="F11" i="2"/>
  <c r="T8" i="2"/>
  <c r="H6" i="2"/>
  <c r="D314" i="25"/>
  <c r="F192" i="23"/>
  <c r="D85" i="22"/>
  <c r="G106" i="19"/>
  <c r="J367" i="17"/>
  <c r="J303" i="17"/>
  <c r="J239" i="17"/>
  <c r="J175" i="17"/>
  <c r="J111" i="17"/>
  <c r="J47" i="17"/>
  <c r="A72" i="15"/>
  <c r="H223" i="12"/>
  <c r="F138" i="12"/>
  <c r="C53" i="12"/>
  <c r="A207" i="11"/>
  <c r="G121" i="11"/>
  <c r="D36" i="11"/>
  <c r="C31" i="8"/>
  <c r="D17" i="7"/>
  <c r="E277" i="6"/>
  <c r="E245" i="6"/>
  <c r="E213" i="6"/>
  <c r="E181" i="6"/>
  <c r="E149" i="6"/>
  <c r="E117" i="6"/>
  <c r="E85" i="6"/>
  <c r="E53" i="6"/>
  <c r="E21" i="6"/>
  <c r="B409" i="5"/>
  <c r="F396" i="5"/>
  <c r="J383" i="5"/>
  <c r="N370" i="5"/>
  <c r="R357" i="5"/>
  <c r="B345" i="5"/>
  <c r="F332" i="5"/>
  <c r="J319" i="5"/>
  <c r="N306" i="5"/>
  <c r="R293" i="5"/>
  <c r="B281" i="5"/>
  <c r="F268" i="5"/>
  <c r="J255" i="5"/>
  <c r="N242" i="5"/>
  <c r="R229" i="5"/>
  <c r="B217" i="5"/>
  <c r="F204" i="5"/>
  <c r="J191" i="5"/>
  <c r="N178" i="5"/>
  <c r="R165" i="5"/>
  <c r="B153" i="5"/>
  <c r="F140" i="5"/>
  <c r="J127" i="5"/>
  <c r="N114" i="5"/>
  <c r="R101" i="5"/>
  <c r="B89" i="5"/>
  <c r="F76" i="5"/>
  <c r="J63" i="5"/>
  <c r="N50" i="5"/>
  <c r="R37" i="5"/>
  <c r="B25" i="5"/>
  <c r="E12" i="5"/>
  <c r="C405" i="3"/>
  <c r="F389" i="3"/>
  <c r="AD373" i="3"/>
  <c r="AE357" i="3"/>
  <c r="AJ341" i="3"/>
  <c r="G326" i="3"/>
  <c r="J310" i="3"/>
  <c r="AG294" i="3"/>
  <c r="AI278" i="3"/>
  <c r="AJ262" i="3"/>
  <c r="D247" i="3"/>
  <c r="F231" i="3"/>
  <c r="H215" i="3"/>
  <c r="I199" i="3"/>
  <c r="AJ183" i="3"/>
  <c r="C168" i="3"/>
  <c r="G152" i="3"/>
  <c r="I136" i="3"/>
  <c r="AD120" i="3"/>
  <c r="AG104" i="3"/>
  <c r="AJ88" i="3"/>
  <c r="B73" i="3"/>
  <c r="F57" i="3"/>
  <c r="G41" i="3"/>
  <c r="I25" i="3"/>
  <c r="D16" i="3"/>
  <c r="D8" i="3"/>
  <c r="G258" i="19"/>
  <c r="J217" i="17"/>
  <c r="A52" i="15"/>
  <c r="D188" i="11"/>
  <c r="D16" i="7"/>
  <c r="E178" i="6"/>
  <c r="E50" i="6"/>
  <c r="N384" i="5"/>
  <c r="J333" i="5"/>
  <c r="F282" i="5"/>
  <c r="B231" i="5"/>
  <c r="R179" i="5"/>
  <c r="N128" i="5"/>
  <c r="J77" i="5"/>
  <c r="F26" i="5"/>
  <c r="A376" i="3"/>
  <c r="B313" i="3"/>
  <c r="AE249" i="3"/>
  <c r="G186" i="3"/>
  <c r="B123" i="3"/>
  <c r="AF59" i="3"/>
  <c r="H9" i="3"/>
  <c r="N410" i="2"/>
  <c r="F407" i="2"/>
  <c r="Y403" i="2"/>
  <c r="R400" i="2"/>
  <c r="J397" i="2"/>
  <c r="C394" i="2"/>
  <c r="V390" i="2"/>
  <c r="N387" i="2"/>
  <c r="G384" i="2"/>
  <c r="Z380" i="2"/>
  <c r="R377" i="2"/>
  <c r="K374" i="2"/>
  <c r="D371" i="2"/>
  <c r="V367" i="2"/>
  <c r="O364" i="2"/>
  <c r="H361" i="2"/>
  <c r="Z357" i="2"/>
  <c r="S354" i="2"/>
  <c r="L351" i="2"/>
  <c r="D348" i="2"/>
  <c r="W344" i="2"/>
  <c r="P341" i="2"/>
  <c r="H338" i="2"/>
  <c r="A335" i="2"/>
  <c r="T331" i="2"/>
  <c r="L328" i="2"/>
  <c r="E325" i="2"/>
  <c r="X321" i="2"/>
  <c r="P318" i="2"/>
  <c r="I315" i="2"/>
  <c r="B312" i="2"/>
  <c r="T308" i="2"/>
  <c r="M305" i="2"/>
  <c r="F302" i="2"/>
  <c r="X298" i="2"/>
  <c r="Q295" i="2"/>
  <c r="J292" i="2"/>
  <c r="B289" i="2"/>
  <c r="U285" i="2"/>
  <c r="N282" i="2"/>
  <c r="F279" i="2"/>
  <c r="Y275" i="2"/>
  <c r="R272" i="2"/>
  <c r="J269" i="2"/>
  <c r="C266" i="2"/>
  <c r="V262" i="2"/>
  <c r="N259" i="2"/>
  <c r="G256" i="2"/>
  <c r="Z252" i="2"/>
  <c r="R249" i="2"/>
  <c r="K246" i="2"/>
  <c r="D243" i="2"/>
  <c r="V239" i="2"/>
  <c r="O236" i="2"/>
  <c r="H233" i="2"/>
  <c r="Z229" i="2"/>
  <c r="S226" i="2"/>
  <c r="L223" i="2"/>
  <c r="D220" i="2"/>
  <c r="W216" i="2"/>
  <c r="P213" i="2"/>
  <c r="H210" i="2"/>
  <c r="A207" i="2"/>
  <c r="T203" i="2"/>
  <c r="L200" i="2"/>
  <c r="E197" i="2"/>
  <c r="X193" i="2"/>
  <c r="P190" i="2"/>
  <c r="I187" i="2"/>
  <c r="B184" i="2"/>
  <c r="T180" i="2"/>
  <c r="M177" i="2"/>
  <c r="F174" i="2"/>
  <c r="X170" i="2"/>
  <c r="Q167" i="2"/>
  <c r="J164" i="2"/>
  <c r="B161" i="2"/>
  <c r="U157" i="2"/>
  <c r="N154" i="2"/>
  <c r="F151" i="2"/>
  <c r="Y147" i="2"/>
  <c r="R144" i="2"/>
  <c r="J141" i="2"/>
  <c r="C138" i="2"/>
  <c r="V134" i="2"/>
  <c r="N131" i="2"/>
  <c r="G128" i="2"/>
  <c r="Z124" i="2"/>
  <c r="R121" i="2"/>
  <c r="K118" i="2"/>
  <c r="D115" i="2"/>
  <c r="V111" i="2"/>
  <c r="O108" i="2"/>
  <c r="H105" i="2"/>
  <c r="Z101" i="2"/>
  <c r="S98" i="2"/>
  <c r="L95" i="2"/>
  <c r="D92" i="2"/>
  <c r="W88" i="2"/>
  <c r="P85" i="2"/>
  <c r="H82" i="2"/>
  <c r="A79" i="2"/>
  <c r="T75" i="2"/>
  <c r="L72" i="2"/>
  <c r="E69" i="2"/>
  <c r="X65" i="2"/>
  <c r="P62" i="2"/>
  <c r="I59" i="2"/>
  <c r="B56" i="2"/>
  <c r="T52" i="2"/>
  <c r="M49" i="2"/>
  <c r="F46" i="2"/>
  <c r="X42" i="2"/>
  <c r="Q39" i="2"/>
  <c r="J36" i="2"/>
  <c r="B33" i="2"/>
  <c r="U29" i="2"/>
  <c r="N26" i="2"/>
  <c r="F23" i="2"/>
  <c r="Y19" i="2"/>
  <c r="R16" i="2"/>
  <c r="J13" i="2"/>
  <c r="B10" i="2"/>
  <c r="U6" i="2"/>
  <c r="W410" i="2"/>
  <c r="P407" i="2"/>
  <c r="H404" i="2"/>
  <c r="A401" i="2"/>
  <c r="T397" i="2"/>
  <c r="L394" i="2"/>
  <c r="E391" i="2"/>
  <c r="X387" i="2"/>
  <c r="P384" i="2"/>
  <c r="I381" i="2"/>
  <c r="B378" i="2"/>
  <c r="T374" i="2"/>
  <c r="M371" i="2"/>
  <c r="F368" i="2"/>
  <c r="X364" i="2"/>
  <c r="Q361" i="2"/>
  <c r="J358" i="2"/>
  <c r="B355" i="2"/>
  <c r="U351" i="2"/>
  <c r="N348" i="2"/>
  <c r="F345" i="2"/>
  <c r="Y341" i="2"/>
  <c r="R338" i="2"/>
  <c r="J335" i="2"/>
  <c r="C332" i="2"/>
  <c r="V328" i="2"/>
  <c r="N325" i="2"/>
  <c r="G322" i="2"/>
  <c r="Z318" i="2"/>
  <c r="R315" i="2"/>
  <c r="K312" i="2"/>
  <c r="D309" i="2"/>
  <c r="V305" i="2"/>
  <c r="O302" i="2"/>
  <c r="H299" i="2"/>
  <c r="Z295" i="2"/>
  <c r="S292" i="2"/>
  <c r="L289" i="2"/>
  <c r="D286" i="2"/>
  <c r="W282" i="2"/>
  <c r="P279" i="2"/>
  <c r="H276" i="2"/>
  <c r="A273" i="2"/>
  <c r="T269" i="2"/>
  <c r="L266" i="2"/>
  <c r="E263" i="2"/>
  <c r="X259" i="2"/>
  <c r="P256" i="2"/>
  <c r="I253" i="2"/>
  <c r="B250" i="2"/>
  <c r="T246" i="2"/>
  <c r="M243" i="2"/>
  <c r="F240" i="2"/>
  <c r="X236" i="2"/>
  <c r="Q233" i="2"/>
  <c r="J230" i="2"/>
  <c r="B227" i="2"/>
  <c r="U223" i="2"/>
  <c r="N220" i="2"/>
  <c r="F217" i="2"/>
  <c r="Y213" i="2"/>
  <c r="R210" i="2"/>
  <c r="J207" i="2"/>
  <c r="C204" i="2"/>
  <c r="V200" i="2"/>
  <c r="N197" i="2"/>
  <c r="G194" i="2"/>
  <c r="Z190" i="2"/>
  <c r="R187" i="2"/>
  <c r="K184" i="2"/>
  <c r="D181" i="2"/>
  <c r="V177" i="2"/>
  <c r="O174" i="2"/>
  <c r="H171" i="2"/>
  <c r="Z167" i="2"/>
  <c r="S164" i="2"/>
  <c r="L161" i="2"/>
  <c r="D158" i="2"/>
  <c r="W154" i="2"/>
  <c r="P151" i="2"/>
  <c r="H148" i="2"/>
  <c r="A145" i="2"/>
  <c r="T141" i="2"/>
  <c r="L138" i="2"/>
  <c r="E135" i="2"/>
  <c r="X131" i="2"/>
  <c r="P128" i="2"/>
  <c r="I125" i="2"/>
  <c r="B122" i="2"/>
  <c r="T118" i="2"/>
  <c r="M115" i="2"/>
  <c r="F112" i="2"/>
  <c r="X108" i="2"/>
  <c r="Q105" i="2"/>
  <c r="J102" i="2"/>
  <c r="B99" i="2"/>
  <c r="U95" i="2"/>
  <c r="N92" i="2"/>
  <c r="F89" i="2"/>
  <c r="Y85" i="2"/>
  <c r="R82" i="2"/>
  <c r="J79" i="2"/>
  <c r="C76" i="2"/>
  <c r="V72" i="2"/>
  <c r="N69" i="2"/>
  <c r="G66" i="2"/>
  <c r="Z62" i="2"/>
  <c r="R59" i="2"/>
  <c r="K56" i="2"/>
  <c r="D53" i="2"/>
  <c r="V49" i="2"/>
  <c r="O46" i="2"/>
  <c r="H43" i="2"/>
  <c r="Z39" i="2"/>
  <c r="S36" i="2"/>
  <c r="L33" i="2"/>
  <c r="D30" i="2"/>
  <c r="W26" i="2"/>
  <c r="P23" i="2"/>
  <c r="H20" i="2"/>
  <c r="A17" i="2"/>
  <c r="T13" i="2"/>
  <c r="K10" i="2"/>
  <c r="D7" i="2"/>
  <c r="F411" i="2"/>
  <c r="Y407" i="2"/>
  <c r="R404" i="2"/>
  <c r="J401" i="2"/>
  <c r="C398" i="2"/>
  <c r="V394" i="2"/>
  <c r="N391" i="2"/>
  <c r="G388" i="2"/>
  <c r="Z384" i="2"/>
  <c r="R381" i="2"/>
  <c r="K378" i="2"/>
  <c r="D375" i="2"/>
  <c r="V371" i="2"/>
  <c r="O368" i="2"/>
  <c r="H365" i="2"/>
  <c r="Z361" i="2"/>
  <c r="S358" i="2"/>
  <c r="L355" i="2"/>
  <c r="D352" i="2"/>
  <c r="W348" i="2"/>
  <c r="P345" i="2"/>
  <c r="H342" i="2"/>
  <c r="A339" i="2"/>
  <c r="T335" i="2"/>
  <c r="L332" i="2"/>
  <c r="E329" i="2"/>
  <c r="X325" i="2"/>
  <c r="P322" i="2"/>
  <c r="I319" i="2"/>
  <c r="B316" i="2"/>
  <c r="T312" i="2"/>
  <c r="M309" i="2"/>
  <c r="F306" i="2"/>
  <c r="X302" i="2"/>
  <c r="Q299" i="2"/>
  <c r="J296" i="2"/>
  <c r="B293" i="2"/>
  <c r="U289" i="2"/>
  <c r="N286" i="2"/>
  <c r="F283" i="2"/>
  <c r="Y279" i="2"/>
  <c r="R276" i="2"/>
  <c r="J273" i="2"/>
  <c r="C270" i="2"/>
  <c r="V266" i="2"/>
  <c r="N263" i="2"/>
  <c r="G260" i="2"/>
  <c r="Z256" i="2"/>
  <c r="R253" i="2"/>
  <c r="K250" i="2"/>
  <c r="D247" i="2"/>
  <c r="V243" i="2"/>
  <c r="O240" i="2"/>
  <c r="H237" i="2"/>
  <c r="Z233" i="2"/>
  <c r="S230" i="2"/>
  <c r="L227" i="2"/>
  <c r="D224" i="2"/>
  <c r="W220" i="2"/>
  <c r="P217" i="2"/>
  <c r="H214" i="2"/>
  <c r="A211" i="2"/>
  <c r="T207" i="2"/>
  <c r="L204" i="2"/>
  <c r="E201" i="2"/>
  <c r="X197" i="2"/>
  <c r="P194" i="2"/>
  <c r="I191" i="2"/>
  <c r="B188" i="2"/>
  <c r="T184" i="2"/>
  <c r="M181" i="2"/>
  <c r="F178" i="2"/>
  <c r="X174" i="2"/>
  <c r="Q171" i="2"/>
  <c r="J168" i="2"/>
  <c r="B165" i="2"/>
  <c r="U161" i="2"/>
  <c r="N158" i="2"/>
  <c r="F155" i="2"/>
  <c r="Y151" i="2"/>
  <c r="R148" i="2"/>
  <c r="J145" i="2"/>
  <c r="C142" i="2"/>
  <c r="V138" i="2"/>
  <c r="N135" i="2"/>
  <c r="G132" i="2"/>
  <c r="Z128" i="2"/>
  <c r="R125" i="2"/>
  <c r="K122" i="2"/>
  <c r="D119" i="2"/>
  <c r="V115" i="2"/>
  <c r="O112" i="2"/>
  <c r="H109" i="2"/>
  <c r="Z105" i="2"/>
  <c r="S102" i="2"/>
  <c r="L99" i="2"/>
  <c r="D96" i="2"/>
  <c r="W92" i="2"/>
  <c r="P89" i="2"/>
  <c r="H86" i="2"/>
  <c r="A83" i="2"/>
  <c r="T79" i="2"/>
  <c r="L76" i="2"/>
  <c r="E73" i="2"/>
  <c r="X69" i="2"/>
  <c r="P66" i="2"/>
  <c r="I63" i="2"/>
  <c r="B60" i="2"/>
  <c r="T56" i="2"/>
  <c r="M53" i="2"/>
  <c r="F50" i="2"/>
  <c r="X46" i="2"/>
  <c r="Q43" i="2"/>
  <c r="J40" i="2"/>
  <c r="B37" i="2"/>
  <c r="U33" i="2"/>
  <c r="N30" i="2"/>
  <c r="F27" i="2"/>
  <c r="Y23" i="2"/>
  <c r="R20" i="2"/>
  <c r="J17" i="2"/>
  <c r="C14" i="2"/>
  <c r="U10" i="2"/>
  <c r="M7" i="2"/>
  <c r="C203" i="23"/>
  <c r="J301" i="17"/>
  <c r="J45" i="17"/>
  <c r="C61" i="12"/>
  <c r="C34" i="8"/>
  <c r="E228" i="6"/>
  <c r="E100" i="6"/>
  <c r="N404" i="5"/>
  <c r="J353" i="5"/>
  <c r="F302" i="5"/>
  <c r="B251" i="5"/>
  <c r="R199" i="5"/>
  <c r="N148" i="5"/>
  <c r="J97" i="5"/>
  <c r="F46" i="5"/>
  <c r="AE400" i="3"/>
  <c r="J337" i="3"/>
  <c r="G274" i="3"/>
  <c r="AJ210" i="3"/>
  <c r="AJ147" i="3"/>
  <c r="I84" i="3"/>
  <c r="H22" i="3"/>
  <c r="F160" i="23"/>
  <c r="J277" i="17"/>
  <c r="J21" i="17"/>
  <c r="C29" i="12"/>
  <c r="C22" i="8"/>
  <c r="E200" i="6"/>
  <c r="E72" i="6"/>
  <c r="F390" i="5"/>
  <c r="B339" i="5"/>
  <c r="R287" i="5"/>
  <c r="N236" i="5"/>
  <c r="J185" i="5"/>
  <c r="F134" i="5"/>
  <c r="B83" i="5"/>
  <c r="R31" i="5"/>
  <c r="AH382" i="3"/>
  <c r="A320" i="3"/>
  <c r="I256" i="3"/>
  <c r="E193" i="3"/>
  <c r="A130" i="3"/>
  <c r="AE66" i="3"/>
  <c r="AJ12" i="3"/>
  <c r="J402" i="2"/>
  <c r="Z395" i="2"/>
  <c r="A389" i="2"/>
  <c r="L382" i="2"/>
  <c r="X375" i="2"/>
  <c r="N369" i="2"/>
  <c r="Z362" i="2"/>
  <c r="K356" i="2"/>
  <c r="B350" i="2"/>
  <c r="L341" i="2"/>
  <c r="W334" i="2"/>
  <c r="H328" i="2"/>
  <c r="T321" i="2"/>
  <c r="E315" i="2"/>
  <c r="P308" i="2"/>
  <c r="V301" i="2"/>
  <c r="R295" i="2"/>
  <c r="I289" i="2"/>
  <c r="J282" i="2"/>
  <c r="F276" i="2"/>
  <c r="Q269" i="2"/>
  <c r="B263" i="2"/>
  <c r="S256" i="2"/>
  <c r="O250" i="2"/>
  <c r="Z243" i="2"/>
  <c r="Z235" i="2"/>
  <c r="L229" i="2"/>
  <c r="R222" i="2"/>
  <c r="H216" i="2"/>
  <c r="T209" i="2"/>
  <c r="T202" i="2"/>
  <c r="V197" i="2"/>
  <c r="H191" i="2"/>
  <c r="D185" i="2"/>
  <c r="T178" i="2"/>
  <c r="Z171" i="2"/>
  <c r="Q165" i="2"/>
  <c r="H159" i="2"/>
  <c r="X152" i="2"/>
  <c r="J146" i="2"/>
  <c r="E139" i="2"/>
  <c r="P132" i="2"/>
  <c r="V125" i="2"/>
  <c r="H119" i="2"/>
  <c r="S112" i="2"/>
  <c r="J106" i="2"/>
  <c r="U99" i="2"/>
  <c r="L93" i="2"/>
  <c r="B87" i="2"/>
  <c r="S80" i="2"/>
  <c r="D74" i="2"/>
  <c r="J67" i="2"/>
  <c r="V60" i="2"/>
  <c r="L54" i="2"/>
  <c r="C48" i="2"/>
  <c r="I41" i="2"/>
  <c r="K36" i="2"/>
  <c r="K28" i="2"/>
  <c r="V21" i="2"/>
  <c r="B15" i="2"/>
  <c r="M8" i="2"/>
  <c r="B160" i="22"/>
  <c r="J241" i="17"/>
  <c r="A68" i="15"/>
  <c r="G241" i="11"/>
  <c r="C12" i="8"/>
  <c r="E206" i="6"/>
  <c r="E78" i="6"/>
  <c r="N392" i="5"/>
  <c r="J341" i="5"/>
  <c r="F290" i="5"/>
  <c r="B239" i="5"/>
  <c r="R187" i="5"/>
  <c r="N136" i="5"/>
  <c r="J85" i="5"/>
  <c r="F34" i="5"/>
  <c r="AI381" i="3"/>
  <c r="A319" i="3"/>
  <c r="J255" i="3"/>
  <c r="F192" i="3"/>
  <c r="A129" i="3"/>
  <c r="AE65" i="3"/>
  <c r="H12" i="3"/>
  <c r="D410" i="2"/>
  <c r="R406" i="2"/>
  <c r="C400" i="2"/>
  <c r="N393" i="2"/>
  <c r="Z386" i="2"/>
  <c r="K380" i="2"/>
  <c r="Q373" i="2"/>
  <c r="H367" i="2"/>
  <c r="S360" i="2"/>
  <c r="Y353" i="2"/>
  <c r="J347" i="2"/>
  <c r="W342" i="2"/>
  <c r="H336" i="2"/>
  <c r="T329" i="2"/>
  <c r="E323" i="2"/>
  <c r="V316" i="2"/>
  <c r="B310" i="2"/>
  <c r="R303" i="2"/>
  <c r="S296" i="2"/>
  <c r="D290" i="2"/>
  <c r="P283" i="2"/>
  <c r="V276" i="2"/>
  <c r="G270" i="2"/>
  <c r="R263" i="2"/>
  <c r="X256" i="2"/>
  <c r="Y249" i="2"/>
  <c r="J243" i="2"/>
  <c r="G238" i="2"/>
  <c r="R231" i="2"/>
  <c r="I225" i="2"/>
  <c r="O218" i="2"/>
  <c r="Z211" i="2"/>
  <c r="V205" i="2"/>
  <c r="Q197" i="2"/>
  <c r="B191" i="2"/>
  <c r="H184" i="2"/>
  <c r="D177" i="2"/>
  <c r="Z170" i="2"/>
  <c r="F164" i="2"/>
  <c r="L157" i="2"/>
  <c r="R150" i="2"/>
  <c r="H144" i="2"/>
  <c r="D138" i="2"/>
  <c r="U131" i="2"/>
  <c r="F125" i="2"/>
  <c r="R118" i="2"/>
  <c r="X111" i="2"/>
  <c r="I105" i="2"/>
  <c r="T98" i="2"/>
  <c r="Z91" i="2"/>
  <c r="V84" i="2"/>
  <c r="L78" i="2"/>
  <c r="C72" i="2"/>
  <c r="N65" i="2"/>
  <c r="Z58" i="2"/>
  <c r="H47" i="2"/>
  <c r="V28" i="2"/>
  <c r="V12" i="2"/>
  <c r="B630" i="25"/>
  <c r="G174" i="25"/>
  <c r="C850" i="25"/>
  <c r="H215" i="25"/>
  <c r="D694" i="25"/>
  <c r="B213" i="22"/>
  <c r="H638" i="25"/>
  <c r="F193" i="22"/>
  <c r="H116" i="19"/>
  <c r="F587" i="25"/>
  <c r="E137" i="25"/>
  <c r="F62" i="23"/>
  <c r="C275" i="19"/>
  <c r="E34" i="19"/>
  <c r="E349" i="17"/>
  <c r="E285" i="17"/>
  <c r="E213" i="17"/>
  <c r="E157" i="17"/>
  <c r="E85" i="17"/>
  <c r="E29" i="17"/>
  <c r="C36" i="15"/>
  <c r="E689" i="25"/>
  <c r="D192" i="25"/>
  <c r="E102" i="23"/>
  <c r="G5" i="22"/>
  <c r="C54" i="19"/>
  <c r="D338" i="17"/>
  <c r="L252" i="17"/>
  <c r="L156" i="17"/>
  <c r="H71" i="17"/>
  <c r="B92" i="15"/>
  <c r="D9" i="13"/>
  <c r="E119" i="12"/>
  <c r="E63" i="12"/>
  <c r="E7" i="12"/>
  <c r="F169" i="11"/>
  <c r="F97" i="11"/>
  <c r="F33" i="11"/>
  <c r="H790" i="25"/>
  <c r="C129" i="25"/>
  <c r="G53" i="23"/>
  <c r="F270" i="19"/>
  <c r="F52" i="19"/>
  <c r="C348" i="17"/>
  <c r="C276" i="17"/>
  <c r="C220" i="17"/>
  <c r="C148" i="17"/>
  <c r="C76" i="17"/>
  <c r="C20" i="17"/>
  <c r="H4" i="15"/>
  <c r="G221" i="12"/>
  <c r="D168" i="12"/>
  <c r="D104" i="12"/>
  <c r="B19" i="12"/>
  <c r="E175" i="11"/>
  <c r="C90" i="11"/>
  <c r="H4" i="11"/>
  <c r="B298" i="25"/>
  <c r="E140" i="23"/>
  <c r="F109" i="19"/>
  <c r="G364" i="17"/>
  <c r="G300" i="17"/>
  <c r="G220" i="17"/>
  <c r="G148" i="17"/>
  <c r="G76" i="17"/>
  <c r="G12" i="17"/>
  <c r="E18" i="14"/>
  <c r="G168" i="12"/>
  <c r="D83" i="12"/>
  <c r="E240" i="11"/>
  <c r="E144" i="11"/>
  <c r="C59" i="11"/>
  <c r="E484" i="25"/>
  <c r="B204" i="22"/>
  <c r="F371" i="17"/>
  <c r="F227" i="17"/>
  <c r="F99" i="17"/>
  <c r="E50" i="15"/>
  <c r="C124" i="12"/>
  <c r="G216" i="11"/>
  <c r="G24" i="11"/>
  <c r="A7" i="7"/>
  <c r="B228" i="6"/>
  <c r="B164" i="6"/>
  <c r="B100" i="6"/>
  <c r="B28" i="6"/>
  <c r="C396" i="5"/>
  <c r="O373" i="5"/>
  <c r="C348" i="5"/>
  <c r="K322" i="5"/>
  <c r="S296" i="5"/>
  <c r="G271" i="5"/>
  <c r="K242" i="5"/>
  <c r="O213" i="5"/>
  <c r="C188" i="5"/>
  <c r="K162" i="5"/>
  <c r="O133" i="5"/>
  <c r="C108" i="5"/>
  <c r="K82" i="5"/>
  <c r="C60" i="5"/>
  <c r="K34" i="5"/>
  <c r="R8" i="5"/>
  <c r="A385" i="3"/>
  <c r="H353" i="3"/>
  <c r="D318" i="3"/>
  <c r="J286" i="3"/>
  <c r="AH250" i="3"/>
  <c r="C215" i="3"/>
  <c r="AE179" i="3"/>
  <c r="C144" i="3"/>
  <c r="H112" i="3"/>
  <c r="AF84" i="3"/>
  <c r="A53" i="3"/>
  <c r="E593" i="25"/>
  <c r="F20" i="23"/>
  <c r="C2" i="18"/>
  <c r="N254" i="17"/>
  <c r="N110" i="17"/>
  <c r="E73" i="15"/>
  <c r="H140" i="12"/>
  <c r="G190" i="11"/>
  <c r="B5" i="10"/>
  <c r="C17" i="7"/>
  <c r="D267" i="6"/>
  <c r="H224" i="6"/>
  <c r="D187" i="6"/>
  <c r="D139" i="6"/>
  <c r="D99" i="6"/>
  <c r="D71" i="6"/>
  <c r="D35" i="6"/>
  <c r="D3" i="6"/>
  <c r="I400" i="5"/>
  <c r="M387" i="5"/>
  <c r="Q374" i="5"/>
  <c r="M363" i="5"/>
  <c r="E349" i="5"/>
  <c r="Q334" i="5"/>
  <c r="A322" i="5"/>
  <c r="Q310" i="5"/>
  <c r="M299" i="5"/>
  <c r="E285" i="5"/>
  <c r="I272" i="5"/>
  <c r="M259" i="5"/>
  <c r="Q246" i="5"/>
  <c r="A234" i="5"/>
  <c r="E221" i="5"/>
  <c r="E205" i="5"/>
  <c r="I192" i="5"/>
  <c r="A178" i="5"/>
  <c r="E165" i="5"/>
  <c r="I152" i="5"/>
  <c r="M139" i="5"/>
  <c r="E125" i="5"/>
  <c r="A114" i="5"/>
  <c r="E101" i="5"/>
  <c r="I88" i="5"/>
  <c r="E77" i="5"/>
  <c r="A66" i="5"/>
  <c r="E53" i="5"/>
  <c r="Q38" i="5"/>
  <c r="A26" i="5"/>
  <c r="P14" i="5"/>
  <c r="B408" i="3"/>
  <c r="E394" i="3"/>
  <c r="I378" i="3"/>
  <c r="AF362" i="3"/>
  <c r="A345" i="3"/>
  <c r="G329" i="3"/>
  <c r="AD313" i="3"/>
  <c r="AH297" i="3"/>
  <c r="AJ279" i="3"/>
  <c r="AJ271" i="3"/>
  <c r="A264" i="3"/>
  <c r="C254" i="3"/>
  <c r="F244" i="3"/>
  <c r="H228" i="3"/>
  <c r="J208" i="3"/>
  <c r="AH192" i="3"/>
  <c r="C177" i="3"/>
  <c r="E161" i="3"/>
  <c r="I145" i="3"/>
  <c r="J127" i="3"/>
  <c r="AH111" i="3"/>
  <c r="AH97" i="3"/>
  <c r="B82" i="3"/>
  <c r="D68" i="3"/>
  <c r="G52" i="3"/>
  <c r="I317" i="25"/>
  <c r="D17" i="22"/>
  <c r="B352" i="17"/>
  <c r="B208" i="17"/>
  <c r="B64" i="17"/>
  <c r="F228" i="12"/>
  <c r="H57" i="12"/>
  <c r="A129" i="11"/>
  <c r="A35" i="8"/>
  <c r="C283" i="6"/>
  <c r="C219" i="6"/>
  <c r="C147" i="6"/>
  <c r="C75" i="6"/>
  <c r="C11" i="6"/>
  <c r="L392" i="5"/>
  <c r="T366" i="5"/>
  <c r="D338" i="5"/>
  <c r="H309" i="5"/>
  <c r="L280" i="5"/>
  <c r="T254" i="5"/>
  <c r="T222" i="5"/>
  <c r="T190" i="5"/>
  <c r="T158" i="5"/>
  <c r="D130" i="5"/>
  <c r="L104" i="5"/>
  <c r="L72" i="5"/>
  <c r="P43" i="5"/>
  <c r="D18" i="5"/>
  <c r="G392" i="3"/>
  <c r="AG360" i="3"/>
  <c r="F333" i="3"/>
  <c r="AH301" i="3"/>
  <c r="A270" i="3"/>
  <c r="G242" i="3"/>
  <c r="AD210" i="3"/>
  <c r="E175" i="3"/>
  <c r="AD139" i="3"/>
  <c r="AI99" i="3"/>
  <c r="E64" i="3"/>
  <c r="AE28" i="3"/>
  <c r="AG7" i="3"/>
  <c r="A222" i="23"/>
  <c r="G136" i="19"/>
  <c r="B273" i="17"/>
  <c r="B145" i="17"/>
  <c r="A109" i="15"/>
  <c r="C163" i="12"/>
  <c r="A213" i="11"/>
  <c r="D42" i="11"/>
  <c r="F13" i="7"/>
  <c r="G234" i="6"/>
  <c r="G162" i="6"/>
  <c r="G90" i="6"/>
  <c r="G10" i="6"/>
  <c r="D389" i="5"/>
  <c r="D357" i="5"/>
  <c r="D325" i="5"/>
  <c r="H296" i="5"/>
  <c r="L267" i="5"/>
  <c r="D245" i="5"/>
  <c r="T221" i="5"/>
  <c r="P202" i="5"/>
  <c r="L187" i="5"/>
  <c r="D173" i="5"/>
  <c r="H160" i="5"/>
  <c r="L147" i="5"/>
  <c r="P134" i="5"/>
  <c r="T121" i="5"/>
  <c r="D109" i="5"/>
  <c r="H96" i="5"/>
  <c r="H80" i="5"/>
  <c r="L67" i="5"/>
  <c r="T57" i="5"/>
  <c r="H48" i="5"/>
  <c r="T33" i="5"/>
  <c r="D21" i="5"/>
  <c r="S9" i="5"/>
  <c r="A402" i="3"/>
  <c r="D386" i="3"/>
  <c r="I368" i="3"/>
  <c r="AE352" i="3"/>
  <c r="B335" i="3"/>
  <c r="G317" i="3"/>
  <c r="AD301" i="3"/>
  <c r="AG283" i="3"/>
  <c r="AG267" i="3"/>
  <c r="A250" i="3"/>
  <c r="D234" i="3"/>
  <c r="F216" i="3"/>
  <c r="G200" i="3"/>
  <c r="AH182" i="3"/>
  <c r="A167" i="3"/>
  <c r="E149" i="3"/>
  <c r="G131" i="3"/>
  <c r="J113" i="3"/>
  <c r="AE99" i="3"/>
  <c r="AI83" i="3"/>
  <c r="A68" i="3"/>
  <c r="D50" i="3"/>
  <c r="F40" i="3"/>
  <c r="F30" i="3"/>
  <c r="AE19" i="3"/>
  <c r="AE11" i="3"/>
  <c r="G434" i="25"/>
  <c r="F16" i="23"/>
  <c r="J378" i="17"/>
  <c r="J250" i="17"/>
  <c r="J122" i="17"/>
  <c r="A62" i="15"/>
  <c r="H147" i="12"/>
  <c r="G221" i="11"/>
  <c r="D136" i="11"/>
  <c r="A51" i="11"/>
  <c r="A215" i="6"/>
  <c r="A95" i="6"/>
  <c r="A23" i="6"/>
  <c r="R396" i="5"/>
  <c r="B368" i="5"/>
  <c r="J342" i="5"/>
  <c r="R316" i="5"/>
  <c r="B288" i="5"/>
  <c r="F259" i="5"/>
  <c r="N233" i="5"/>
  <c r="B208" i="5"/>
  <c r="J182" i="5"/>
  <c r="N153" i="5"/>
  <c r="R124" i="5"/>
  <c r="B96" i="5"/>
  <c r="B48" i="5"/>
  <c r="F19" i="5"/>
  <c r="AJ393" i="3"/>
  <c r="G358" i="3"/>
  <c r="C327" i="3"/>
  <c r="I295" i="3"/>
  <c r="AF263" i="3"/>
  <c r="B232" i="3"/>
  <c r="F196" i="3"/>
  <c r="AJ160" i="3"/>
  <c r="E129" i="3"/>
  <c r="AF93" i="3"/>
  <c r="A58" i="3"/>
  <c r="E26" i="3"/>
  <c r="J8" i="3"/>
  <c r="D57" i="24"/>
  <c r="G254" i="19"/>
  <c r="J324" i="17"/>
  <c r="J196" i="17"/>
  <c r="J52" i="17"/>
  <c r="C209" i="12"/>
  <c r="F38" i="12"/>
  <c r="A107" i="11"/>
  <c r="G39" i="8"/>
  <c r="A1" i="7"/>
  <c r="A222" i="6"/>
  <c r="A158" i="6"/>
  <c r="A94" i="6"/>
  <c r="A22" i="6"/>
  <c r="R390" i="5"/>
  <c r="J352" i="5"/>
  <c r="B330" i="5"/>
  <c r="J304" i="5"/>
  <c r="R278" i="5"/>
  <c r="F253" i="5"/>
  <c r="N227" i="5"/>
  <c r="B202" i="5"/>
  <c r="J176" i="5"/>
  <c r="R150" i="5"/>
  <c r="J128" i="5"/>
  <c r="N99" i="5"/>
  <c r="B74" i="5"/>
  <c r="F45" i="5"/>
  <c r="E13" i="5"/>
  <c r="J386" i="3"/>
  <c r="AI358" i="3"/>
  <c r="AD327" i="3"/>
  <c r="A300" i="3"/>
  <c r="C276" i="3"/>
  <c r="I244" i="3"/>
  <c r="AF212" i="3"/>
  <c r="F177" i="3"/>
  <c r="AF145" i="3"/>
  <c r="AJ113" i="3"/>
  <c r="F74" i="3"/>
  <c r="AE42" i="3"/>
  <c r="AH14" i="3"/>
  <c r="C411" i="2"/>
  <c r="E406" i="2"/>
  <c r="G401" i="2"/>
  <c r="Y396" i="2"/>
  <c r="Q392" i="2"/>
  <c r="S387" i="2"/>
  <c r="U382" i="2"/>
  <c r="W377" i="2"/>
  <c r="O373" i="2"/>
  <c r="A368" i="2"/>
  <c r="M362" i="2"/>
  <c r="Y356" i="2"/>
  <c r="K351" i="2"/>
  <c r="C347" i="2"/>
  <c r="O341" i="2"/>
  <c r="Q336" i="2"/>
  <c r="S331" i="2"/>
  <c r="E326" i="2"/>
  <c r="A320" i="2"/>
  <c r="C315" i="2"/>
  <c r="O309" i="2"/>
  <c r="A304" i="2"/>
  <c r="M298" i="2"/>
  <c r="Y292" i="2"/>
  <c r="U286" i="2"/>
  <c r="G281" i="2"/>
  <c r="I276" i="2"/>
  <c r="U270" i="2"/>
  <c r="W265" i="2"/>
  <c r="F7" i="38"/>
  <c r="A92" i="22"/>
  <c r="E8" i="24"/>
  <c r="E121" i="19"/>
  <c r="D195" i="19"/>
  <c r="A285" i="25"/>
  <c r="G68" i="22"/>
  <c r="A362" i="17"/>
  <c r="A234" i="17"/>
  <c r="A106" i="17"/>
  <c r="G61" i="15"/>
  <c r="B226" i="25"/>
  <c r="G24" i="22"/>
  <c r="H344" i="17"/>
  <c r="L173" i="17"/>
  <c r="F117" i="15"/>
  <c r="A140" i="12"/>
  <c r="A12" i="12"/>
  <c r="B126" i="11"/>
  <c r="C3" i="10"/>
  <c r="B37" i="24"/>
  <c r="F160" i="19"/>
  <c r="K312" i="17"/>
  <c r="K184" i="17"/>
  <c r="K56" i="17"/>
  <c r="B10" i="13"/>
  <c r="G67" i="12"/>
  <c r="H138" i="11"/>
  <c r="E737" i="25"/>
  <c r="B79" i="23"/>
  <c r="F42" i="19"/>
  <c r="O280" i="17"/>
  <c r="O152" i="17"/>
  <c r="O24" i="17"/>
  <c r="B196" i="12"/>
  <c r="D25" i="12"/>
  <c r="C97" i="11"/>
  <c r="D59" i="24"/>
  <c r="F316" i="17"/>
  <c r="F60" i="17"/>
  <c r="C72" i="12"/>
  <c r="H1" i="9"/>
  <c r="F224" i="6"/>
  <c r="F96" i="6"/>
  <c r="C401" i="5"/>
  <c r="S349" i="5"/>
  <c r="O298" i="5"/>
  <c r="K247" i="5"/>
  <c r="G196" i="5"/>
  <c r="C145" i="5"/>
  <c r="S93" i="5"/>
  <c r="O42" i="5"/>
  <c r="C395" i="3"/>
  <c r="D332" i="3"/>
  <c r="AH268" i="3"/>
  <c r="H205" i="3"/>
  <c r="G142" i="3"/>
  <c r="A79" i="3"/>
  <c r="B527" i="25"/>
  <c r="B3" i="19"/>
  <c r="N135" i="17"/>
  <c r="C174" i="12"/>
  <c r="G74" i="11"/>
  <c r="D292" i="6"/>
  <c r="H206" i="6"/>
  <c r="H125" i="6"/>
  <c r="H61" i="6"/>
  <c r="M412" i="5"/>
  <c r="A387" i="5"/>
  <c r="I361" i="5"/>
  <c r="Q335" i="5"/>
  <c r="E310" i="5"/>
  <c r="M284" i="5"/>
  <c r="A259" i="5"/>
  <c r="I233" i="5"/>
  <c r="Q207" i="5"/>
  <c r="E182" i="5"/>
  <c r="M156" i="5"/>
  <c r="A131" i="5"/>
  <c r="I105" i="5"/>
  <c r="Q79" i="5"/>
  <c r="E54" i="5"/>
  <c r="M28" i="5"/>
  <c r="E409" i="3"/>
  <c r="AG377" i="3"/>
  <c r="E346" i="3"/>
  <c r="AH314" i="3"/>
  <c r="D283" i="3"/>
  <c r="H251" i="3"/>
  <c r="AF219" i="3"/>
  <c r="D188" i="3"/>
  <c r="AE156" i="3"/>
  <c r="AI124" i="3"/>
  <c r="E93" i="3"/>
  <c r="I61" i="3"/>
  <c r="AG29" i="3"/>
  <c r="B152" i="22"/>
  <c r="B250" i="17"/>
  <c r="A95" i="15"/>
  <c r="G227" i="11"/>
  <c r="A8" i="8"/>
  <c r="C192" i="6"/>
  <c r="C64" i="6"/>
  <c r="D388" i="5"/>
  <c r="T336" i="5"/>
  <c r="P285" i="5"/>
  <c r="L234" i="5"/>
  <c r="H183" i="5"/>
  <c r="D132" i="5"/>
  <c r="T80" i="5"/>
  <c r="P29" i="5"/>
  <c r="B379" i="3"/>
  <c r="C316" i="3"/>
  <c r="AG252" i="3"/>
  <c r="H189" i="3"/>
  <c r="D126" i="3"/>
  <c r="AG62" i="3"/>
  <c r="A11" i="3"/>
  <c r="G240" i="19"/>
  <c r="B203" i="17"/>
  <c r="B28" i="14"/>
  <c r="D162" i="11"/>
  <c r="F2" i="7"/>
  <c r="G167" i="6"/>
  <c r="G39" i="6"/>
  <c r="H378" i="5"/>
  <c r="D327" i="5"/>
  <c r="T275" i="5"/>
  <c r="T225" i="5"/>
  <c r="L193" i="5"/>
  <c r="T167" i="5"/>
  <c r="H142" i="5"/>
  <c r="P116" i="5"/>
  <c r="D91" i="5"/>
  <c r="L65" i="5"/>
  <c r="T39" i="5"/>
  <c r="G14" i="5"/>
  <c r="AE391" i="3"/>
  <c r="A360" i="3"/>
  <c r="AF328" i="3"/>
  <c r="C297" i="3"/>
  <c r="F265" i="3"/>
  <c r="AF233" i="3"/>
  <c r="AI201" i="3"/>
  <c r="I170" i="3"/>
  <c r="AI138" i="3"/>
  <c r="C107" i="3"/>
  <c r="H75" i="3"/>
  <c r="AG43" i="3"/>
  <c r="G17" i="3"/>
  <c r="A165" i="25"/>
  <c r="J342" i="17"/>
  <c r="J86" i="17"/>
  <c r="H99" i="12"/>
  <c r="A3" i="11"/>
  <c r="A237" i="6"/>
  <c r="A109" i="6"/>
  <c r="N405" i="5"/>
  <c r="J354" i="5"/>
  <c r="F303" i="5"/>
  <c r="B252" i="5"/>
  <c r="R200" i="5"/>
  <c r="N149" i="5"/>
  <c r="J98" i="5"/>
  <c r="F47" i="5"/>
  <c r="AI400" i="3"/>
  <c r="AH337" i="3"/>
  <c r="AE274" i="3"/>
  <c r="D211" i="3"/>
  <c r="D148" i="3"/>
  <c r="AG84" i="3"/>
  <c r="J22" i="3"/>
  <c r="C155" i="23"/>
  <c r="J304" i="17"/>
  <c r="J48" i="17"/>
  <c r="F54" i="12"/>
  <c r="G29" i="8"/>
  <c r="A212" i="6"/>
  <c r="A84" i="6"/>
  <c r="J396" i="5"/>
  <c r="F345" i="5"/>
  <c r="B294" i="5"/>
  <c r="R242" i="5"/>
  <c r="N191" i="5"/>
  <c r="J140" i="5"/>
  <c r="F89" i="5"/>
  <c r="B38" i="5"/>
  <c r="J389" i="3"/>
  <c r="AE326" i="3"/>
  <c r="D263" i="3"/>
  <c r="AG199" i="3"/>
  <c r="AG136" i="3"/>
  <c r="F73" i="3"/>
  <c r="F16" i="3"/>
  <c r="Q406" i="2"/>
  <c r="U396" i="2"/>
  <c r="Y386" i="2"/>
  <c r="C377" i="2"/>
  <c r="G367" i="2"/>
  <c r="K357" i="2"/>
  <c r="O347" i="2"/>
  <c r="S337" i="2"/>
  <c r="W327" i="2"/>
  <c r="A318" i="2"/>
  <c r="E308" i="2"/>
  <c r="I298" i="2"/>
  <c r="M288" i="2"/>
  <c r="Q278" i="2"/>
  <c r="U268" i="2"/>
  <c r="I260" i="2"/>
  <c r="K255" i="2"/>
  <c r="M250" i="2"/>
  <c r="O245" i="2"/>
  <c r="Q240" i="2"/>
  <c r="S235" i="2"/>
  <c r="U230" i="2"/>
  <c r="W225" i="2"/>
  <c r="Y220" i="2"/>
  <c r="A216" i="2"/>
  <c r="C211" i="2"/>
  <c r="E206" i="2"/>
  <c r="G201" i="2"/>
  <c r="I196" i="2"/>
  <c r="K191" i="2"/>
  <c r="M186" i="2"/>
  <c r="O181" i="2"/>
  <c r="Q176" i="2"/>
  <c r="S171" i="2"/>
  <c r="U166" i="2"/>
  <c r="W161" i="2"/>
  <c r="Y156" i="2"/>
  <c r="A152" i="2"/>
  <c r="C147" i="2"/>
  <c r="E142" i="2"/>
  <c r="G137" i="2"/>
  <c r="I132" i="2"/>
  <c r="K127" i="2"/>
  <c r="M122" i="2"/>
  <c r="O117" i="2"/>
  <c r="Q112" i="2"/>
  <c r="S107" i="2"/>
  <c r="U102" i="2"/>
  <c r="W97" i="2"/>
  <c r="Y92" i="2"/>
  <c r="A88" i="2"/>
  <c r="C83" i="2"/>
  <c r="E78" i="2"/>
  <c r="G73" i="2"/>
  <c r="I68" i="2"/>
  <c r="K63" i="2"/>
  <c r="M58" i="2"/>
  <c r="O53" i="2"/>
  <c r="Q48" i="2"/>
  <c r="S43" i="2"/>
  <c r="U38" i="2"/>
  <c r="W33" i="2"/>
  <c r="Y28" i="2"/>
  <c r="A24" i="2"/>
  <c r="C19" i="2"/>
  <c r="E14" i="2"/>
  <c r="F9" i="2"/>
  <c r="C406" i="25"/>
  <c r="D149" i="22"/>
  <c r="J379" i="17"/>
  <c r="J251" i="17"/>
  <c r="J123" i="17"/>
  <c r="A96" i="15"/>
  <c r="F154" i="12"/>
  <c r="A223" i="11"/>
  <c r="D52" i="11"/>
  <c r="C5" i="8"/>
  <c r="E251" i="6"/>
  <c r="E187" i="6"/>
  <c r="E123" i="6"/>
  <c r="E59" i="6"/>
  <c r="J411" i="5"/>
  <c r="R385" i="5"/>
  <c r="F360" i="5"/>
  <c r="N334" i="5"/>
  <c r="B309" i="5"/>
  <c r="J283" i="5"/>
  <c r="R257" i="5"/>
  <c r="F232" i="5"/>
  <c r="N206" i="5"/>
  <c r="B181" i="5"/>
  <c r="J155" i="5"/>
  <c r="R129" i="5"/>
  <c r="F104" i="5"/>
  <c r="N78" i="5"/>
  <c r="B53" i="5"/>
  <c r="J27" i="5"/>
  <c r="A408" i="3"/>
  <c r="I376" i="3"/>
  <c r="AJ344" i="3"/>
  <c r="J313" i="3"/>
  <c r="AI281" i="3"/>
  <c r="C250" i="3"/>
  <c r="H218" i="3"/>
  <c r="AI186" i="3"/>
  <c r="F155" i="3"/>
  <c r="J123" i="3"/>
  <c r="AJ91" i="3"/>
  <c r="D60" i="3"/>
  <c r="I28" i="3"/>
  <c r="AF9" i="3"/>
  <c r="J265" i="17"/>
  <c r="C13" i="12"/>
  <c r="E202" i="6"/>
  <c r="F394" i="5"/>
  <c r="R291" i="5"/>
  <c r="J189" i="5"/>
  <c r="B87" i="5"/>
  <c r="AH387" i="3"/>
  <c r="H261" i="3"/>
  <c r="A135" i="3"/>
  <c r="H15" i="3"/>
  <c r="V407" i="2"/>
  <c r="H401" i="2"/>
  <c r="S394" i="2"/>
  <c r="D388" i="2"/>
  <c r="P381" i="2"/>
  <c r="A375" i="2"/>
  <c r="L368" i="2"/>
  <c r="X361" i="2"/>
  <c r="I355" i="2"/>
  <c r="T348" i="2"/>
  <c r="F342" i="2"/>
  <c r="Q335" i="2"/>
  <c r="B329" i="2"/>
  <c r="N322" i="2"/>
  <c r="Y315" i="2"/>
  <c r="J309" i="2"/>
  <c r="V302" i="2"/>
  <c r="G296" i="2"/>
  <c r="R289" i="2"/>
  <c r="D283" i="2"/>
  <c r="O276" i="2"/>
  <c r="Z269" i="2"/>
  <c r="L263" i="2"/>
  <c r="W256" i="2"/>
  <c r="H250" i="2"/>
  <c r="T243" i="2"/>
  <c r="E237" i="2"/>
  <c r="P230" i="2"/>
  <c r="B224" i="2"/>
  <c r="M217" i="2"/>
  <c r="X210" i="2"/>
  <c r="J204" i="2"/>
  <c r="U197" i="2"/>
  <c r="F191" i="2"/>
  <c r="R184" i="2"/>
  <c r="C178" i="2"/>
  <c r="N171" i="2"/>
  <c r="Z164" i="2"/>
  <c r="K158" i="2"/>
  <c r="V151" i="2"/>
  <c r="H145" i="2"/>
  <c r="S138" i="2"/>
  <c r="D132" i="2"/>
  <c r="P125" i="2"/>
  <c r="A119" i="2"/>
  <c r="L112" i="2"/>
  <c r="X105" i="2"/>
  <c r="I99" i="2"/>
  <c r="T92" i="2"/>
  <c r="F86" i="2"/>
  <c r="Q79" i="2"/>
  <c r="B73" i="2"/>
  <c r="N66" i="2"/>
  <c r="Y59" i="2"/>
  <c r="J53" i="2"/>
  <c r="V46" i="2"/>
  <c r="G40" i="2"/>
  <c r="R33" i="2"/>
  <c r="D27" i="2"/>
  <c r="O20" i="2"/>
  <c r="Z13" i="2"/>
  <c r="K7" i="2"/>
  <c r="F408" i="2"/>
  <c r="Q401" i="2"/>
  <c r="B395" i="2"/>
  <c r="N388" i="2"/>
  <c r="Y381" i="2"/>
  <c r="J375" i="2"/>
  <c r="V368" i="2"/>
  <c r="G362" i="2"/>
  <c r="R355" i="2"/>
  <c r="D349" i="2"/>
  <c r="O342" i="2"/>
  <c r="Z335" i="2"/>
  <c r="L329" i="2"/>
  <c r="W322" i="2"/>
  <c r="H316" i="2"/>
  <c r="T309" i="2"/>
  <c r="E303" i="2"/>
  <c r="P296" i="2"/>
  <c r="B290" i="2"/>
  <c r="M283" i="2"/>
  <c r="X276" i="2"/>
  <c r="J270" i="2"/>
  <c r="U263" i="2"/>
  <c r="F257" i="2"/>
  <c r="R250" i="2"/>
  <c r="C244" i="2"/>
  <c r="N237" i="2"/>
  <c r="Z230" i="2"/>
  <c r="K224" i="2"/>
  <c r="V217" i="2"/>
  <c r="H211" i="2"/>
  <c r="S204" i="2"/>
  <c r="D198" i="2"/>
  <c r="P191" i="2"/>
  <c r="A185" i="2"/>
  <c r="L178" i="2"/>
  <c r="X171" i="2"/>
  <c r="I165" i="2"/>
  <c r="T158" i="2"/>
  <c r="F152" i="2"/>
  <c r="Q145" i="2"/>
  <c r="B139" i="2"/>
  <c r="N132" i="2"/>
  <c r="Y125" i="2"/>
  <c r="J119" i="2"/>
  <c r="V112" i="2"/>
  <c r="G106" i="2"/>
  <c r="R99" i="2"/>
  <c r="D93" i="2"/>
  <c r="O86" i="2"/>
  <c r="Z79" i="2"/>
  <c r="L73" i="2"/>
  <c r="W66" i="2"/>
  <c r="H60" i="2"/>
  <c r="T53" i="2"/>
  <c r="E47" i="2"/>
  <c r="P40" i="2"/>
  <c r="B34" i="2"/>
  <c r="M27" i="2"/>
  <c r="X20" i="2"/>
  <c r="J14" i="2"/>
  <c r="T7" i="2"/>
  <c r="O408" i="2"/>
  <c r="Z401" i="2"/>
  <c r="L395" i="2"/>
  <c r="W388" i="2"/>
  <c r="H382" i="2"/>
  <c r="T375" i="2"/>
  <c r="E369" i="2"/>
  <c r="P362" i="2"/>
  <c r="B356" i="2"/>
  <c r="M349" i="2"/>
  <c r="X342" i="2"/>
  <c r="J336" i="2"/>
  <c r="U329" i="2"/>
  <c r="F323" i="2"/>
  <c r="R316" i="2"/>
  <c r="C310" i="2"/>
  <c r="N303" i="2"/>
  <c r="Z296" i="2"/>
  <c r="K290" i="2"/>
  <c r="V283" i="2"/>
  <c r="H277" i="2"/>
  <c r="S270" i="2"/>
  <c r="D264" i="2"/>
  <c r="P257" i="2"/>
  <c r="A251" i="2"/>
  <c r="L244" i="2"/>
  <c r="X237" i="2"/>
  <c r="I231" i="2"/>
  <c r="T224" i="2"/>
  <c r="F218" i="2"/>
  <c r="Q211" i="2"/>
  <c r="B205" i="2"/>
  <c r="N198" i="2"/>
  <c r="Y191" i="2"/>
  <c r="J185" i="2"/>
  <c r="V178" i="2"/>
  <c r="G172" i="2"/>
  <c r="R165" i="2"/>
  <c r="D159" i="2"/>
  <c r="O152" i="2"/>
  <c r="Z145" i="2"/>
  <c r="L139" i="2"/>
  <c r="W132" i="2"/>
  <c r="H126" i="2"/>
  <c r="T119" i="2"/>
  <c r="E113" i="2"/>
  <c r="P106" i="2"/>
  <c r="B100" i="2"/>
  <c r="M93" i="2"/>
  <c r="X86" i="2"/>
  <c r="J80" i="2"/>
  <c r="U73" i="2"/>
  <c r="F67" i="2"/>
  <c r="R60" i="2"/>
  <c r="C54" i="2"/>
  <c r="N47" i="2"/>
  <c r="Z40" i="2"/>
  <c r="K34" i="2"/>
  <c r="V27" i="2"/>
  <c r="H21" i="2"/>
  <c r="S14" i="2"/>
  <c r="C8" i="2"/>
  <c r="J349" i="17"/>
  <c r="C125" i="12"/>
  <c r="E252" i="6"/>
  <c r="F1" i="6"/>
  <c r="R311" i="5"/>
  <c r="J209" i="5"/>
  <c r="B107" i="5"/>
  <c r="H412" i="3"/>
  <c r="G286" i="3"/>
  <c r="AF159" i="3"/>
  <c r="AJ32" i="3"/>
  <c r="J325" i="17"/>
  <c r="C93" i="12"/>
  <c r="E224" i="6"/>
  <c r="R399" i="5"/>
  <c r="J297" i="5"/>
  <c r="B195" i="5"/>
  <c r="N92" i="5"/>
  <c r="AF394" i="3"/>
  <c r="G268" i="3"/>
  <c r="AJ141" i="3"/>
  <c r="AJ18" i="3"/>
  <c r="F397" i="2"/>
  <c r="X383" i="2"/>
  <c r="T370" i="2"/>
  <c r="Q357" i="2"/>
  <c r="R342" i="2"/>
  <c r="N329" i="2"/>
  <c r="K316" i="2"/>
  <c r="B303" i="2"/>
  <c r="J290" i="2"/>
  <c r="F277" i="2"/>
  <c r="N264" i="2"/>
  <c r="P251" i="2"/>
  <c r="F237" i="2"/>
  <c r="X223" i="2"/>
  <c r="Z210" i="2"/>
  <c r="W198" i="2"/>
  <c r="J186" i="2"/>
  <c r="L173" i="2"/>
  <c r="N160" i="2"/>
  <c r="P147" i="2"/>
  <c r="Q133" i="2"/>
  <c r="N120" i="2"/>
  <c r="J107" i="2"/>
  <c r="R94" i="2"/>
  <c r="D82" i="2"/>
  <c r="V68" i="2"/>
  <c r="R55" i="2"/>
  <c r="T42" i="2"/>
  <c r="V29" i="2"/>
  <c r="H16" i="2"/>
  <c r="F224" i="23"/>
  <c r="J33" i="17"/>
  <c r="C36" i="8"/>
  <c r="E102" i="6"/>
  <c r="B351" i="5"/>
  <c r="N248" i="5"/>
  <c r="F146" i="5"/>
  <c r="R43" i="5"/>
  <c r="AG330" i="3"/>
  <c r="A204" i="3"/>
  <c r="J77" i="3"/>
  <c r="T410" i="2"/>
  <c r="I401" i="2"/>
  <c r="P388" i="2"/>
  <c r="B375" i="2"/>
  <c r="Y361" i="2"/>
  <c r="P348" i="2"/>
  <c r="N337" i="2"/>
  <c r="K324" i="2"/>
  <c r="H311" i="2"/>
  <c r="D298" i="2"/>
  <c r="V284" i="2"/>
  <c r="M271" i="2"/>
  <c r="D258" i="2"/>
  <c r="P244" i="2"/>
  <c r="S232" i="2"/>
  <c r="U219" i="2"/>
  <c r="W206" i="2"/>
  <c r="H192" i="2"/>
  <c r="O178" i="2"/>
  <c r="L165" i="2"/>
  <c r="X151" i="2"/>
  <c r="J139" i="2"/>
  <c r="L126" i="2"/>
  <c r="I113" i="2"/>
  <c r="Z99" i="2"/>
  <c r="L86" i="2"/>
  <c r="I73" i="2"/>
  <c r="F60" i="2"/>
  <c r="R46" i="2"/>
  <c r="I33" i="2"/>
  <c r="K20" i="2"/>
  <c r="Q7" i="2"/>
  <c r="H97" i="23"/>
  <c r="E22" i="25"/>
  <c r="E249" i="19"/>
  <c r="B9" i="21"/>
  <c r="A405" i="25"/>
  <c r="B154" i="22"/>
  <c r="A378" i="17"/>
  <c r="A250" i="17"/>
  <c r="A122" i="17"/>
  <c r="G93" i="15"/>
  <c r="I339" i="25"/>
  <c r="F108" i="22"/>
  <c r="L365" i="17"/>
  <c r="D195" i="17"/>
  <c r="H24" i="17"/>
  <c r="A124" i="12"/>
  <c r="B238" i="11"/>
  <c r="B110" i="11"/>
  <c r="A275" i="25"/>
  <c r="E6" i="19"/>
  <c r="K168" i="17"/>
  <c r="B217" i="12"/>
  <c r="C160" i="11"/>
  <c r="E164" i="23"/>
  <c r="O296" i="17"/>
  <c r="N8" i="17"/>
  <c r="H203" i="11"/>
  <c r="D4" i="22"/>
  <c r="C200" i="12"/>
  <c r="F272" i="6"/>
  <c r="K407" i="5"/>
  <c r="G292" i="5"/>
  <c r="C177" i="5"/>
  <c r="O74" i="5"/>
  <c r="J371" i="3"/>
  <c r="G213" i="3"/>
  <c r="AJ86" i="3"/>
  <c r="G89" i="19"/>
  <c r="H216" i="12"/>
  <c r="G9" i="7"/>
  <c r="D153" i="6"/>
  <c r="H37" i="6"/>
  <c r="A371" i="5"/>
  <c r="Q319" i="5"/>
  <c r="E230" i="5"/>
  <c r="M172" i="5"/>
  <c r="I121" i="5"/>
  <c r="E70" i="5"/>
  <c r="D6" i="5"/>
  <c r="B350" i="3"/>
  <c r="D287" i="3"/>
  <c r="AF223" i="3"/>
  <c r="AF152" i="3"/>
  <c r="F81" i="3"/>
  <c r="E741" i="25"/>
  <c r="A31" i="15"/>
  <c r="C240" i="6"/>
  <c r="C16" i="6"/>
  <c r="P317" i="5"/>
  <c r="L202" i="5"/>
  <c r="T112" i="5"/>
  <c r="K10" i="5"/>
  <c r="I276" i="3"/>
  <c r="AH165" i="3"/>
  <c r="B39" i="3"/>
  <c r="B299" i="17"/>
  <c r="F48" i="12"/>
  <c r="G247" i="6"/>
  <c r="H410" i="5"/>
  <c r="T307" i="5"/>
  <c r="L221" i="5"/>
  <c r="P164" i="5"/>
  <c r="T119" i="5"/>
  <c r="P68" i="5"/>
  <c r="L17" i="5"/>
  <c r="A364" i="3"/>
  <c r="D293" i="3"/>
  <c r="AF229" i="3"/>
  <c r="I174" i="3"/>
  <c r="A119" i="3"/>
  <c r="I63" i="3"/>
  <c r="G11" i="3"/>
  <c r="J374" i="17"/>
  <c r="F142" i="12"/>
  <c r="A253" i="6"/>
  <c r="B412" i="5"/>
  <c r="F271" i="5"/>
  <c r="R168" i="5"/>
  <c r="N53" i="5"/>
  <c r="AF345" i="3"/>
  <c r="D219" i="3"/>
  <c r="AF92" i="3"/>
  <c r="A37" i="25"/>
  <c r="J80" i="17"/>
  <c r="D80" i="11"/>
  <c r="A100" i="6"/>
  <c r="F377" i="5"/>
  <c r="N287" i="5"/>
  <c r="N223" i="5"/>
  <c r="B134" i="5"/>
  <c r="J44" i="5"/>
  <c r="U316" i="2"/>
  <c r="G287" i="2"/>
  <c r="M272" i="2"/>
  <c r="M258" i="2"/>
  <c r="E246" i="2"/>
  <c r="U238" i="2"/>
  <c r="Y228" i="2"/>
  <c r="I220" i="2"/>
  <c r="M210" i="2"/>
  <c r="C203" i="2"/>
  <c r="M194" i="2"/>
  <c r="W185" i="2"/>
  <c r="G177" i="2"/>
  <c r="Y164" i="2"/>
  <c r="O157" i="2"/>
  <c r="Y148" i="2"/>
  <c r="W137" i="2"/>
  <c r="G129" i="2"/>
  <c r="Q120" i="2"/>
  <c r="G113" i="2"/>
  <c r="K103" i="2"/>
  <c r="O93" i="2"/>
  <c r="M82" i="2"/>
  <c r="Q72" i="2"/>
  <c r="U62" i="2"/>
  <c r="Y52" i="2"/>
  <c r="C43" i="2"/>
  <c r="M34" i="2"/>
  <c r="Q24" i="2"/>
  <c r="U14" i="2"/>
  <c r="D6" i="2"/>
  <c r="G90" i="19"/>
  <c r="J203" i="17"/>
  <c r="B27" i="14"/>
  <c r="G201" i="11"/>
  <c r="C13" i="8"/>
  <c r="E211" i="6"/>
  <c r="E99" i="6"/>
  <c r="R401" i="5"/>
  <c r="F344" i="5"/>
  <c r="B293" i="5"/>
  <c r="F248" i="5"/>
  <c r="B197" i="5"/>
  <c r="R145" i="5"/>
  <c r="N94" i="5"/>
  <c r="B37" i="5"/>
  <c r="F388" i="3"/>
  <c r="G325" i="3"/>
  <c r="AJ261" i="3"/>
  <c r="I206" i="3"/>
  <c r="H143" i="3"/>
  <c r="A80" i="3"/>
  <c r="AF11" i="3"/>
  <c r="A167" i="11"/>
  <c r="J381" i="5"/>
  <c r="F202" i="5"/>
  <c r="AE403" i="3"/>
  <c r="AI150" i="3"/>
  <c r="Y411" i="2"/>
  <c r="E397" i="2"/>
  <c r="I387" i="2"/>
  <c r="F374" i="2"/>
  <c r="S362" i="2"/>
  <c r="P349" i="2"/>
  <c r="C338" i="2"/>
  <c r="I323" i="2"/>
  <c r="O308" i="2"/>
  <c r="B297" i="2"/>
  <c r="Y283" i="2"/>
  <c r="V270" i="2"/>
  <c r="K254" i="2"/>
  <c r="J213" i="2"/>
  <c r="G200" i="2"/>
  <c r="V183" i="2"/>
  <c r="J172" i="2"/>
  <c r="Y155" i="2"/>
  <c r="V142" i="2"/>
  <c r="B128" i="2"/>
  <c r="X114" i="2"/>
  <c r="L103" i="2"/>
  <c r="Y91" i="2"/>
  <c r="X73" i="2"/>
  <c r="D59" i="2"/>
  <c r="J44" i="2"/>
  <c r="F31" i="2"/>
  <c r="L16" i="2"/>
  <c r="H412" i="2"/>
  <c r="V400" i="2"/>
  <c r="R387" i="2"/>
  <c r="O374" i="2"/>
  <c r="B363" i="2"/>
  <c r="P351" i="2"/>
  <c r="L338" i="2"/>
  <c r="Z326" i="2"/>
  <c r="M315" i="2"/>
  <c r="J302" i="2"/>
  <c r="W290" i="2"/>
  <c r="J279" i="2"/>
  <c r="X267" i="2"/>
  <c r="K256" i="2"/>
  <c r="X244" i="2"/>
  <c r="U231" i="2"/>
  <c r="R218" i="2"/>
  <c r="E207" i="2"/>
  <c r="B194" i="2"/>
  <c r="X180" i="2"/>
  <c r="U167" i="2"/>
  <c r="H156" i="2"/>
  <c r="N141" i="2"/>
  <c r="T126" i="2"/>
  <c r="Z111" i="2"/>
  <c r="W98" i="2"/>
  <c r="T85" i="2"/>
  <c r="P72" i="2"/>
  <c r="D61" i="2"/>
  <c r="Z47" i="2"/>
  <c r="W34" i="2"/>
  <c r="T21" i="2"/>
  <c r="O8" i="2"/>
  <c r="V402" i="2"/>
  <c r="R389" i="2"/>
  <c r="F378" i="2"/>
  <c r="B365" i="2"/>
  <c r="R348" i="2"/>
  <c r="V338" i="2"/>
  <c r="I327" i="2"/>
  <c r="F314" i="2"/>
  <c r="S302" i="2"/>
  <c r="P289" i="2"/>
  <c r="L276" i="2"/>
  <c r="R261" i="2"/>
  <c r="O248" i="2"/>
  <c r="B237" i="2"/>
  <c r="Y223" i="2"/>
  <c r="V210" i="2"/>
  <c r="B196" i="2"/>
  <c r="O184" i="2"/>
  <c r="L171" i="2"/>
  <c r="R156" i="2"/>
  <c r="N143" i="2"/>
  <c r="T128" i="2"/>
  <c r="Z113" i="2"/>
  <c r="W100" i="2"/>
  <c r="T87" i="2"/>
  <c r="G76" i="2"/>
  <c r="D63" i="2"/>
  <c r="Q51" i="2"/>
  <c r="N38" i="2"/>
  <c r="J25" i="2"/>
  <c r="Y8" i="2"/>
  <c r="D108" i="11"/>
  <c r="R375" i="5"/>
  <c r="B171" i="5"/>
  <c r="C365" i="3"/>
  <c r="I80" i="3"/>
  <c r="J133" i="17"/>
  <c r="E256" i="6"/>
  <c r="R335" i="5"/>
  <c r="B131" i="5"/>
  <c r="A316" i="3"/>
  <c r="AE62" i="3"/>
  <c r="K388" i="2"/>
  <c r="H359" i="2"/>
  <c r="E331" i="2"/>
  <c r="S304" i="2"/>
  <c r="W278" i="2"/>
  <c r="H256" i="2"/>
  <c r="V228" i="2"/>
  <c r="Q205" i="2"/>
  <c r="Q181" i="2"/>
  <c r="N152" i="2"/>
  <c r="L125" i="2"/>
  <c r="Y105" i="2"/>
  <c r="R86" i="2"/>
  <c r="R63" i="2"/>
  <c r="Z35" i="2"/>
  <c r="B8" i="2"/>
  <c r="D220" i="11"/>
  <c r="E6" i="6"/>
  <c r="F210" i="5"/>
  <c r="AJ377" i="3"/>
  <c r="H93" i="3"/>
  <c r="G406" i="2"/>
  <c r="H383" i="2"/>
  <c r="H360" i="2"/>
  <c r="L342" i="2"/>
  <c r="S312" i="2"/>
  <c r="N289" i="2"/>
  <c r="Z259" i="2"/>
  <c r="F228" i="2"/>
  <c r="S200" i="2"/>
  <c r="S176" i="2"/>
  <c r="G150" i="2"/>
  <c r="V124" i="2"/>
  <c r="J98" i="2"/>
  <c r="M71" i="2"/>
  <c r="H48" i="2"/>
  <c r="P28" i="2"/>
  <c r="G765" i="25"/>
  <c r="I804" i="25"/>
  <c r="H451" i="25"/>
  <c r="E566" i="25"/>
  <c r="D129" i="19"/>
  <c r="A216" i="23"/>
  <c r="A338" i="17"/>
  <c r="A114" i="17"/>
  <c r="E55" i="25"/>
  <c r="L269" i="17"/>
  <c r="E217" i="12"/>
  <c r="B166" i="11"/>
  <c r="B218" i="25"/>
  <c r="F8" i="18"/>
  <c r="K96" i="17"/>
  <c r="B121" i="12"/>
  <c r="C851" i="25"/>
  <c r="A64" i="19"/>
  <c r="O160" i="17"/>
  <c r="G206" i="12"/>
  <c r="E150" i="11"/>
  <c r="G239" i="19"/>
  <c r="F12" i="17"/>
  <c r="H16" i="8"/>
  <c r="F72" i="6"/>
  <c r="C353" i="5"/>
  <c r="O250" i="5"/>
  <c r="K135" i="5"/>
  <c r="G20" i="5"/>
  <c r="AE304" i="3"/>
  <c r="C162" i="3"/>
  <c r="G35" i="3"/>
  <c r="N215" i="17"/>
  <c r="D181" i="11"/>
  <c r="D233" i="6"/>
  <c r="H97" i="6"/>
  <c r="I401" i="5"/>
  <c r="M356" i="5"/>
  <c r="A299" i="5"/>
  <c r="E254" i="5"/>
  <c r="A203" i="5"/>
  <c r="E158" i="5"/>
  <c r="I113" i="5"/>
  <c r="E62" i="5"/>
  <c r="T10" i="5"/>
  <c r="AJ363" i="3"/>
  <c r="C293" i="3"/>
  <c r="AE229" i="3"/>
  <c r="J158" i="3"/>
  <c r="F87" i="3"/>
  <c r="AH23" i="3"/>
  <c r="B202" i="17"/>
  <c r="G163" i="11"/>
  <c r="C136" i="6"/>
  <c r="T352" i="5"/>
  <c r="L250" i="5"/>
  <c r="T160" i="5"/>
  <c r="L58" i="5"/>
  <c r="G351" i="3"/>
  <c r="A225" i="3"/>
  <c r="G98" i="3"/>
  <c r="A197" i="25"/>
  <c r="B91" i="17"/>
  <c r="D98" i="11"/>
  <c r="G143" i="6"/>
  <c r="L381" i="5"/>
  <c r="T291" i="5"/>
  <c r="H202" i="5"/>
  <c r="H150" i="5"/>
  <c r="L105" i="5"/>
  <c r="P60" i="5"/>
  <c r="K9" i="5"/>
  <c r="B354" i="3"/>
  <c r="C299" i="3"/>
  <c r="AE243" i="3"/>
  <c r="E188" i="3"/>
  <c r="AI132" i="3"/>
  <c r="I69" i="3"/>
  <c r="G14" i="3"/>
  <c r="J230" i="17"/>
  <c r="G109" i="11"/>
  <c r="A149" i="6"/>
  <c r="F383" i="5"/>
  <c r="R280" i="5"/>
  <c r="J178" i="5"/>
  <c r="B76" i="5"/>
  <c r="G373" i="3"/>
  <c r="B231" i="3"/>
  <c r="I104" i="3"/>
  <c r="D378" i="25"/>
  <c r="J192" i="17"/>
  <c r="G229" i="11"/>
  <c r="A156" i="6"/>
  <c r="B374" i="5"/>
  <c r="N271" i="5"/>
  <c r="J156" i="5"/>
  <c r="B54" i="5"/>
  <c r="J330" i="3"/>
  <c r="C188" i="3"/>
  <c r="J45" i="3"/>
  <c r="I402" i="2"/>
  <c r="Q382" i="2"/>
  <c r="Y362" i="2"/>
  <c r="E348" i="2"/>
  <c r="A326" i="2"/>
  <c r="U308" i="2"/>
  <c r="E284" i="2"/>
  <c r="M264" i="2"/>
  <c r="K253" i="2"/>
  <c r="O243" i="2"/>
  <c r="E236" i="2"/>
  <c r="O227" i="2"/>
  <c r="Y218" i="2"/>
  <c r="C209" i="2"/>
  <c r="A198" i="2"/>
  <c r="Y186" i="2"/>
  <c r="C177" i="2"/>
  <c r="G167" i="2"/>
  <c r="K157" i="2"/>
  <c r="O147" i="2"/>
  <c r="M136" i="2"/>
  <c r="K125" i="2"/>
  <c r="O115" i="2"/>
  <c r="Y106" i="2"/>
  <c r="C97" i="2"/>
  <c r="G87" i="2"/>
  <c r="W79" i="2"/>
  <c r="M72" i="2"/>
  <c r="Q62" i="2"/>
  <c r="O35" i="2"/>
  <c r="M24" i="2"/>
  <c r="K13" i="2"/>
  <c r="E257" i="25"/>
  <c r="J327" i="17"/>
  <c r="J71" i="17"/>
  <c r="C85" i="12"/>
  <c r="C6" i="9"/>
  <c r="E241" i="6"/>
  <c r="E97" i="6"/>
  <c r="B401" i="5"/>
  <c r="F356" i="5"/>
  <c r="B305" i="5"/>
  <c r="J247" i="5"/>
  <c r="B209" i="5"/>
  <c r="F164" i="5"/>
  <c r="J119" i="5"/>
  <c r="F68" i="5"/>
  <c r="J23" i="5"/>
  <c r="AE371" i="3"/>
  <c r="AE308" i="3"/>
  <c r="F229" i="3"/>
  <c r="AJ181" i="3"/>
  <c r="J126" i="3"/>
  <c r="B71" i="3"/>
  <c r="A24" i="3"/>
  <c r="J57" i="17"/>
  <c r="E98" i="6"/>
  <c r="F250" i="5"/>
  <c r="R19" i="5"/>
  <c r="A210" i="3"/>
  <c r="I6" i="3"/>
  <c r="X401" i="2"/>
  <c r="K390" i="2"/>
  <c r="H377" i="2"/>
  <c r="D364" i="2"/>
  <c r="A351" i="2"/>
  <c r="N339" i="2"/>
  <c r="K326" i="2"/>
  <c r="Q311" i="2"/>
  <c r="N298" i="2"/>
  <c r="T283" i="2"/>
  <c r="P270" i="2"/>
  <c r="M257" i="2"/>
  <c r="S242" i="2"/>
  <c r="F231" i="2"/>
  <c r="T219" i="2"/>
  <c r="P206" i="2"/>
  <c r="D195" i="2"/>
  <c r="Q183" i="2"/>
  <c r="U173" i="2"/>
  <c r="R160" i="2"/>
  <c r="V150" i="2"/>
  <c r="R137" i="2"/>
  <c r="O124" i="2"/>
  <c r="B113" i="2"/>
  <c r="Y99" i="2"/>
  <c r="E85" i="2"/>
  <c r="K70" i="2"/>
  <c r="H57" i="2"/>
  <c r="D44" i="2"/>
  <c r="A31" i="2"/>
  <c r="X17" i="2"/>
  <c r="C412" i="2"/>
  <c r="Z398" i="2"/>
  <c r="F384" i="2"/>
  <c r="S372" i="2"/>
  <c r="F361" i="2"/>
  <c r="T349" i="2"/>
  <c r="G338" i="2"/>
  <c r="D325" i="2"/>
  <c r="Z311" i="2"/>
  <c r="D302" i="2"/>
  <c r="R290" i="2"/>
  <c r="N277" i="2"/>
  <c r="B266" i="2"/>
  <c r="X252" i="2"/>
  <c r="L241" i="2"/>
  <c r="H228" i="2"/>
  <c r="X211" i="2"/>
  <c r="V193" i="2"/>
  <c r="B179" i="2"/>
  <c r="H164" i="2"/>
  <c r="E151" i="2"/>
  <c r="B138" i="2"/>
  <c r="X124" i="2"/>
  <c r="U111" i="2"/>
  <c r="R98" i="2"/>
  <c r="E87" i="2"/>
  <c r="R75" i="2"/>
  <c r="F64" i="2"/>
  <c r="S52" i="2"/>
  <c r="P39" i="2"/>
  <c r="C28" i="2"/>
  <c r="G18" i="2"/>
  <c r="S6" i="2"/>
  <c r="P402" i="2"/>
  <c r="V387" i="2"/>
  <c r="J376" i="2"/>
  <c r="W364" i="2"/>
  <c r="A355" i="2"/>
  <c r="X341" i="2"/>
  <c r="K330" i="2"/>
  <c r="X318" i="2"/>
  <c r="L307" i="2"/>
  <c r="J289" i="2"/>
  <c r="X277" i="2"/>
  <c r="T264" i="2"/>
  <c r="Q251" i="2"/>
  <c r="D240" i="2"/>
  <c r="A227" i="2"/>
  <c r="N215" i="2"/>
  <c r="T200" i="2"/>
  <c r="H189" i="2"/>
  <c r="U177" i="2"/>
  <c r="R164" i="2"/>
  <c r="N151" i="2"/>
  <c r="K138" i="2"/>
  <c r="H125" i="2"/>
  <c r="D112" i="2"/>
  <c r="T95" i="2"/>
  <c r="G84" i="2"/>
  <c r="M69" i="2"/>
  <c r="J56" i="2"/>
  <c r="F43" i="2"/>
  <c r="T31" i="2"/>
  <c r="G20" i="2"/>
  <c r="C7" i="2"/>
  <c r="E84" i="6"/>
  <c r="N244" i="5"/>
  <c r="R39" i="5"/>
  <c r="AH234" i="3"/>
  <c r="I538" i="25"/>
  <c r="A55" i="11"/>
  <c r="F358" i="5"/>
  <c r="B179" i="5"/>
  <c r="J25" i="5"/>
  <c r="AJ216" i="3"/>
  <c r="V404" i="2"/>
  <c r="O378" i="2"/>
  <c r="N352" i="2"/>
  <c r="F324" i="2"/>
  <c r="A301" i="2"/>
  <c r="J275" i="2"/>
  <c r="T249" i="2"/>
  <c r="V221" i="2"/>
  <c r="F197" i="2"/>
  <c r="X167" i="2"/>
  <c r="N145" i="2"/>
  <c r="L118" i="2"/>
  <c r="I89" i="2"/>
  <c r="Z59" i="2"/>
  <c r="S40" i="2"/>
  <c r="T17" i="2"/>
  <c r="J81" i="17"/>
  <c r="E62" i="6"/>
  <c r="N232" i="5"/>
  <c r="R27" i="5"/>
  <c r="H184" i="3"/>
  <c r="T409" i="2"/>
  <c r="S392" i="2"/>
  <c r="L366" i="2"/>
  <c r="N344" i="2"/>
  <c r="J322" i="2"/>
  <c r="X295" i="2"/>
  <c r="L269" i="2"/>
  <c r="O242" i="2"/>
  <c r="T217" i="2"/>
  <c r="I193" i="2"/>
  <c r="F173" i="2"/>
  <c r="V149" i="2"/>
  <c r="R127" i="2"/>
  <c r="N104" i="2"/>
  <c r="Q77" i="2"/>
  <c r="E51" i="2"/>
  <c r="Q21" i="2"/>
  <c r="N44" i="26"/>
  <c r="I585" i="25"/>
  <c r="D206" i="25"/>
  <c r="D292" i="25"/>
  <c r="H86" i="19"/>
  <c r="D112" i="24"/>
  <c r="C198" i="19"/>
  <c r="A322" i="17"/>
  <c r="A194" i="17"/>
  <c r="A66" i="17"/>
  <c r="H11" i="14"/>
  <c r="B44" i="24"/>
  <c r="B164" i="19"/>
  <c r="D291" i="17"/>
  <c r="H120" i="17"/>
  <c r="F37" i="15"/>
  <c r="A100" i="12"/>
  <c r="B214" i="11"/>
  <c r="B86" i="11"/>
  <c r="C627" i="25"/>
  <c r="B35" i="23"/>
  <c r="E22" i="19"/>
  <c r="K272" i="17"/>
  <c r="K144" i="17"/>
  <c r="K16" i="17"/>
  <c r="B185" i="12"/>
  <c r="D14" i="12"/>
  <c r="E85" i="11"/>
  <c r="B330" i="25"/>
  <c r="F102" i="22"/>
  <c r="O368" i="17"/>
  <c r="O240" i="17"/>
  <c r="O112" i="17"/>
  <c r="D77" i="15"/>
  <c r="G142" i="12"/>
  <c r="E214" i="11"/>
  <c r="H43" i="11"/>
  <c r="D81" i="22"/>
  <c r="F236" i="17"/>
  <c r="E68" i="15"/>
  <c r="D207" i="11"/>
  <c r="E19" i="7"/>
  <c r="F184" i="6"/>
  <c r="F56" i="6"/>
  <c r="C385" i="5"/>
  <c r="S333" i="5"/>
  <c r="O282" i="5"/>
  <c r="K231" i="5"/>
  <c r="G180" i="5"/>
  <c r="C129" i="5"/>
  <c r="S77" i="5"/>
  <c r="O26" i="5"/>
  <c r="H375" i="3"/>
  <c r="I312" i="3"/>
  <c r="C249" i="3"/>
  <c r="AH185" i="3"/>
  <c r="I122" i="3"/>
  <c r="C59" i="3"/>
  <c r="D23" i="24"/>
  <c r="N311" i="17"/>
  <c r="N55" i="17"/>
  <c r="F67" i="12"/>
  <c r="F38" i="8"/>
  <c r="D265" i="6"/>
  <c r="D180" i="6"/>
  <c r="H105" i="6"/>
  <c r="H41" i="6"/>
  <c r="M404" i="5"/>
  <c r="A379" i="5"/>
  <c r="I353" i="5"/>
  <c r="Q327" i="5"/>
  <c r="E302" i="5"/>
  <c r="M276" i="5"/>
  <c r="A251" i="5"/>
  <c r="I225" i="5"/>
  <c r="Q199" i="5"/>
  <c r="E174" i="5"/>
  <c r="M148" i="5"/>
  <c r="A123" i="5"/>
  <c r="I97" i="5"/>
  <c r="Q71" i="5"/>
  <c r="E46" i="5"/>
  <c r="M20" i="5"/>
  <c r="I399" i="3"/>
  <c r="AJ367" i="3"/>
  <c r="H336" i="3"/>
  <c r="A305" i="3"/>
  <c r="D273" i="3"/>
  <c r="J241" i="3"/>
  <c r="AH209" i="3"/>
  <c r="G178" i="3"/>
  <c r="AG146" i="3"/>
  <c r="A115" i="3"/>
  <c r="F83" i="3"/>
  <c r="AE51" i="3"/>
  <c r="D45" i="26"/>
  <c r="G100" i="19"/>
  <c r="B170" i="17"/>
  <c r="F220" i="12"/>
  <c r="A121" i="11"/>
  <c r="C280" i="6"/>
  <c r="C152" i="6"/>
  <c r="C24" i="6"/>
  <c r="D372" i="5"/>
  <c r="T320" i="5"/>
  <c r="P269" i="5"/>
  <c r="L218" i="5"/>
  <c r="H167" i="5"/>
  <c r="D116" i="5"/>
  <c r="T64" i="5"/>
  <c r="O13" i="5"/>
  <c r="E359" i="3"/>
  <c r="G296" i="3"/>
  <c r="AJ232" i="3"/>
  <c r="AG169" i="3"/>
  <c r="G106" i="3"/>
  <c r="A43" i="3"/>
  <c r="D439" i="25"/>
  <c r="B379" i="17"/>
  <c r="B123" i="17"/>
  <c r="C155" i="12"/>
  <c r="G55" i="11"/>
  <c r="G255" i="6"/>
  <c r="G127" i="6"/>
  <c r="L413" i="5"/>
  <c r="H362" i="5"/>
  <c r="D311" i="5"/>
  <c r="T259" i="5"/>
  <c r="D215" i="5"/>
  <c r="L185" i="5"/>
  <c r="T159" i="5"/>
  <c r="H134" i="5"/>
  <c r="P108" i="5"/>
  <c r="D83" i="5"/>
  <c r="L57" i="5"/>
  <c r="T31" i="5"/>
  <c r="G6" i="5"/>
  <c r="AG381" i="3"/>
  <c r="C350" i="3"/>
  <c r="AI318" i="3"/>
  <c r="E287" i="3"/>
  <c r="H255" i="3"/>
  <c r="AG223" i="3"/>
  <c r="D192" i="3"/>
  <c r="J160" i="3"/>
  <c r="AI128" i="3"/>
  <c r="D97" i="3"/>
  <c r="I65" i="3"/>
  <c r="AH33" i="3"/>
  <c r="G12" i="3"/>
  <c r="D229" i="22"/>
  <c r="J262" i="17"/>
  <c r="I6" i="17"/>
  <c r="G237" i="11"/>
  <c r="G12" i="8"/>
  <c r="A197" i="6"/>
  <c r="A69" i="6"/>
  <c r="N389" i="5"/>
  <c r="J338" i="5"/>
  <c r="F287" i="5"/>
  <c r="B236" i="5"/>
  <c r="R184" i="5"/>
  <c r="N133" i="5"/>
  <c r="J82" i="5"/>
  <c r="F31" i="5"/>
  <c r="C381" i="3"/>
  <c r="E318" i="3"/>
  <c r="AH254" i="3"/>
  <c r="J191" i="3"/>
  <c r="E128" i="3"/>
  <c r="AI64" i="3"/>
  <c r="B12" i="3"/>
  <c r="F4" i="20"/>
  <c r="J224" i="17"/>
  <c r="A42" i="15"/>
  <c r="A187" i="11"/>
  <c r="H7" i="7"/>
  <c r="A172" i="6"/>
  <c r="A44" i="6"/>
  <c r="J380" i="5"/>
  <c r="F329" i="5"/>
  <c r="B278" i="5"/>
  <c r="R226" i="5"/>
  <c r="N175" i="5"/>
  <c r="J124" i="5"/>
  <c r="F73" i="5"/>
  <c r="B22" i="5"/>
  <c r="AI369" i="3"/>
  <c r="AJ306" i="3"/>
  <c r="I243" i="3"/>
  <c r="D180" i="3"/>
  <c r="AI116" i="3"/>
  <c r="J53" i="3"/>
  <c r="J6" i="3"/>
  <c r="O403" i="2"/>
  <c r="S393" i="2"/>
  <c r="W383" i="2"/>
  <c r="A374" i="2"/>
  <c r="E364" i="2"/>
  <c r="I354" i="2"/>
  <c r="M344" i="2"/>
  <c r="Q334" i="2"/>
  <c r="U324" i="2"/>
  <c r="Y314" i="2"/>
  <c r="C305" i="2"/>
  <c r="G295" i="2"/>
  <c r="K285" i="2"/>
  <c r="O275" i="2"/>
  <c r="S265" i="2"/>
  <c r="Y258" i="2"/>
  <c r="A254" i="2"/>
  <c r="C249" i="2"/>
  <c r="E244" i="2"/>
  <c r="G239" i="2"/>
  <c r="I234" i="2"/>
  <c r="K229" i="2"/>
  <c r="M224" i="2"/>
  <c r="O219" i="2"/>
  <c r="Q214" i="2"/>
  <c r="S209" i="2"/>
  <c r="U204" i="2"/>
  <c r="W199" i="2"/>
  <c r="Y194" i="2"/>
  <c r="A190" i="2"/>
  <c r="C185" i="2"/>
  <c r="E180" i="2"/>
  <c r="G175" i="2"/>
  <c r="I170" i="2"/>
  <c r="K165" i="2"/>
  <c r="M160" i="2"/>
  <c r="O155" i="2"/>
  <c r="Q150" i="2"/>
  <c r="S145" i="2"/>
  <c r="U140" i="2"/>
  <c r="W135" i="2"/>
  <c r="Y130" i="2"/>
  <c r="A126" i="2"/>
  <c r="C121" i="2"/>
  <c r="E116" i="2"/>
  <c r="G111" i="2"/>
  <c r="I106" i="2"/>
  <c r="K101" i="2"/>
  <c r="M96" i="2"/>
  <c r="O91" i="2"/>
  <c r="Q86" i="2"/>
  <c r="S81" i="2"/>
  <c r="U76" i="2"/>
  <c r="W71" i="2"/>
  <c r="Y66" i="2"/>
  <c r="A62" i="2"/>
  <c r="C57" i="2"/>
  <c r="E52" i="2"/>
  <c r="G47" i="2"/>
  <c r="I42" i="2"/>
  <c r="K37" i="2"/>
  <c r="M32" i="2"/>
  <c r="O27" i="2"/>
  <c r="Q22" i="2"/>
  <c r="S17" i="2"/>
  <c r="U12" i="2"/>
  <c r="V7" i="2"/>
  <c r="G143" i="25"/>
  <c r="G266" i="19"/>
  <c r="J343" i="17"/>
  <c r="J215" i="17"/>
  <c r="J87" i="17"/>
  <c r="A24" i="15"/>
  <c r="F106" i="12"/>
  <c r="A175" i="11"/>
  <c r="D4" i="11"/>
  <c r="D5" i="7"/>
  <c r="E233" i="6"/>
  <c r="E169" i="6"/>
  <c r="E105" i="6"/>
  <c r="E41" i="6"/>
  <c r="F404" i="5"/>
  <c r="N378" i="5"/>
  <c r="B353" i="5"/>
  <c r="J327" i="5"/>
  <c r="R301" i="5"/>
  <c r="F276" i="5"/>
  <c r="N250" i="5"/>
  <c r="B225" i="5"/>
  <c r="J199" i="5"/>
  <c r="R173" i="5"/>
  <c r="F148" i="5"/>
  <c r="N122" i="5"/>
  <c r="B97" i="5"/>
  <c r="J71" i="5"/>
  <c r="R45" i="5"/>
  <c r="F20" i="5"/>
  <c r="D399" i="3"/>
  <c r="AE367" i="3"/>
  <c r="C336" i="3"/>
  <c r="AF304" i="3"/>
  <c r="AI272" i="3"/>
  <c r="E241" i="3"/>
  <c r="I209" i="3"/>
  <c r="B178" i="3"/>
  <c r="H146" i="3"/>
  <c r="AF114" i="3"/>
  <c r="A83" i="3"/>
  <c r="F51" i="3"/>
  <c r="H21" i="3"/>
  <c r="B300" i="25"/>
  <c r="J121" i="17"/>
  <c r="D60" i="11"/>
  <c r="E130" i="6"/>
  <c r="J365" i="5"/>
  <c r="B263" i="5"/>
  <c r="N160" i="5"/>
  <c r="F58" i="5"/>
  <c r="E352" i="3"/>
  <c r="AI225" i="3"/>
  <c r="E99" i="3"/>
  <c r="O412" i="2"/>
  <c r="Z405" i="2"/>
  <c r="L399" i="2"/>
  <c r="W392" i="2"/>
  <c r="H386" i="2"/>
  <c r="T379" i="2"/>
  <c r="E373" i="2"/>
  <c r="P366" i="2"/>
  <c r="B360" i="2"/>
  <c r="M353" i="2"/>
  <c r="X346" i="2"/>
  <c r="J340" i="2"/>
  <c r="U333" i="2"/>
  <c r="F327" i="2"/>
  <c r="R320" i="2"/>
  <c r="C314" i="2"/>
  <c r="N307" i="2"/>
  <c r="Z300" i="2"/>
  <c r="K294" i="2"/>
  <c r="V287" i="2"/>
  <c r="H281" i="2"/>
  <c r="S274" i="2"/>
  <c r="D268" i="2"/>
  <c r="P261" i="2"/>
  <c r="A255" i="2"/>
  <c r="L248" i="2"/>
  <c r="X241" i="2"/>
  <c r="I235" i="2"/>
  <c r="T228" i="2"/>
  <c r="F222" i="2"/>
  <c r="Q215" i="2"/>
  <c r="B209" i="2"/>
  <c r="N202" i="2"/>
  <c r="Y195" i="2"/>
  <c r="J189" i="2"/>
  <c r="V182" i="2"/>
  <c r="G176" i="2"/>
  <c r="R169" i="2"/>
  <c r="D163" i="2"/>
  <c r="O156" i="2"/>
  <c r="Z149" i="2"/>
  <c r="L143" i="2"/>
  <c r="W136" i="2"/>
  <c r="H130" i="2"/>
  <c r="T123" i="2"/>
  <c r="E117" i="2"/>
  <c r="P110" i="2"/>
  <c r="B104" i="2"/>
  <c r="M97" i="2"/>
  <c r="X90" i="2"/>
  <c r="J84" i="2"/>
  <c r="U77" i="2"/>
  <c r="F71" i="2"/>
  <c r="R64" i="2"/>
  <c r="C58" i="2"/>
  <c r="N51" i="2"/>
  <c r="Z44" i="2"/>
  <c r="K38" i="2"/>
  <c r="V31" i="2"/>
  <c r="H25" i="2"/>
  <c r="S18" i="2"/>
  <c r="C12" i="2"/>
  <c r="X412" i="2"/>
  <c r="J406" i="2"/>
  <c r="U399" i="2"/>
  <c r="F393" i="2"/>
  <c r="R386" i="2"/>
  <c r="C380" i="2"/>
  <c r="N373" i="2"/>
  <c r="Z366" i="2"/>
  <c r="K360" i="2"/>
  <c r="V353" i="2"/>
  <c r="H347" i="2"/>
  <c r="S340" i="2"/>
  <c r="D334" i="2"/>
  <c r="P327" i="2"/>
  <c r="A321" i="2"/>
  <c r="L314" i="2"/>
  <c r="X307" i="2"/>
  <c r="I301" i="2"/>
  <c r="T294" i="2"/>
  <c r="F288" i="2"/>
  <c r="Q281" i="2"/>
  <c r="B275" i="2"/>
  <c r="N268" i="2"/>
  <c r="Y261" i="2"/>
  <c r="J255" i="2"/>
  <c r="V248" i="2"/>
  <c r="G242" i="2"/>
  <c r="R235" i="2"/>
  <c r="D229" i="2"/>
  <c r="O222" i="2"/>
  <c r="Z215" i="2"/>
  <c r="L209" i="2"/>
  <c r="W202" i="2"/>
  <c r="H196" i="2"/>
  <c r="T189" i="2"/>
  <c r="E183" i="2"/>
  <c r="P176" i="2"/>
  <c r="B170" i="2"/>
  <c r="M163" i="2"/>
  <c r="X156" i="2"/>
  <c r="J150" i="2"/>
  <c r="U143" i="2"/>
  <c r="F137" i="2"/>
  <c r="R130" i="2"/>
  <c r="C124" i="2"/>
  <c r="N117" i="2"/>
  <c r="Z110" i="2"/>
  <c r="K104" i="2"/>
  <c r="V97" i="2"/>
  <c r="H91" i="2"/>
  <c r="S84" i="2"/>
  <c r="D78" i="2"/>
  <c r="P71" i="2"/>
  <c r="A65" i="2"/>
  <c r="L58" i="2"/>
  <c r="X51" i="2"/>
  <c r="I45" i="2"/>
  <c r="T38" i="2"/>
  <c r="F32" i="2"/>
  <c r="Q25" i="2"/>
  <c r="B19" i="2"/>
  <c r="M12" i="2"/>
  <c r="G6" i="3"/>
  <c r="S406" i="2"/>
  <c r="D400" i="2"/>
  <c r="P393" i="2"/>
  <c r="A387" i="2"/>
  <c r="L380" i="2"/>
  <c r="X373" i="2"/>
  <c r="I367" i="2"/>
  <c r="T360" i="2"/>
  <c r="F354" i="2"/>
  <c r="Q347" i="2"/>
  <c r="B341" i="2"/>
  <c r="N334" i="2"/>
  <c r="Y327" i="2"/>
  <c r="J321" i="2"/>
  <c r="V314" i="2"/>
  <c r="G308" i="2"/>
  <c r="R301" i="2"/>
  <c r="D295" i="2"/>
  <c r="O288" i="2"/>
  <c r="Z281" i="2"/>
  <c r="L275" i="2"/>
  <c r="W268" i="2"/>
  <c r="H262" i="2"/>
  <c r="T255" i="2"/>
  <c r="E249" i="2"/>
  <c r="P242" i="2"/>
  <c r="B236" i="2"/>
  <c r="M229" i="2"/>
  <c r="X222" i="2"/>
  <c r="J216" i="2"/>
  <c r="U209" i="2"/>
  <c r="F203" i="2"/>
  <c r="R196" i="2"/>
  <c r="C190" i="2"/>
  <c r="N183" i="2"/>
  <c r="Z176" i="2"/>
  <c r="K170" i="2"/>
  <c r="V163" i="2"/>
  <c r="H157" i="2"/>
  <c r="S150" i="2"/>
  <c r="D144" i="2"/>
  <c r="P137" i="2"/>
  <c r="A131" i="2"/>
  <c r="L124" i="2"/>
  <c r="X117" i="2"/>
  <c r="I111" i="2"/>
  <c r="T104" i="2"/>
  <c r="F98" i="2"/>
  <c r="Q91" i="2"/>
  <c r="B85" i="2"/>
  <c r="N78" i="2"/>
  <c r="Y71" i="2"/>
  <c r="J65" i="2"/>
  <c r="V58" i="2"/>
  <c r="G52" i="2"/>
  <c r="R45" i="2"/>
  <c r="D39" i="2"/>
  <c r="O32" i="2"/>
  <c r="Z25" i="2"/>
  <c r="L19" i="2"/>
  <c r="W12" i="2"/>
  <c r="G6" i="2"/>
  <c r="J205" i="17"/>
  <c r="D172" i="11"/>
  <c r="E180" i="6"/>
  <c r="J385" i="5"/>
  <c r="B283" i="5"/>
  <c r="N180" i="5"/>
  <c r="F78" i="5"/>
  <c r="A377" i="3"/>
  <c r="AE250" i="3"/>
  <c r="B124" i="3"/>
  <c r="AJ9" i="3"/>
  <c r="J181" i="17"/>
  <c r="D140" i="11"/>
  <c r="E152" i="6"/>
  <c r="B371" i="5"/>
  <c r="N268" i="5"/>
  <c r="F166" i="5"/>
  <c r="R63" i="5"/>
  <c r="C359" i="3"/>
  <c r="AH232" i="3"/>
  <c r="E106" i="3"/>
  <c r="L406" i="2"/>
  <c r="I393" i="2"/>
  <c r="F380" i="2"/>
  <c r="B367" i="2"/>
  <c r="D354" i="2"/>
  <c r="Z338" i="2"/>
  <c r="V325" i="2"/>
  <c r="X312" i="2"/>
  <c r="J299" i="2"/>
  <c r="R286" i="2"/>
  <c r="T273" i="2"/>
  <c r="P260" i="2"/>
  <c r="C248" i="2"/>
  <c r="T233" i="2"/>
  <c r="K220" i="2"/>
  <c r="B207" i="2"/>
  <c r="P195" i="2"/>
  <c r="W182" i="2"/>
  <c r="N169" i="2"/>
  <c r="V156" i="2"/>
  <c r="M143" i="2"/>
  <c r="Y129" i="2"/>
  <c r="V116" i="2"/>
  <c r="X103" i="2"/>
  <c r="Z90" i="2"/>
  <c r="G78" i="2"/>
  <c r="X64" i="2"/>
  <c r="F52" i="2"/>
  <c r="R39" i="2"/>
  <c r="Y25" i="2"/>
  <c r="O12" i="2"/>
  <c r="G44" i="19"/>
  <c r="F194" i="12"/>
  <c r="E286" i="6"/>
  <c r="E30" i="6"/>
  <c r="F322" i="5"/>
  <c r="R219" i="5"/>
  <c r="J117" i="5"/>
  <c r="B15" i="5"/>
  <c r="E295" i="3"/>
  <c r="AE168" i="3"/>
  <c r="AI41" i="3"/>
  <c r="X408" i="2"/>
  <c r="L397" i="2"/>
  <c r="N384" i="2"/>
  <c r="E371" i="2"/>
  <c r="G358" i="2"/>
  <c r="I345" i="2"/>
  <c r="V333" i="2"/>
  <c r="S320" i="2"/>
  <c r="P307" i="2"/>
  <c r="G294" i="2"/>
  <c r="I281" i="2"/>
  <c r="U267" i="2"/>
  <c r="G254" i="2"/>
  <c r="T241" i="2"/>
  <c r="F229" i="2"/>
  <c r="C216" i="2"/>
  <c r="J203" i="2"/>
  <c r="K188" i="2"/>
  <c r="W174" i="2"/>
  <c r="T161" i="2"/>
  <c r="F148" i="2"/>
  <c r="X135" i="2"/>
  <c r="T122" i="2"/>
  <c r="Q109" i="2"/>
  <c r="C96" i="2"/>
  <c r="J82" i="2"/>
  <c r="L69" i="2"/>
  <c r="H56" i="2"/>
  <c r="Z42" i="2"/>
  <c r="Q29" i="2"/>
  <c r="X16" i="2"/>
  <c r="E169" i="12"/>
  <c r="F58" i="22"/>
  <c r="K200" i="17"/>
  <c r="A27" i="14"/>
  <c r="E117" i="11"/>
  <c r="F230" i="22"/>
  <c r="O264" i="17"/>
  <c r="O40" i="17"/>
  <c r="D89" i="12"/>
  <c r="F780" i="25"/>
  <c r="F220" i="17"/>
  <c r="A186" i="11"/>
  <c r="F208" i="6"/>
  <c r="O394" i="5"/>
  <c r="C305" i="5"/>
  <c r="K215" i="5"/>
  <c r="C113" i="5"/>
  <c r="N10" i="5"/>
  <c r="AG292" i="3"/>
  <c r="I197" i="3"/>
  <c r="A71" i="3"/>
  <c r="N359" i="17"/>
  <c r="F131" i="12"/>
  <c r="D260" i="6"/>
  <c r="H85" i="6"/>
  <c r="M396" i="5"/>
  <c r="Q351" i="5"/>
  <c r="A307" i="5"/>
  <c r="I281" i="5"/>
  <c r="M236" i="5"/>
  <c r="Q191" i="5"/>
  <c r="M140" i="5"/>
  <c r="I89" i="5"/>
  <c r="M44" i="5"/>
  <c r="H405" i="3"/>
  <c r="E342" i="3"/>
  <c r="D279" i="3"/>
  <c r="AG215" i="3"/>
  <c r="I160" i="3"/>
  <c r="B105" i="3"/>
  <c r="AF41" i="3"/>
  <c r="B346" i="17"/>
  <c r="B26" i="17"/>
  <c r="G99" i="11"/>
  <c r="C112" i="6"/>
  <c r="D356" i="5"/>
  <c r="P253" i="5"/>
  <c r="H151" i="5"/>
  <c r="T48" i="5"/>
  <c r="AE339" i="3"/>
  <c r="B213" i="3"/>
  <c r="AE86" i="3"/>
  <c r="A190" i="23"/>
  <c r="B107" i="17"/>
  <c r="D34" i="11"/>
  <c r="G87" i="6"/>
  <c r="H346" i="5"/>
  <c r="D231" i="5"/>
  <c r="D171" i="5"/>
  <c r="L113" i="5"/>
  <c r="H62" i="5"/>
  <c r="C11" i="5"/>
  <c r="B356" i="3"/>
  <c r="C301" i="3"/>
  <c r="AE237" i="3"/>
  <c r="J166" i="3"/>
  <c r="F95" i="3"/>
  <c r="E24" i="3"/>
  <c r="J310" i="17"/>
  <c r="C57" i="12"/>
  <c r="A221" i="6"/>
  <c r="F399" i="5"/>
  <c r="J322" i="5"/>
  <c r="R232" i="5"/>
  <c r="J130" i="5"/>
  <c r="R40" i="5"/>
  <c r="B330" i="3"/>
  <c r="E203" i="3"/>
  <c r="AH76" i="3"/>
  <c r="G218" i="22"/>
  <c r="J16" i="17"/>
  <c r="A292" i="6"/>
  <c r="A68" i="6"/>
  <c r="J300" i="5"/>
  <c r="N159" i="5"/>
  <c r="R18" i="5"/>
  <c r="A350" i="3"/>
  <c r="C287" i="3"/>
  <c r="AE223" i="3"/>
  <c r="H160" i="3"/>
  <c r="B97" i="3"/>
  <c r="AF33" i="3"/>
  <c r="I410" i="2"/>
  <c r="M400" i="2"/>
  <c r="Q390" i="2"/>
  <c r="U380" i="2"/>
  <c r="Y370" i="2"/>
  <c r="C361" i="2"/>
  <c r="G351" i="2"/>
  <c r="Y338" i="2"/>
  <c r="C329" i="2"/>
  <c r="G319" i="2"/>
  <c r="Y306" i="2"/>
  <c r="S289" i="2"/>
  <c r="C265" i="2"/>
  <c r="I252" i="2"/>
  <c r="M242" i="2"/>
  <c r="Q232" i="2"/>
  <c r="O221" i="2"/>
  <c r="S211" i="2"/>
  <c r="K199" i="2"/>
  <c r="C187" i="2"/>
  <c r="A176" i="2"/>
  <c r="K167" i="2"/>
  <c r="I156" i="2"/>
  <c r="G145" i="2"/>
  <c r="E134" i="2"/>
  <c r="I124" i="2"/>
  <c r="A112" i="2"/>
  <c r="E102" i="2"/>
  <c r="I92" i="2"/>
  <c r="S83" i="2"/>
  <c r="W73" i="2"/>
  <c r="A64" i="2"/>
  <c r="E54" i="2"/>
  <c r="I44" i="2"/>
  <c r="G33" i="2"/>
  <c r="K23" i="2"/>
  <c r="O13" i="2"/>
  <c r="D58" i="25"/>
  <c r="J331" i="17"/>
  <c r="J43" i="17"/>
  <c r="C5" i="12"/>
  <c r="D15" i="7"/>
  <c r="E163" i="6"/>
  <c r="E19" i="6"/>
  <c r="R369" i="5"/>
  <c r="B325" i="5"/>
  <c r="J267" i="5"/>
  <c r="F216" i="5"/>
  <c r="J171" i="5"/>
  <c r="R113" i="5"/>
  <c r="B69" i="5"/>
  <c r="R17" i="5"/>
  <c r="AE364" i="3"/>
  <c r="AF301" i="3"/>
  <c r="F230" i="3"/>
  <c r="C167" i="3"/>
  <c r="AG103" i="3"/>
  <c r="F48" i="3"/>
  <c r="AF7" i="3"/>
  <c r="F98" i="12"/>
  <c r="B407" i="5"/>
  <c r="N176" i="5"/>
  <c r="C372" i="3"/>
  <c r="I87" i="3"/>
  <c r="T403" i="2"/>
  <c r="P390" i="2"/>
  <c r="V375" i="2"/>
  <c r="B361" i="2"/>
  <c r="Y347" i="2"/>
  <c r="E333" i="2"/>
  <c r="R321" i="2"/>
  <c r="F310" i="2"/>
  <c r="L295" i="2"/>
  <c r="H282" i="2"/>
  <c r="E269" i="2"/>
  <c r="R257" i="2"/>
  <c r="M249" i="2"/>
  <c r="X242" i="2"/>
  <c r="J236" i="2"/>
  <c r="D228" i="2"/>
  <c r="Y219" i="2"/>
  <c r="L208" i="2"/>
  <c r="I195" i="2"/>
  <c r="M185" i="2"/>
  <c r="S170" i="2"/>
  <c r="F159" i="2"/>
  <c r="T147" i="2"/>
  <c r="G136" i="2"/>
  <c r="D123" i="2"/>
  <c r="J108" i="2"/>
  <c r="P93" i="2"/>
  <c r="J85" i="2"/>
  <c r="G72" i="2"/>
  <c r="T60" i="2"/>
  <c r="H49" i="2"/>
  <c r="D36" i="2"/>
  <c r="R24" i="2"/>
  <c r="M11" i="2"/>
  <c r="L402" i="2"/>
  <c r="I389" i="2"/>
  <c r="F376" i="2"/>
  <c r="L361" i="2"/>
  <c r="R346" i="2"/>
  <c r="N333" i="2"/>
  <c r="D317" i="2"/>
  <c r="Z303" i="2"/>
  <c r="F289" i="2"/>
  <c r="V272" i="2"/>
  <c r="B258" i="2"/>
  <c r="H243" i="2"/>
  <c r="D230" i="2"/>
  <c r="A217" i="2"/>
  <c r="G202" i="2"/>
  <c r="D189" i="2"/>
  <c r="Z175" i="2"/>
  <c r="F161" i="2"/>
  <c r="C148" i="2"/>
  <c r="P136" i="2"/>
  <c r="D125" i="2"/>
  <c r="Q113" i="2"/>
  <c r="N100" i="2"/>
  <c r="J87" i="2"/>
  <c r="G74" i="2"/>
  <c r="M59" i="2"/>
  <c r="J46" i="2"/>
  <c r="F33" i="2"/>
  <c r="C20" i="2"/>
  <c r="Y6" i="2"/>
  <c r="E401" i="2"/>
  <c r="B388" i="2"/>
  <c r="H373" i="2"/>
  <c r="U361" i="2"/>
  <c r="H350" i="2"/>
  <c r="G332" i="2"/>
  <c r="D319" i="2"/>
  <c r="J304" i="2"/>
  <c r="F291" i="2"/>
  <c r="C278" i="2"/>
  <c r="P266" i="2"/>
  <c r="M253" i="2"/>
  <c r="S238" i="2"/>
  <c r="P225" i="2"/>
  <c r="L212" i="2"/>
  <c r="Z200" i="2"/>
  <c r="V187" i="2"/>
  <c r="B173" i="2"/>
  <c r="Y159" i="2"/>
  <c r="L148" i="2"/>
  <c r="I135" i="2"/>
  <c r="V123" i="2"/>
  <c r="J112" i="2"/>
  <c r="F99" i="2"/>
  <c r="C86" i="2"/>
  <c r="I71" i="2"/>
  <c r="O56" i="2"/>
  <c r="L43" i="2"/>
  <c r="H30" i="2"/>
  <c r="V18" i="2"/>
  <c r="H7" i="2"/>
  <c r="J29" i="17"/>
  <c r="E92" i="6"/>
  <c r="R247" i="5"/>
  <c r="B43" i="5"/>
  <c r="AG238" i="3"/>
  <c r="C75" i="23"/>
  <c r="E192" i="6"/>
  <c r="J233" i="5"/>
  <c r="F54" i="5"/>
  <c r="AI220" i="3"/>
  <c r="F405" i="2"/>
  <c r="Z378" i="2"/>
  <c r="Z355" i="2"/>
  <c r="X327" i="2"/>
  <c r="L301" i="2"/>
  <c r="N272" i="2"/>
  <c r="W246" i="2"/>
  <c r="X215" i="2"/>
  <c r="W190" i="2"/>
  <c r="H168" i="2"/>
  <c r="B142" i="2"/>
  <c r="A109" i="2"/>
  <c r="N73" i="2"/>
  <c r="Z50" i="2"/>
  <c r="S24" i="2"/>
  <c r="J353" i="17"/>
  <c r="E198" i="6"/>
  <c r="B287" i="5"/>
  <c r="F82" i="5"/>
  <c r="G283" i="3"/>
  <c r="AE61" i="3"/>
  <c r="F396" i="2"/>
  <c r="P363" i="2"/>
  <c r="P332" i="2"/>
  <c r="Q309" i="2"/>
  <c r="K276" i="2"/>
  <c r="N256" i="2"/>
  <c r="V237" i="2"/>
  <c r="P211" i="2"/>
  <c r="F180" i="2"/>
  <c r="N153" i="2"/>
  <c r="C128" i="2"/>
  <c r="Q101" i="2"/>
  <c r="T74" i="2"/>
  <c r="A45" i="2"/>
  <c r="J12" i="2"/>
  <c r="C134" i="19"/>
  <c r="A146" i="17"/>
  <c r="B1" i="28"/>
  <c r="B100" i="19"/>
  <c r="L141" i="17"/>
  <c r="E153" i="12"/>
  <c r="B134" i="11"/>
  <c r="B101" i="24"/>
  <c r="K288" i="17"/>
  <c r="K64" i="17"/>
  <c r="D78" i="12"/>
  <c r="E21" i="11"/>
  <c r="F191" i="19"/>
  <c r="O192" i="17"/>
  <c r="E11" i="14"/>
  <c r="H107" i="11"/>
  <c r="F204" i="17"/>
  <c r="G164" i="11"/>
  <c r="F168" i="6"/>
  <c r="S365" i="5"/>
  <c r="G276" i="5"/>
  <c r="S173" i="5"/>
  <c r="G84" i="5"/>
  <c r="E383" i="3"/>
  <c r="AH272" i="3"/>
  <c r="G146" i="3"/>
  <c r="F716" i="25"/>
  <c r="N151" i="17"/>
  <c r="A96" i="11"/>
  <c r="H190" i="6"/>
  <c r="H33" i="6"/>
  <c r="Q375" i="5"/>
  <c r="M324" i="5"/>
  <c r="Q279" i="5"/>
  <c r="E222" i="5"/>
  <c r="M164" i="5"/>
  <c r="A107" i="5"/>
  <c r="Q55" i="5"/>
  <c r="E411" i="3"/>
  <c r="F340" i="3"/>
  <c r="D285" i="3"/>
  <c r="AF221" i="3"/>
  <c r="I166" i="3"/>
  <c r="B111" i="3"/>
  <c r="AE47" i="3"/>
  <c r="F8" i="19"/>
  <c r="H177" i="12"/>
  <c r="C264" i="6"/>
  <c r="C72" i="6"/>
  <c r="D340" i="5"/>
  <c r="P237" i="5"/>
  <c r="L122" i="5"/>
  <c r="D20" i="5"/>
  <c r="F304" i="3"/>
  <c r="AF177" i="3"/>
  <c r="AJ50" i="3"/>
  <c r="B54" i="19"/>
  <c r="H197" i="12"/>
  <c r="G239" i="6"/>
  <c r="H394" i="5"/>
  <c r="D279" i="5"/>
  <c r="D195" i="5"/>
  <c r="T143" i="5"/>
  <c r="H86" i="5"/>
  <c r="P28" i="5"/>
  <c r="AH377" i="3"/>
  <c r="B307" i="3"/>
  <c r="AG227" i="3"/>
  <c r="J164" i="3"/>
  <c r="G85" i="3"/>
  <c r="AH29" i="3"/>
  <c r="G58" i="22"/>
  <c r="J38" i="17"/>
  <c r="D24" i="11"/>
  <c r="A85" i="6"/>
  <c r="N357" i="5"/>
  <c r="J242" i="5"/>
  <c r="B140" i="5"/>
  <c r="N37" i="5"/>
  <c r="C326" i="3"/>
  <c r="D215" i="3"/>
  <c r="AF88" i="3"/>
  <c r="D25" i="24"/>
  <c r="A106" i="15"/>
  <c r="A284" i="6"/>
  <c r="A60" i="6"/>
  <c r="N335" i="5"/>
  <c r="F233" i="5"/>
  <c r="N143" i="5"/>
  <c r="F41" i="5"/>
  <c r="T385" i="5"/>
  <c r="L299" i="5"/>
  <c r="D209" i="5"/>
  <c r="P158" i="5"/>
  <c r="L107" i="5"/>
  <c r="P54" i="5"/>
  <c r="AI407" i="3"/>
  <c r="AH346" i="3"/>
  <c r="AF289" i="3"/>
  <c r="E228" i="3"/>
  <c r="A169" i="3"/>
  <c r="AE111" i="3"/>
  <c r="D48" i="3"/>
  <c r="D165" i="22"/>
  <c r="J26" i="17"/>
  <c r="H2" i="7"/>
  <c r="A151" i="6"/>
  <c r="B384" i="5"/>
  <c r="R284" i="5"/>
  <c r="N185" i="5"/>
  <c r="R92" i="5"/>
  <c r="R60" i="5"/>
  <c r="B16" i="5"/>
  <c r="G370" i="3"/>
  <c r="H307" i="3"/>
  <c r="A244" i="3"/>
  <c r="AF184" i="3"/>
  <c r="F125" i="3"/>
  <c r="AI69" i="3"/>
  <c r="J14" i="3"/>
  <c r="D69" i="22"/>
  <c r="J244" i="17"/>
  <c r="J20" i="17"/>
  <c r="C17" i="12"/>
  <c r="H9" i="7"/>
  <c r="A182" i="6"/>
  <c r="A62" i="6"/>
  <c r="B394" i="5"/>
  <c r="N355" i="5"/>
  <c r="F301" i="5"/>
  <c r="B250" i="5"/>
  <c r="R198" i="5"/>
  <c r="N147" i="5"/>
  <c r="J96" i="5"/>
  <c r="J48" i="5"/>
  <c r="D410" i="3"/>
  <c r="D347" i="3"/>
  <c r="C272" i="3"/>
  <c r="AG208" i="3"/>
  <c r="AE149" i="3"/>
  <c r="D94" i="3"/>
  <c r="AF30" i="3"/>
  <c r="M410" i="2"/>
  <c r="Q400" i="2"/>
  <c r="O389" i="2"/>
  <c r="S379" i="2"/>
  <c r="W369" i="2"/>
  <c r="Q360" i="2"/>
  <c r="A352" i="2"/>
  <c r="E342" i="2"/>
  <c r="I332" i="2"/>
  <c r="I324" i="2"/>
  <c r="M314" i="2"/>
  <c r="G305" i="2"/>
  <c r="G297" i="2"/>
  <c r="Q288" i="2"/>
  <c r="K279" i="2"/>
  <c r="E270" i="2"/>
  <c r="A4" i="27"/>
  <c r="F299" i="25"/>
  <c r="H12" i="27"/>
  <c r="E278" i="25"/>
  <c r="E717" i="25"/>
  <c r="C70" i="23"/>
  <c r="E889" i="25"/>
  <c r="E135" i="23"/>
  <c r="D161" i="19"/>
  <c r="I817" i="25"/>
  <c r="G199" i="25"/>
  <c r="C109" i="23"/>
  <c r="H10" i="22"/>
  <c r="G57" i="19"/>
  <c r="A350" i="17"/>
  <c r="A286" i="17"/>
  <c r="A222" i="17"/>
  <c r="A158" i="17"/>
  <c r="A94" i="17"/>
  <c r="A30" i="17"/>
  <c r="G37" i="15"/>
  <c r="B700" i="25"/>
  <c r="H140" i="25"/>
  <c r="G63" i="23"/>
  <c r="B276" i="19"/>
  <c r="A35" i="19"/>
  <c r="H328" i="17"/>
  <c r="D243" i="17"/>
  <c r="L157" i="17"/>
  <c r="H72" i="17"/>
  <c r="F93" i="15"/>
  <c r="H10" i="13"/>
  <c r="A128" i="12"/>
  <c r="A64" i="12"/>
  <c r="B242" i="11"/>
  <c r="B178" i="11"/>
  <c r="B114" i="11"/>
  <c r="B50" i="11"/>
  <c r="A100" i="33"/>
  <c r="E303" i="25"/>
  <c r="E184" i="23"/>
  <c r="H79" i="22"/>
  <c r="F112" i="19"/>
  <c r="K364" i="17"/>
  <c r="K300" i="17"/>
  <c r="K236" i="17"/>
  <c r="K172" i="17"/>
  <c r="K108" i="17"/>
  <c r="K44" i="17"/>
  <c r="H69" i="15"/>
  <c r="D222" i="12"/>
  <c r="B137" i="12"/>
  <c r="G51" i="12"/>
  <c r="C208" i="11"/>
  <c r="H122" i="11"/>
  <c r="E37" i="11"/>
  <c r="I578" i="25"/>
  <c r="B74" i="25"/>
  <c r="B15" i="23"/>
  <c r="F239" i="19"/>
  <c r="A14" i="19"/>
  <c r="O332" i="17"/>
  <c r="O268" i="17"/>
  <c r="O204" i="17"/>
  <c r="O140" i="17"/>
  <c r="O76" i="17"/>
  <c r="O12" i="17"/>
  <c r="D5" i="15"/>
  <c r="B180" i="12"/>
  <c r="G94" i="12"/>
  <c r="D9" i="12"/>
  <c r="E166" i="11"/>
  <c r="C81" i="11"/>
  <c r="K5" i="26"/>
  <c r="F140" i="23"/>
  <c r="G79" i="19"/>
  <c r="F292" i="17"/>
  <c r="F164" i="17"/>
  <c r="F36" i="17"/>
  <c r="H210" i="12"/>
  <c r="C40" i="12"/>
  <c r="D111" i="11"/>
  <c r="H28" i="8"/>
  <c r="F276" i="6"/>
  <c r="F212" i="6"/>
  <c r="F148" i="6"/>
  <c r="F84" i="6"/>
  <c r="F20" i="6"/>
  <c r="G396" i="5"/>
  <c r="O370" i="5"/>
  <c r="C345" i="5"/>
  <c r="K319" i="5"/>
  <c r="S293" i="5"/>
  <c r="G268" i="5"/>
  <c r="O242" i="5"/>
  <c r="C217" i="5"/>
  <c r="K191" i="5"/>
  <c r="S165" i="5"/>
  <c r="G140" i="5"/>
  <c r="O114" i="5"/>
  <c r="C89" i="5"/>
  <c r="K63" i="5"/>
  <c r="S37" i="5"/>
  <c r="F12" i="5"/>
  <c r="E389" i="3"/>
  <c r="AD357" i="3"/>
  <c r="F326" i="3"/>
  <c r="AF294" i="3"/>
  <c r="AI262" i="3"/>
  <c r="E231" i="3"/>
  <c r="H199" i="3"/>
  <c r="B168" i="3"/>
  <c r="H136" i="3"/>
  <c r="AF104" i="3"/>
  <c r="A73" i="3"/>
  <c r="F41" i="3"/>
  <c r="G319" i="25"/>
  <c r="G94" i="22"/>
  <c r="N367" i="17"/>
  <c r="N239" i="17"/>
  <c r="N111" i="17"/>
  <c r="E75" i="15"/>
  <c r="C142" i="12"/>
  <c r="D213" i="11"/>
  <c r="G42" i="11"/>
  <c r="F14" i="8"/>
  <c r="D284" i="6"/>
  <c r="D241" i="6"/>
  <c r="H198" i="6"/>
  <c r="D156" i="6"/>
  <c r="H119" i="6"/>
  <c r="H87" i="6"/>
  <c r="H55" i="6"/>
  <c r="H23" i="6"/>
  <c r="E410" i="5"/>
  <c r="I397" i="5"/>
  <c r="M384" i="5"/>
  <c r="Q371" i="5"/>
  <c r="A359" i="5"/>
  <c r="E346" i="5"/>
  <c r="I333" i="5"/>
  <c r="M320" i="5"/>
  <c r="Q307" i="5"/>
  <c r="A295" i="5"/>
  <c r="E282" i="5"/>
  <c r="I269" i="5"/>
  <c r="M256" i="5"/>
  <c r="Q243" i="5"/>
  <c r="A231" i="5"/>
  <c r="E218" i="5"/>
  <c r="I205" i="5"/>
  <c r="M192" i="5"/>
  <c r="Q179" i="5"/>
  <c r="A167" i="5"/>
  <c r="E154" i="5"/>
  <c r="I141" i="5"/>
  <c r="M128" i="5"/>
  <c r="Q115" i="5"/>
  <c r="A103" i="5"/>
  <c r="E90" i="5"/>
  <c r="I77" i="5"/>
  <c r="M64" i="5"/>
  <c r="Q51" i="5"/>
  <c r="A39" i="5"/>
  <c r="I29" i="5"/>
  <c r="A23" i="5"/>
  <c r="M16" i="5"/>
  <c r="D10" i="5"/>
  <c r="E410" i="3"/>
  <c r="H402" i="3"/>
  <c r="I394" i="3"/>
  <c r="AE386" i="3"/>
  <c r="AG378" i="3"/>
  <c r="AJ370" i="3"/>
  <c r="AJ362" i="3"/>
  <c r="A355" i="3"/>
  <c r="E347" i="3"/>
  <c r="G339" i="3"/>
  <c r="J331" i="3"/>
  <c r="AG323" i="3"/>
  <c r="AH315" i="3"/>
  <c r="A308" i="3"/>
  <c r="B300" i="3"/>
  <c r="C292" i="3"/>
  <c r="D284" i="3"/>
  <c r="D276" i="3"/>
  <c r="D268" i="3"/>
  <c r="F260" i="3"/>
  <c r="H252" i="3"/>
  <c r="J244" i="3"/>
  <c r="AE236" i="3"/>
  <c r="AE228" i="3"/>
  <c r="AF220" i="3"/>
  <c r="AG212" i="3"/>
  <c r="AH204" i="3"/>
  <c r="AI196" i="3"/>
  <c r="C189" i="3"/>
  <c r="E181" i="3"/>
  <c r="H173" i="3"/>
  <c r="I165" i="3"/>
  <c r="AD157" i="3"/>
  <c r="AF149" i="3"/>
  <c r="AG141" i="3"/>
  <c r="AH133" i="3"/>
  <c r="AI125" i="3"/>
  <c r="AJ117" i="3"/>
  <c r="B110" i="3"/>
  <c r="B102" i="3"/>
  <c r="E94" i="3"/>
  <c r="F86" i="3"/>
  <c r="G78" i="3"/>
  <c r="H70" i="3"/>
  <c r="H62" i="3"/>
  <c r="AE54" i="3"/>
  <c r="AE46" i="3"/>
  <c r="AG38" i="3"/>
  <c r="AG30" i="3"/>
  <c r="AH22" i="3"/>
  <c r="H467" i="25"/>
  <c r="D101" i="24"/>
  <c r="G194" i="22"/>
  <c r="G196" i="19"/>
  <c r="G11" i="18"/>
  <c r="B322" i="17"/>
  <c r="B258" i="17"/>
  <c r="B194" i="17"/>
  <c r="B130" i="17"/>
  <c r="B66" i="17"/>
  <c r="A111" i="15"/>
  <c r="B14" i="14"/>
  <c r="C167" i="12"/>
  <c r="H81" i="12"/>
  <c r="D238" i="11"/>
  <c r="A153" i="11"/>
  <c r="G67" i="11"/>
  <c r="A6" i="9"/>
  <c r="A12" i="8"/>
  <c r="C292" i="6"/>
  <c r="C260" i="6"/>
  <c r="C228" i="6"/>
  <c r="C196" i="6"/>
  <c r="C164" i="6"/>
  <c r="C132" i="6"/>
  <c r="C100" i="6"/>
  <c r="C68" i="6"/>
  <c r="C36" i="6"/>
  <c r="C4" i="6"/>
  <c r="L402" i="5"/>
  <c r="P389" i="5"/>
  <c r="T376" i="5"/>
  <c r="D364" i="5"/>
  <c r="H351" i="5"/>
  <c r="L338" i="5"/>
  <c r="P325" i="5"/>
  <c r="T312" i="5"/>
  <c r="D300" i="5"/>
  <c r="H287" i="5"/>
  <c r="L274" i="5"/>
  <c r="P261" i="5"/>
  <c r="T248" i="5"/>
  <c r="D236" i="5"/>
  <c r="H223" i="5"/>
  <c r="L210" i="5"/>
  <c r="P197" i="5"/>
  <c r="T184" i="5"/>
  <c r="D172" i="5"/>
  <c r="H159" i="5"/>
  <c r="L146" i="5"/>
  <c r="P133" i="5"/>
  <c r="T120" i="5"/>
  <c r="D108" i="5"/>
  <c r="H95" i="5"/>
  <c r="L82" i="5"/>
  <c r="P69" i="5"/>
  <c r="T56" i="5"/>
  <c r="D44" i="5"/>
  <c r="H31" i="5"/>
  <c r="L18" i="5"/>
  <c r="J412" i="3"/>
  <c r="AH396" i="3"/>
  <c r="A381" i="3"/>
  <c r="E365" i="3"/>
  <c r="H349" i="3"/>
  <c r="AH333" i="3"/>
  <c r="C318" i="3"/>
  <c r="F302" i="3"/>
  <c r="I286" i="3"/>
  <c r="I270" i="3"/>
  <c r="AF254" i="3"/>
  <c r="AI238" i="3"/>
  <c r="A223" i="3"/>
  <c r="C207" i="3"/>
  <c r="H191" i="3"/>
  <c r="AF175" i="3"/>
  <c r="AH159" i="3"/>
  <c r="B144" i="3"/>
  <c r="C128" i="3"/>
  <c r="G112" i="3"/>
  <c r="I96" i="3"/>
  <c r="AE80" i="3"/>
  <c r="AG64" i="3"/>
  <c r="AJ48" i="3"/>
  <c r="B33" i="3"/>
  <c r="A20" i="3"/>
  <c r="A12" i="3"/>
  <c r="H698" i="25"/>
  <c r="B140" i="25"/>
  <c r="A62" i="23"/>
  <c r="G272" i="19"/>
  <c r="G32" i="19"/>
  <c r="B339" i="17"/>
  <c r="B275" i="17"/>
  <c r="B211" i="17"/>
  <c r="B147" i="17"/>
  <c r="B83" i="17"/>
  <c r="B19" i="17"/>
  <c r="A17" i="15"/>
  <c r="C187" i="12"/>
  <c r="H101" i="12"/>
  <c r="F16" i="12"/>
  <c r="A173" i="11"/>
  <c r="G87" i="11"/>
  <c r="D2" i="11"/>
  <c r="E19" i="8"/>
  <c r="F6" i="7"/>
  <c r="G267" i="6"/>
  <c r="G235" i="6"/>
  <c r="G203" i="6"/>
  <c r="G171" i="6"/>
  <c r="G139" i="6"/>
  <c r="G107" i="6"/>
  <c r="G75" i="6"/>
  <c r="G43" i="6"/>
  <c r="G11" i="6"/>
  <c r="L405" i="5"/>
  <c r="P392" i="5"/>
  <c r="T379" i="5"/>
  <c r="D367" i="5"/>
  <c r="H354" i="5"/>
  <c r="L341" i="5"/>
  <c r="P328" i="5"/>
  <c r="T315" i="5"/>
  <c r="D303" i="5"/>
  <c r="H290" i="5"/>
  <c r="L277" i="5"/>
  <c r="P264" i="5"/>
  <c r="T251" i="5"/>
  <c r="D239" i="5"/>
  <c r="P226" i="5"/>
  <c r="H218" i="5"/>
  <c r="T209" i="5"/>
  <c r="D201" i="5"/>
  <c r="H194" i="5"/>
  <c r="T187" i="5"/>
  <c r="L181" i="5"/>
  <c r="D175" i="5"/>
  <c r="P168" i="5"/>
  <c r="H162" i="5"/>
  <c r="T155" i="5"/>
  <c r="L149" i="5"/>
  <c r="D143" i="5"/>
  <c r="P136" i="5"/>
  <c r="H130" i="5"/>
  <c r="T123" i="5"/>
  <c r="L117" i="5"/>
  <c r="D111" i="5"/>
  <c r="P104" i="5"/>
  <c r="H98" i="5"/>
  <c r="T91" i="5"/>
  <c r="L85" i="5"/>
  <c r="D79" i="5"/>
  <c r="P72" i="5"/>
  <c r="H66" i="5"/>
  <c r="T59" i="5"/>
  <c r="L53" i="5"/>
  <c r="D47" i="5"/>
  <c r="P40" i="5"/>
  <c r="H34" i="5"/>
  <c r="T27" i="5"/>
  <c r="L21" i="5"/>
  <c r="D15" i="5"/>
  <c r="O8" i="5"/>
  <c r="G408" i="3"/>
  <c r="I400" i="3"/>
  <c r="AE392" i="3"/>
  <c r="AF384" i="3"/>
  <c r="AI376" i="3"/>
  <c r="A369" i="3"/>
  <c r="A361" i="3"/>
  <c r="C353" i="3"/>
  <c r="F345" i="3"/>
  <c r="H337" i="3"/>
  <c r="AF329" i="3"/>
  <c r="AI321" i="3"/>
  <c r="AI313" i="3"/>
  <c r="B306" i="3"/>
  <c r="C298" i="3"/>
  <c r="D290" i="3"/>
  <c r="E282" i="3"/>
  <c r="E274" i="3"/>
  <c r="F266" i="3"/>
  <c r="G258" i="3"/>
  <c r="I250" i="3"/>
  <c r="AE242" i="3"/>
  <c r="AF234" i="3"/>
  <c r="AG226" i="3"/>
  <c r="AH218" i="3"/>
  <c r="AH210" i="3"/>
  <c r="AI202" i="3"/>
  <c r="A195" i="3"/>
  <c r="E187" i="3"/>
  <c r="G179" i="3"/>
  <c r="I171" i="3"/>
  <c r="J163" i="3"/>
  <c r="AF155" i="3"/>
  <c r="AH147" i="3"/>
  <c r="AH139" i="3"/>
  <c r="AI131" i="3"/>
  <c r="AJ123" i="3"/>
  <c r="A116" i="3"/>
  <c r="C108" i="3"/>
  <c r="C100" i="3"/>
  <c r="F92" i="3"/>
  <c r="G84" i="3"/>
  <c r="H76" i="3"/>
  <c r="I68" i="3"/>
  <c r="J60" i="3"/>
  <c r="AF52" i="3"/>
  <c r="AF44" i="3"/>
  <c r="AH36" i="3"/>
  <c r="AI28" i="3"/>
  <c r="F22" i="3"/>
  <c r="AI17" i="3"/>
  <c r="AI13" i="3"/>
  <c r="AI9" i="3"/>
  <c r="D862" i="25"/>
  <c r="I221" i="25"/>
  <c r="C123" i="23"/>
  <c r="D19" i="22"/>
  <c r="G70" i="19"/>
  <c r="J350" i="17"/>
  <c r="J286" i="17"/>
  <c r="J222" i="17"/>
  <c r="J158" i="17"/>
  <c r="J94" i="17"/>
  <c r="J30" i="17"/>
  <c r="A38" i="15"/>
  <c r="H195" i="12"/>
  <c r="F110" i="12"/>
  <c r="C25" i="12"/>
  <c r="D184" i="11"/>
  <c r="A99" i="11"/>
  <c r="G13" i="11"/>
  <c r="G24" i="8"/>
  <c r="H12" i="7"/>
  <c r="A273" i="6"/>
  <c r="A241" i="6"/>
  <c r="A209" i="6"/>
  <c r="A177" i="6"/>
  <c r="A145" i="6"/>
  <c r="A113" i="6"/>
  <c r="A81" i="6"/>
  <c r="A49" i="6"/>
  <c r="A17" i="6"/>
  <c r="F407" i="5"/>
  <c r="J394" i="5"/>
  <c r="N381" i="5"/>
  <c r="R368" i="5"/>
  <c r="B356" i="5"/>
  <c r="F343" i="5"/>
  <c r="J330" i="5"/>
  <c r="N317" i="5"/>
  <c r="R304" i="5"/>
  <c r="B292" i="5"/>
  <c r="F279" i="5"/>
  <c r="J266" i="5"/>
  <c r="N253" i="5"/>
  <c r="R240" i="5"/>
  <c r="B228" i="5"/>
  <c r="F215" i="5"/>
  <c r="J202" i="5"/>
  <c r="N189" i="5"/>
  <c r="R176" i="5"/>
  <c r="B164" i="5"/>
  <c r="F151" i="5"/>
  <c r="J138" i="5"/>
  <c r="N125" i="5"/>
  <c r="R112" i="5"/>
  <c r="B100" i="5"/>
  <c r="F87" i="5"/>
  <c r="J74" i="5"/>
  <c r="N61" i="5"/>
  <c r="R48" i="5"/>
  <c r="B36" i="5"/>
  <c r="F23" i="5"/>
  <c r="I10" i="5"/>
  <c r="AI402" i="3"/>
  <c r="B387" i="3"/>
  <c r="G371" i="3"/>
  <c r="H355" i="3"/>
  <c r="AG339" i="3"/>
  <c r="D324" i="3"/>
  <c r="H308" i="3"/>
  <c r="J292" i="3"/>
  <c r="AE276" i="3"/>
  <c r="AF260" i="3"/>
  <c r="A245" i="3"/>
  <c r="B229" i="3"/>
  <c r="D213" i="3"/>
  <c r="F197" i="3"/>
  <c r="AF181" i="3"/>
  <c r="AJ165" i="3"/>
  <c r="C150" i="3"/>
  <c r="E134" i="3"/>
  <c r="G118" i="3"/>
  <c r="I102" i="3"/>
  <c r="AG86" i="3"/>
  <c r="AH70" i="3"/>
  <c r="B55" i="3"/>
  <c r="D39" i="3"/>
  <c r="AI23" i="3"/>
  <c r="B15" i="3"/>
  <c r="B7" i="3"/>
  <c r="E321" i="25"/>
  <c r="A198" i="23"/>
  <c r="G90" i="22"/>
  <c r="G142" i="19"/>
  <c r="J376" i="17"/>
  <c r="J312" i="17"/>
  <c r="J248" i="17"/>
  <c r="J184" i="17"/>
  <c r="J120" i="17"/>
  <c r="J56" i="17"/>
  <c r="A90" i="15"/>
  <c r="C9" i="13"/>
  <c r="F150" i="12"/>
  <c r="C65" i="12"/>
  <c r="A219" i="11"/>
  <c r="G133" i="11"/>
  <c r="D48" i="11"/>
  <c r="G33" i="8"/>
  <c r="H19" i="7"/>
  <c r="A280" i="6"/>
  <c r="A248" i="6"/>
  <c r="A216" i="6"/>
  <c r="A184" i="6"/>
  <c r="A152" i="6"/>
  <c r="A120" i="6"/>
  <c r="A88" i="6"/>
  <c r="A56" i="6"/>
  <c r="A24" i="6"/>
  <c r="R410" i="5"/>
  <c r="B398" i="5"/>
  <c r="F385" i="5"/>
  <c r="J372" i="5"/>
  <c r="N359" i="5"/>
  <c r="R346" i="5"/>
  <c r="B334" i="5"/>
  <c r="F321" i="5"/>
  <c r="J308" i="5"/>
  <c r="N295" i="5"/>
  <c r="R282" i="5"/>
  <c r="B270" i="5"/>
  <c r="F257" i="5"/>
  <c r="J244" i="5"/>
  <c r="N231" i="5"/>
  <c r="R218" i="5"/>
  <c r="B206" i="5"/>
  <c r="F193" i="5"/>
  <c r="J180" i="5"/>
  <c r="N167" i="5"/>
  <c r="R154" i="5"/>
  <c r="B142" i="5"/>
  <c r="F129" i="5"/>
  <c r="J116" i="5"/>
  <c r="N103" i="5"/>
  <c r="R90" i="5"/>
  <c r="B78" i="5"/>
  <c r="F65" i="5"/>
  <c r="J52" i="5"/>
  <c r="N39" i="5"/>
  <c r="R26" i="5"/>
  <c r="A14" i="5"/>
  <c r="F407" i="3"/>
  <c r="I391" i="3"/>
  <c r="AG375" i="3"/>
  <c r="AI359" i="3"/>
  <c r="D344" i="3"/>
  <c r="J328" i="3"/>
  <c r="AH312" i="3"/>
  <c r="A297" i="3"/>
  <c r="C281" i="3"/>
  <c r="D265" i="3"/>
  <c r="H249" i="3"/>
  <c r="J233" i="3"/>
  <c r="AF217" i="3"/>
  <c r="AG201" i="3"/>
  <c r="C186" i="3"/>
  <c r="G170" i="3"/>
  <c r="AD154" i="3"/>
  <c r="AG138" i="3"/>
  <c r="AH122" i="3"/>
  <c r="A107" i="3"/>
  <c r="D91" i="3"/>
  <c r="F75" i="3"/>
  <c r="H59" i="3"/>
  <c r="AE43" i="3"/>
  <c r="AG27" i="3"/>
  <c r="F17" i="3"/>
  <c r="F9" i="3"/>
  <c r="W411" i="2"/>
  <c r="K409" i="2"/>
  <c r="Y406" i="2"/>
  <c r="M404" i="2"/>
  <c r="A402" i="2"/>
  <c r="O399" i="2"/>
  <c r="C397" i="2"/>
  <c r="Q394" i="2"/>
  <c r="E392" i="2"/>
  <c r="S389" i="2"/>
  <c r="G387" i="2"/>
  <c r="U384" i="2"/>
  <c r="I382" i="2"/>
  <c r="W379" i="2"/>
  <c r="K377" i="2"/>
  <c r="Y374" i="2"/>
  <c r="M372" i="2"/>
  <c r="A370" i="2"/>
  <c r="O367" i="2"/>
  <c r="C365" i="2"/>
  <c r="Q362" i="2"/>
  <c r="E360" i="2"/>
  <c r="S357" i="2"/>
  <c r="G355" i="2"/>
  <c r="U352" i="2"/>
  <c r="I350" i="2"/>
  <c r="W347" i="2"/>
  <c r="K345" i="2"/>
  <c r="Y342" i="2"/>
  <c r="M340" i="2"/>
  <c r="A338" i="2"/>
  <c r="O335" i="2"/>
  <c r="C333" i="2"/>
  <c r="Q330" i="2"/>
  <c r="E328" i="2"/>
  <c r="S325" i="2"/>
  <c r="G323" i="2"/>
  <c r="U320" i="2"/>
  <c r="I318" i="2"/>
  <c r="W315" i="2"/>
  <c r="K313" i="2"/>
  <c r="Y310" i="2"/>
  <c r="M308" i="2"/>
  <c r="A306" i="2"/>
  <c r="O303" i="2"/>
  <c r="C301" i="2"/>
  <c r="Q298" i="2"/>
  <c r="E296" i="2"/>
  <c r="S293" i="2"/>
  <c r="G291" i="2"/>
  <c r="U288" i="2"/>
  <c r="I286" i="2"/>
  <c r="W283" i="2"/>
  <c r="K281" i="2"/>
  <c r="Y278" i="2"/>
  <c r="M276" i="2"/>
  <c r="A274" i="2"/>
  <c r="O271" i="2"/>
  <c r="C269" i="2"/>
  <c r="Q266" i="2"/>
  <c r="E264" i="2"/>
  <c r="S261" i="2"/>
  <c r="G259" i="2"/>
  <c r="U256" i="2"/>
  <c r="I254" i="2"/>
  <c r="W251" i="2"/>
  <c r="K249" i="2"/>
  <c r="Y246" i="2"/>
  <c r="M244" i="2"/>
  <c r="A242" i="2"/>
  <c r="O239" i="2"/>
  <c r="C237" i="2"/>
  <c r="Q234" i="2"/>
  <c r="E232" i="2"/>
  <c r="S229" i="2"/>
  <c r="G227" i="2"/>
  <c r="U224" i="2"/>
  <c r="I222" i="2"/>
  <c r="W219" i="2"/>
  <c r="K217" i="2"/>
  <c r="Y214" i="2"/>
  <c r="M212" i="2"/>
  <c r="A210" i="2"/>
  <c r="O207" i="2"/>
  <c r="C205" i="2"/>
  <c r="Q202" i="2"/>
  <c r="E200" i="2"/>
  <c r="S197" i="2"/>
  <c r="G195" i="2"/>
  <c r="U192" i="2"/>
  <c r="I190" i="2"/>
  <c r="W187" i="2"/>
  <c r="K185" i="2"/>
  <c r="Y182" i="2"/>
  <c r="M180" i="2"/>
  <c r="A178" i="2"/>
  <c r="O175" i="2"/>
  <c r="C173" i="2"/>
  <c r="Q170" i="2"/>
  <c r="E168" i="2"/>
  <c r="S165" i="2"/>
  <c r="G163" i="2"/>
  <c r="U160" i="2"/>
  <c r="I158" i="2"/>
  <c r="W155" i="2"/>
  <c r="K153" i="2"/>
  <c r="Y150" i="2"/>
  <c r="M148" i="2"/>
  <c r="A146" i="2"/>
  <c r="O143" i="2"/>
  <c r="C141" i="2"/>
  <c r="Q138" i="2"/>
  <c r="E136" i="2"/>
  <c r="S133" i="2"/>
  <c r="G131" i="2"/>
  <c r="U128" i="2"/>
  <c r="I126" i="2"/>
  <c r="W123" i="2"/>
  <c r="K121" i="2"/>
  <c r="Y118" i="2"/>
  <c r="M116" i="2"/>
  <c r="A114" i="2"/>
  <c r="O111" i="2"/>
  <c r="C109" i="2"/>
  <c r="Q106" i="2"/>
  <c r="E104" i="2"/>
  <c r="S101" i="2"/>
  <c r="G99" i="2"/>
  <c r="U96" i="2"/>
  <c r="I94" i="2"/>
  <c r="W91" i="2"/>
  <c r="K89" i="2"/>
  <c r="Y86" i="2"/>
  <c r="M84" i="2"/>
  <c r="A82" i="2"/>
  <c r="O79" i="2"/>
  <c r="C77" i="2"/>
  <c r="Q74" i="2"/>
  <c r="E72" i="2"/>
  <c r="S69" i="2"/>
  <c r="G67" i="2"/>
  <c r="U64" i="2"/>
  <c r="I62" i="2"/>
  <c r="W59" i="2"/>
  <c r="K57" i="2"/>
  <c r="Y54" i="2"/>
  <c r="M52" i="2"/>
  <c r="A50" i="2"/>
  <c r="O47" i="2"/>
  <c r="C45" i="2"/>
  <c r="Q42" i="2"/>
  <c r="E40" i="2"/>
  <c r="S37" i="2"/>
  <c r="G35" i="2"/>
  <c r="U32" i="2"/>
  <c r="I30" i="2"/>
  <c r="W27" i="2"/>
  <c r="K25" i="2"/>
  <c r="Y22" i="2"/>
  <c r="M20" i="2"/>
  <c r="A18" i="2"/>
  <c r="O15" i="2"/>
  <c r="C13" i="2"/>
  <c r="P10" i="2"/>
  <c r="D8" i="2"/>
  <c r="G819" i="25"/>
  <c r="F200" i="25"/>
  <c r="C107" i="23"/>
  <c r="D7" i="22"/>
  <c r="B50" i="19"/>
  <c r="J351" i="17"/>
  <c r="J287" i="17"/>
  <c r="J223" i="17"/>
  <c r="J159" i="17"/>
  <c r="J95" i="17"/>
  <c r="J31" i="17"/>
  <c r="A40" i="15"/>
  <c r="F202" i="12"/>
  <c r="C117" i="12"/>
  <c r="H31" i="12"/>
  <c r="G185" i="11"/>
  <c r="D100" i="11"/>
  <c r="A15" i="11"/>
  <c r="C23" i="8"/>
  <c r="D9" i="7"/>
  <c r="E269" i="6"/>
  <c r="E237" i="6"/>
  <c r="E205" i="6"/>
  <c r="E173" i="6"/>
  <c r="E141" i="6"/>
  <c r="E109" i="6"/>
  <c r="E77" i="6"/>
  <c r="E45" i="6"/>
  <c r="E13" i="6"/>
  <c r="R405" i="5"/>
  <c r="B393" i="5"/>
  <c r="F380" i="5"/>
  <c r="J367" i="5"/>
  <c r="N354" i="5"/>
  <c r="R341" i="5"/>
  <c r="B329" i="5"/>
  <c r="F316" i="5"/>
  <c r="J303" i="5"/>
  <c r="N290" i="5"/>
  <c r="R277" i="5"/>
  <c r="B265" i="5"/>
  <c r="F252" i="5"/>
  <c r="J239" i="5"/>
  <c r="N226" i="5"/>
  <c r="R213" i="5"/>
  <c r="B201" i="5"/>
  <c r="F188" i="5"/>
  <c r="J175" i="5"/>
  <c r="N162" i="5"/>
  <c r="R149" i="5"/>
  <c r="B137" i="5"/>
  <c r="F124" i="5"/>
  <c r="J111" i="5"/>
  <c r="N98" i="5"/>
  <c r="R85" i="5"/>
  <c r="B73" i="5"/>
  <c r="F60" i="5"/>
  <c r="J47" i="5"/>
  <c r="N34" i="5"/>
  <c r="R21" i="5"/>
  <c r="A9" i="5"/>
  <c r="C401" i="3"/>
  <c r="F385" i="3"/>
  <c r="AE369" i="3"/>
  <c r="AF353" i="3"/>
  <c r="B338" i="3"/>
  <c r="I322" i="3"/>
  <c r="AF306" i="3"/>
  <c r="AH290" i="3"/>
  <c r="AI274" i="3"/>
  <c r="A259" i="3"/>
  <c r="E243" i="3"/>
  <c r="G227" i="3"/>
  <c r="H211" i="3"/>
  <c r="AD195" i="3"/>
  <c r="AJ179" i="3"/>
  <c r="D164" i="3"/>
  <c r="H148" i="3"/>
  <c r="I132" i="3"/>
  <c r="AE116" i="3"/>
  <c r="AG100" i="3"/>
  <c r="A85" i="3"/>
  <c r="C69" i="3"/>
  <c r="F53" i="3"/>
  <c r="H37" i="3"/>
  <c r="AF22" i="3"/>
  <c r="D14" i="3"/>
  <c r="I576" i="25"/>
  <c r="F23" i="19"/>
  <c r="J153" i="17"/>
  <c r="C205" i="12"/>
  <c r="A103" i="11"/>
  <c r="E274" i="6"/>
  <c r="E146" i="6"/>
  <c r="E18" i="6"/>
  <c r="R371" i="5"/>
  <c r="N320" i="5"/>
  <c r="J269" i="5"/>
  <c r="F218" i="5"/>
  <c r="B167" i="5"/>
  <c r="R115" i="5"/>
  <c r="N64" i="5"/>
  <c r="I13" i="5"/>
  <c r="C360" i="3"/>
  <c r="E297" i="3"/>
  <c r="AH233" i="3"/>
  <c r="AE170" i="3"/>
  <c r="E107" i="3"/>
  <c r="AI43" i="3"/>
  <c r="Z412" i="2"/>
  <c r="R409" i="2"/>
  <c r="K406" i="2"/>
  <c r="D403" i="2"/>
  <c r="V399" i="2"/>
  <c r="O396" i="2"/>
  <c r="H393" i="2"/>
  <c r="Z389" i="2"/>
  <c r="S386" i="2"/>
  <c r="L383" i="2"/>
  <c r="D380" i="2"/>
  <c r="W376" i="2"/>
  <c r="P373" i="2"/>
  <c r="H370" i="2"/>
  <c r="A367" i="2"/>
  <c r="T363" i="2"/>
  <c r="L360" i="2"/>
  <c r="E357" i="2"/>
  <c r="X353" i="2"/>
  <c r="P350" i="2"/>
  <c r="I347" i="2"/>
  <c r="B344" i="2"/>
  <c r="T340" i="2"/>
  <c r="M337" i="2"/>
  <c r="F334" i="2"/>
  <c r="X330" i="2"/>
  <c r="Q327" i="2"/>
  <c r="J324" i="2"/>
  <c r="B321" i="2"/>
  <c r="U317" i="2"/>
  <c r="N314" i="2"/>
  <c r="F311" i="2"/>
  <c r="Y307" i="2"/>
  <c r="R304" i="2"/>
  <c r="J301" i="2"/>
  <c r="C298" i="2"/>
  <c r="V294" i="2"/>
  <c r="N291" i="2"/>
  <c r="G288" i="2"/>
  <c r="Z284" i="2"/>
  <c r="R281" i="2"/>
  <c r="K278" i="2"/>
  <c r="D275" i="2"/>
  <c r="V271" i="2"/>
  <c r="O268" i="2"/>
  <c r="H265" i="2"/>
  <c r="Z261" i="2"/>
  <c r="S258" i="2"/>
  <c r="L255" i="2"/>
  <c r="D252" i="2"/>
  <c r="W248" i="2"/>
  <c r="P245" i="2"/>
  <c r="H242" i="2"/>
  <c r="A239" i="2"/>
  <c r="T235" i="2"/>
  <c r="L232" i="2"/>
  <c r="E229" i="2"/>
  <c r="X225" i="2"/>
  <c r="P222" i="2"/>
  <c r="I219" i="2"/>
  <c r="B216" i="2"/>
  <c r="T212" i="2"/>
  <c r="M209" i="2"/>
  <c r="F206" i="2"/>
  <c r="X202" i="2"/>
  <c r="Q199" i="2"/>
  <c r="J196" i="2"/>
  <c r="B193" i="2"/>
  <c r="U189" i="2"/>
  <c r="N186" i="2"/>
  <c r="F183" i="2"/>
  <c r="Y179" i="2"/>
  <c r="R176" i="2"/>
  <c r="J173" i="2"/>
  <c r="C170" i="2"/>
  <c r="V166" i="2"/>
  <c r="N163" i="2"/>
  <c r="G160" i="2"/>
  <c r="Z156" i="2"/>
  <c r="R153" i="2"/>
  <c r="K150" i="2"/>
  <c r="D147" i="2"/>
  <c r="V143" i="2"/>
  <c r="O140" i="2"/>
  <c r="H137" i="2"/>
  <c r="Z133" i="2"/>
  <c r="S130" i="2"/>
  <c r="L127" i="2"/>
  <c r="D124" i="2"/>
  <c r="W120" i="2"/>
  <c r="P117" i="2"/>
  <c r="H114" i="2"/>
  <c r="A111" i="2"/>
  <c r="T107" i="2"/>
  <c r="L104" i="2"/>
  <c r="E101" i="2"/>
  <c r="X97" i="2"/>
  <c r="P94" i="2"/>
  <c r="I91" i="2"/>
  <c r="B88" i="2"/>
  <c r="T84" i="2"/>
  <c r="M81" i="2"/>
  <c r="F78" i="2"/>
  <c r="X74" i="2"/>
  <c r="Q71" i="2"/>
  <c r="J68" i="2"/>
  <c r="B65" i="2"/>
  <c r="U61" i="2"/>
  <c r="N58" i="2"/>
  <c r="F55" i="2"/>
  <c r="Y51" i="2"/>
  <c r="R48" i="2"/>
  <c r="J45" i="2"/>
  <c r="C42" i="2"/>
  <c r="V38" i="2"/>
  <c r="N35" i="2"/>
  <c r="G32" i="2"/>
  <c r="Z28" i="2"/>
  <c r="R25" i="2"/>
  <c r="K22" i="2"/>
  <c r="D19" i="2"/>
  <c r="V15" i="2"/>
  <c r="N12" i="2"/>
  <c r="G9" i="2"/>
  <c r="H6" i="3"/>
  <c r="B410" i="2"/>
  <c r="T406" i="2"/>
  <c r="M403" i="2"/>
  <c r="F400" i="2"/>
  <c r="X396" i="2"/>
  <c r="Q393" i="2"/>
  <c r="J390" i="2"/>
  <c r="B387" i="2"/>
  <c r="U383" i="2"/>
  <c r="N380" i="2"/>
  <c r="F377" i="2"/>
  <c r="Y373" i="2"/>
  <c r="R370" i="2"/>
  <c r="J367" i="2"/>
  <c r="C364" i="2"/>
  <c r="V360" i="2"/>
  <c r="N357" i="2"/>
  <c r="G354" i="2"/>
  <c r="Z350" i="2"/>
  <c r="R347" i="2"/>
  <c r="K344" i="2"/>
  <c r="D341" i="2"/>
  <c r="V337" i="2"/>
  <c r="O334" i="2"/>
  <c r="H331" i="2"/>
  <c r="Z327" i="2"/>
  <c r="S324" i="2"/>
  <c r="L321" i="2"/>
  <c r="D318" i="2"/>
  <c r="W314" i="2"/>
  <c r="P311" i="2"/>
  <c r="H308" i="2"/>
  <c r="A305" i="2"/>
  <c r="T301" i="2"/>
  <c r="L298" i="2"/>
  <c r="E295" i="2"/>
  <c r="X291" i="2"/>
  <c r="P288" i="2"/>
  <c r="I285" i="2"/>
  <c r="B282" i="2"/>
  <c r="T278" i="2"/>
  <c r="M275" i="2"/>
  <c r="F272" i="2"/>
  <c r="X268" i="2"/>
  <c r="Q265" i="2"/>
  <c r="J262" i="2"/>
  <c r="B259" i="2"/>
  <c r="U255" i="2"/>
  <c r="N252" i="2"/>
  <c r="F249" i="2"/>
  <c r="Y245" i="2"/>
  <c r="R242" i="2"/>
  <c r="J239" i="2"/>
  <c r="C236" i="2"/>
  <c r="V232" i="2"/>
  <c r="N229" i="2"/>
  <c r="G226" i="2"/>
  <c r="Z222" i="2"/>
  <c r="R219" i="2"/>
  <c r="K216" i="2"/>
  <c r="D213" i="2"/>
  <c r="V209" i="2"/>
  <c r="O206" i="2"/>
  <c r="H203" i="2"/>
  <c r="Z199" i="2"/>
  <c r="S196" i="2"/>
  <c r="L193" i="2"/>
  <c r="D190" i="2"/>
  <c r="W186" i="2"/>
  <c r="P183" i="2"/>
  <c r="H180" i="2"/>
  <c r="A177" i="2"/>
  <c r="T173" i="2"/>
  <c r="L170" i="2"/>
  <c r="E167" i="2"/>
  <c r="X163" i="2"/>
  <c r="P160" i="2"/>
  <c r="I157" i="2"/>
  <c r="B154" i="2"/>
  <c r="T150" i="2"/>
  <c r="M147" i="2"/>
  <c r="F144" i="2"/>
  <c r="X140" i="2"/>
  <c r="Q137" i="2"/>
  <c r="J134" i="2"/>
  <c r="B131" i="2"/>
  <c r="U127" i="2"/>
  <c r="N124" i="2"/>
  <c r="F121" i="2"/>
  <c r="Y117" i="2"/>
  <c r="R114" i="2"/>
  <c r="J111" i="2"/>
  <c r="C108" i="2"/>
  <c r="V104" i="2"/>
  <c r="N101" i="2"/>
  <c r="G98" i="2"/>
  <c r="Z94" i="2"/>
  <c r="R91" i="2"/>
  <c r="K88" i="2"/>
  <c r="D85" i="2"/>
  <c r="V81" i="2"/>
  <c r="O78" i="2"/>
  <c r="H75" i="2"/>
  <c r="Z71" i="2"/>
  <c r="S68" i="2"/>
  <c r="L65" i="2"/>
  <c r="D62" i="2"/>
  <c r="W58" i="2"/>
  <c r="P55" i="2"/>
  <c r="H52" i="2"/>
  <c r="A49" i="2"/>
  <c r="T45" i="2"/>
  <c r="L42" i="2"/>
  <c r="E39" i="2"/>
  <c r="X35" i="2"/>
  <c r="P32" i="2"/>
  <c r="I29" i="2"/>
  <c r="B26" i="2"/>
  <c r="T22" i="2"/>
  <c r="M19" i="2"/>
  <c r="F16" i="2"/>
  <c r="X12" i="2"/>
  <c r="P9" i="2"/>
  <c r="I6" i="2"/>
  <c r="K410" i="2"/>
  <c r="D407" i="2"/>
  <c r="V403" i="2"/>
  <c r="O400" i="2"/>
  <c r="H397" i="2"/>
  <c r="Z393" i="2"/>
  <c r="S390" i="2"/>
  <c r="L387" i="2"/>
  <c r="D384" i="2"/>
  <c r="W380" i="2"/>
  <c r="P377" i="2"/>
  <c r="H374" i="2"/>
  <c r="A371" i="2"/>
  <c r="T367" i="2"/>
  <c r="L364" i="2"/>
  <c r="E361" i="2"/>
  <c r="X357" i="2"/>
  <c r="P354" i="2"/>
  <c r="I351" i="2"/>
  <c r="B348" i="2"/>
  <c r="T344" i="2"/>
  <c r="M341" i="2"/>
  <c r="F338" i="2"/>
  <c r="X334" i="2"/>
  <c r="Q331" i="2"/>
  <c r="J328" i="2"/>
  <c r="B325" i="2"/>
  <c r="U321" i="2"/>
  <c r="N318" i="2"/>
  <c r="F315" i="2"/>
  <c r="Y311" i="2"/>
  <c r="R308" i="2"/>
  <c r="J305" i="2"/>
  <c r="C302" i="2"/>
  <c r="V298" i="2"/>
  <c r="N295" i="2"/>
  <c r="G292" i="2"/>
  <c r="Z288" i="2"/>
  <c r="R285" i="2"/>
  <c r="K282" i="2"/>
  <c r="D279" i="2"/>
  <c r="V275" i="2"/>
  <c r="O272" i="2"/>
  <c r="H269" i="2"/>
  <c r="Z265" i="2"/>
  <c r="S262" i="2"/>
  <c r="L259" i="2"/>
  <c r="D256" i="2"/>
  <c r="W252" i="2"/>
  <c r="P249" i="2"/>
  <c r="H246" i="2"/>
  <c r="A243" i="2"/>
  <c r="T239" i="2"/>
  <c r="L236" i="2"/>
  <c r="E233" i="2"/>
  <c r="X229" i="2"/>
  <c r="P226" i="2"/>
  <c r="I223" i="2"/>
  <c r="B220" i="2"/>
  <c r="T216" i="2"/>
  <c r="M213" i="2"/>
  <c r="F210" i="2"/>
  <c r="X206" i="2"/>
  <c r="Q203" i="2"/>
  <c r="J200" i="2"/>
  <c r="B197" i="2"/>
  <c r="U193" i="2"/>
  <c r="N190" i="2"/>
  <c r="F187" i="2"/>
  <c r="Y183" i="2"/>
  <c r="R180" i="2"/>
  <c r="J177" i="2"/>
  <c r="C174" i="2"/>
  <c r="V170" i="2"/>
  <c r="N167" i="2"/>
  <c r="G164" i="2"/>
  <c r="Z160" i="2"/>
  <c r="R157" i="2"/>
  <c r="K154" i="2"/>
  <c r="D151" i="2"/>
  <c r="V147" i="2"/>
  <c r="O144" i="2"/>
  <c r="H141" i="2"/>
  <c r="Z137" i="2"/>
  <c r="S134" i="2"/>
  <c r="L131" i="2"/>
  <c r="D128" i="2"/>
  <c r="W124" i="2"/>
  <c r="P121" i="2"/>
  <c r="H118" i="2"/>
  <c r="A115" i="2"/>
  <c r="T111" i="2"/>
  <c r="L108" i="2"/>
  <c r="E105" i="2"/>
  <c r="X101" i="2"/>
  <c r="P98" i="2"/>
  <c r="I95" i="2"/>
  <c r="B92" i="2"/>
  <c r="T88" i="2"/>
  <c r="M85" i="2"/>
  <c r="F82" i="2"/>
  <c r="X78" i="2"/>
  <c r="Q75" i="2"/>
  <c r="J72" i="2"/>
  <c r="B69" i="2"/>
  <c r="U65" i="2"/>
  <c r="N62" i="2"/>
  <c r="F59" i="2"/>
  <c r="Y55" i="2"/>
  <c r="R52" i="2"/>
  <c r="J49" i="2"/>
  <c r="C46" i="2"/>
  <c r="V42" i="2"/>
  <c r="N39" i="2"/>
  <c r="G36" i="2"/>
  <c r="Z32" i="2"/>
  <c r="R29" i="2"/>
  <c r="K26" i="2"/>
  <c r="D23" i="2"/>
  <c r="V19" i="2"/>
  <c r="O16" i="2"/>
  <c r="H13" i="2"/>
  <c r="Y9" i="2"/>
  <c r="R6" i="2"/>
  <c r="G138" i="22"/>
  <c r="J237" i="17"/>
  <c r="A60" i="15"/>
  <c r="A215" i="11"/>
  <c r="C2" i="8"/>
  <c r="E196" i="6"/>
  <c r="E68" i="6"/>
  <c r="R391" i="5"/>
  <c r="N340" i="5"/>
  <c r="J289" i="5"/>
  <c r="F238" i="5"/>
  <c r="B187" i="5"/>
  <c r="R135" i="5"/>
  <c r="N84" i="5"/>
  <c r="J33" i="5"/>
  <c r="AH384" i="3"/>
  <c r="A322" i="3"/>
  <c r="I258" i="3"/>
  <c r="C195" i="3"/>
  <c r="A132" i="3"/>
  <c r="AE68" i="3"/>
  <c r="AJ13" i="3"/>
  <c r="D15" i="22"/>
  <c r="J213" i="17"/>
  <c r="A44" i="15"/>
  <c r="A183" i="11"/>
  <c r="D6" i="7"/>
  <c r="E168" i="6"/>
  <c r="E40" i="6"/>
  <c r="J377" i="5"/>
  <c r="F326" i="5"/>
  <c r="B275" i="5"/>
  <c r="R223" i="5"/>
  <c r="N172" i="5"/>
  <c r="J121" i="5"/>
  <c r="F70" i="5"/>
  <c r="B19" i="5"/>
  <c r="C367" i="3"/>
  <c r="D304" i="3"/>
  <c r="AG240" i="3"/>
  <c r="J177" i="3"/>
  <c r="D114" i="3"/>
  <c r="AH50" i="3"/>
  <c r="E6" i="3"/>
  <c r="S400" i="2"/>
  <c r="D394" i="2"/>
  <c r="J387" i="2"/>
  <c r="V380" i="2"/>
  <c r="L374" i="2"/>
  <c r="X367" i="2"/>
  <c r="I361" i="2"/>
  <c r="Z354" i="2"/>
  <c r="K348" i="2"/>
  <c r="U339" i="2"/>
  <c r="F333" i="2"/>
  <c r="R326" i="2"/>
  <c r="C320" i="2"/>
  <c r="T313" i="2"/>
  <c r="Z306" i="2"/>
  <c r="F300" i="2"/>
  <c r="B294" i="2"/>
  <c r="M287" i="2"/>
  <c r="S280" i="2"/>
  <c r="O274" i="2"/>
  <c r="Z267" i="2"/>
  <c r="L261" i="2"/>
  <c r="H255" i="2"/>
  <c r="X248" i="2"/>
  <c r="D241" i="2"/>
  <c r="J234" i="2"/>
  <c r="P227" i="2"/>
  <c r="A221" i="2"/>
  <c r="R214" i="2"/>
  <c r="C208" i="2"/>
  <c r="Y201" i="2"/>
  <c r="K196" i="2"/>
  <c r="Q189" i="2"/>
  <c r="M183" i="2"/>
  <c r="I177" i="2"/>
  <c r="J170" i="2"/>
  <c r="Z163" i="2"/>
  <c r="Q157" i="2"/>
  <c r="H151" i="2"/>
  <c r="S144" i="2"/>
  <c r="N137" i="2"/>
  <c r="T130" i="2"/>
  <c r="F124" i="2"/>
  <c r="Q117" i="2"/>
  <c r="B111" i="2"/>
  <c r="S104" i="2"/>
  <c r="D98" i="2"/>
  <c r="U91" i="2"/>
  <c r="Q85" i="2"/>
  <c r="B79" i="2"/>
  <c r="H72" i="2"/>
  <c r="T65" i="2"/>
  <c r="E59" i="2"/>
  <c r="A53" i="2"/>
  <c r="L46" i="2"/>
  <c r="C40" i="2"/>
  <c r="N33" i="2"/>
  <c r="T26" i="2"/>
  <c r="F20" i="2"/>
  <c r="L13" i="2"/>
  <c r="Q6" i="2"/>
  <c r="G162" i="19"/>
  <c r="J177" i="17"/>
  <c r="C11" i="13"/>
  <c r="D156" i="11"/>
  <c r="D4" i="7"/>
  <c r="E174" i="6"/>
  <c r="E46" i="6"/>
  <c r="R379" i="5"/>
  <c r="N328" i="5"/>
  <c r="J277" i="5"/>
  <c r="F226" i="5"/>
  <c r="B175" i="5"/>
  <c r="R123" i="5"/>
  <c r="N72" i="5"/>
  <c r="J21" i="5"/>
  <c r="C366" i="3"/>
  <c r="D303" i="3"/>
  <c r="AG239" i="3"/>
  <c r="J176" i="3"/>
  <c r="D113" i="3"/>
  <c r="AH49" i="3"/>
  <c r="P412" i="2"/>
  <c r="I409" i="2"/>
  <c r="A405" i="2"/>
  <c r="G398" i="2"/>
  <c r="X391" i="2"/>
  <c r="I385" i="2"/>
  <c r="T378" i="2"/>
  <c r="Z371" i="2"/>
  <c r="Q365" i="2"/>
  <c r="B359" i="2"/>
  <c r="H352" i="2"/>
  <c r="Y345" i="2"/>
  <c r="A341" i="2"/>
  <c r="R334" i="2"/>
  <c r="C328" i="2"/>
  <c r="N321" i="2"/>
  <c r="Z314" i="2"/>
  <c r="K308" i="2"/>
  <c r="B302" i="2"/>
  <c r="B295" i="2"/>
  <c r="H288" i="2"/>
  <c r="D282" i="2"/>
  <c r="E275" i="2"/>
  <c r="P268" i="2"/>
  <c r="B262" i="2"/>
  <c r="B255" i="2"/>
  <c r="H248" i="2"/>
  <c r="D242" i="2"/>
  <c r="P236" i="2"/>
  <c r="G230" i="2"/>
  <c r="R223" i="2"/>
  <c r="X216" i="2"/>
  <c r="J210" i="2"/>
  <c r="F204" i="2"/>
  <c r="U195" i="2"/>
  <c r="L189" i="2"/>
  <c r="G182" i="2"/>
  <c r="M175" i="2"/>
  <c r="I169" i="2"/>
  <c r="O162" i="2"/>
  <c r="P155" i="2"/>
  <c r="A149" i="2"/>
  <c r="W142" i="2"/>
  <c r="N136" i="2"/>
  <c r="D130" i="2"/>
  <c r="P123" i="2"/>
  <c r="A117" i="2"/>
  <c r="L110" i="2"/>
  <c r="R103" i="2"/>
  <c r="D97" i="2"/>
  <c r="J90" i="2"/>
  <c r="E83" i="2"/>
  <c r="V76" i="2"/>
  <c r="G70" i="2"/>
  <c r="X63" i="2"/>
  <c r="M55" i="2"/>
  <c r="U43" i="2"/>
  <c r="C24" i="2"/>
  <c r="M9" i="2"/>
  <c r="D827" i="25"/>
  <c r="C52" i="24"/>
  <c r="G622" i="25"/>
  <c r="A102" i="25"/>
  <c r="E365" i="25"/>
  <c r="D42" i="22"/>
  <c r="G337" i="25"/>
  <c r="E24" i="22"/>
  <c r="D74" i="19"/>
  <c r="H435" i="25"/>
  <c r="G23" i="25"/>
  <c r="B214" i="22"/>
  <c r="C211" i="19"/>
  <c r="H15" i="19"/>
  <c r="E333" i="17"/>
  <c r="E269" i="17"/>
  <c r="E197" i="17"/>
  <c r="E141" i="17"/>
  <c r="E77" i="17"/>
  <c r="E13" i="17"/>
  <c r="C4" i="15"/>
  <c r="A509" i="25"/>
  <c r="F78" i="25"/>
  <c r="B17" i="23"/>
  <c r="B241" i="19"/>
  <c r="G14" i="19"/>
  <c r="L316" i="17"/>
  <c r="H231" i="17"/>
  <c r="H135" i="17"/>
  <c r="D50" i="17"/>
  <c r="B60" i="15"/>
  <c r="A192" i="12"/>
  <c r="E103" i="12"/>
  <c r="E47" i="12"/>
  <c r="F225" i="11"/>
  <c r="F153" i="11"/>
  <c r="F81" i="11"/>
  <c r="F17" i="11"/>
  <c r="F576" i="25"/>
  <c r="E15" i="25"/>
  <c r="C205" i="22"/>
  <c r="F206" i="19"/>
  <c r="E13" i="19"/>
  <c r="C332" i="17"/>
  <c r="C260" i="17"/>
  <c r="C204" i="17"/>
  <c r="C132" i="17"/>
  <c r="C60" i="17"/>
  <c r="H100" i="15"/>
  <c r="A18" i="14"/>
  <c r="B211" i="12"/>
  <c r="G157" i="12"/>
  <c r="B83" i="12"/>
  <c r="E239" i="11"/>
  <c r="C154" i="11"/>
  <c r="H68" i="11"/>
  <c r="D9" i="26"/>
  <c r="D184" i="25"/>
  <c r="B55" i="23"/>
  <c r="A52" i="19"/>
  <c r="G348" i="17"/>
  <c r="G284" i="17"/>
  <c r="G204" i="17"/>
  <c r="G132" i="17"/>
  <c r="G60" i="17"/>
  <c r="D100" i="15"/>
  <c r="G1" i="13"/>
  <c r="D147" i="12"/>
  <c r="B62" i="12"/>
  <c r="C219" i="11"/>
  <c r="C123" i="11"/>
  <c r="H37" i="11"/>
  <c r="H230" i="25"/>
  <c r="D33" i="22"/>
  <c r="F339" i="17"/>
  <c r="F195" i="17"/>
  <c r="F67" i="17"/>
  <c r="F17" i="14"/>
  <c r="H102" i="12"/>
  <c r="A174" i="11"/>
  <c r="E6" i="9"/>
  <c r="B284" i="6"/>
  <c r="B212" i="6"/>
  <c r="B148" i="6"/>
  <c r="B84" i="6"/>
  <c r="B12" i="6"/>
  <c r="O389" i="5"/>
  <c r="G367" i="5"/>
  <c r="O341" i="5"/>
  <c r="C316" i="5"/>
  <c r="K290" i="5"/>
  <c r="S264" i="5"/>
  <c r="S232" i="5"/>
  <c r="G207" i="5"/>
  <c r="O181" i="5"/>
  <c r="C156" i="5"/>
  <c r="G127" i="5"/>
  <c r="O101" i="5"/>
  <c r="C76" i="5"/>
  <c r="O53" i="5"/>
  <c r="C28" i="5"/>
  <c r="AE408" i="3"/>
  <c r="D377" i="3"/>
  <c r="AE345" i="3"/>
  <c r="E310" i="3"/>
  <c r="J278" i="3"/>
  <c r="AJ242" i="3"/>
  <c r="D207" i="3"/>
  <c r="AH167" i="3"/>
  <c r="D136" i="3"/>
  <c r="H104" i="3"/>
  <c r="AG76" i="3"/>
  <c r="A45" i="3"/>
  <c r="F312" i="25"/>
  <c r="D89" i="22"/>
  <c r="N350" i="17"/>
  <c r="N206" i="17"/>
  <c r="N78" i="17"/>
  <c r="E9" i="15"/>
  <c r="C98" i="12"/>
  <c r="A148" i="11"/>
  <c r="B35" i="8"/>
  <c r="C6" i="7"/>
  <c r="H256" i="6"/>
  <c r="D214" i="6"/>
  <c r="H176" i="6"/>
  <c r="D127" i="6"/>
  <c r="D91" i="6"/>
  <c r="D63" i="6"/>
  <c r="D27" i="6"/>
  <c r="M411" i="5"/>
  <c r="E397" i="5"/>
  <c r="I384" i="5"/>
  <c r="M371" i="5"/>
  <c r="I360" i="5"/>
  <c r="I344" i="5"/>
  <c r="M331" i="5"/>
  <c r="Q318" i="5"/>
  <c r="M307" i="5"/>
  <c r="I296" i="5"/>
  <c r="A282" i="5"/>
  <c r="E269" i="5"/>
  <c r="I256" i="5"/>
  <c r="M243" i="5"/>
  <c r="Q230" i="5"/>
  <c r="I216" i="5"/>
  <c r="A202" i="5"/>
  <c r="M187" i="5"/>
  <c r="Q174" i="5"/>
  <c r="A162" i="5"/>
  <c r="E149" i="5"/>
  <c r="I136" i="5"/>
  <c r="A122" i="5"/>
  <c r="Q110" i="5"/>
  <c r="A98" i="5"/>
  <c r="E85" i="5"/>
  <c r="A74" i="5"/>
  <c r="Q62" i="5"/>
  <c r="A50" i="5"/>
  <c r="M35" i="5"/>
  <c r="Q22" i="5"/>
  <c r="L11" i="5"/>
  <c r="D404" i="3"/>
  <c r="F390" i="3"/>
  <c r="AD374" i="3"/>
  <c r="AG356" i="3"/>
  <c r="A341" i="3"/>
  <c r="H325" i="3"/>
  <c r="AE309" i="3"/>
  <c r="AI291" i="3"/>
  <c r="AJ277" i="3"/>
  <c r="AJ269" i="3"/>
  <c r="A262" i="3"/>
  <c r="D252" i="3"/>
  <c r="F240" i="3"/>
  <c r="H222" i="3"/>
  <c r="J204" i="3"/>
  <c r="AI188" i="3"/>
  <c r="D173" i="3"/>
  <c r="G157" i="3"/>
  <c r="J139" i="3"/>
  <c r="AE123" i="3"/>
  <c r="AH107" i="3"/>
  <c r="A94" i="3"/>
  <c r="C78" i="3"/>
  <c r="D64" i="3"/>
  <c r="G48" i="3"/>
  <c r="D85" i="24"/>
  <c r="G188" i="19"/>
  <c r="B320" i="17"/>
  <c r="B160" i="17"/>
  <c r="B32" i="17"/>
  <c r="H185" i="12"/>
  <c r="C15" i="12"/>
  <c r="D86" i="11"/>
  <c r="A19" i="8"/>
  <c r="C267" i="6"/>
  <c r="C203" i="6"/>
  <c r="C131" i="6"/>
  <c r="C51" i="6"/>
  <c r="P411" i="5"/>
  <c r="D386" i="5"/>
  <c r="H357" i="5"/>
  <c r="P331" i="5"/>
  <c r="P299" i="5"/>
  <c r="D274" i="5"/>
  <c r="H245" i="5"/>
  <c r="L216" i="5"/>
  <c r="L184" i="5"/>
  <c r="L152" i="5"/>
  <c r="P123" i="5"/>
  <c r="T94" i="5"/>
  <c r="D66" i="5"/>
  <c r="H37" i="5"/>
  <c r="O11" i="5"/>
  <c r="H384" i="3"/>
  <c r="AH356" i="3"/>
  <c r="I325" i="3"/>
  <c r="AI293" i="3"/>
  <c r="B266" i="3"/>
  <c r="H234" i="3"/>
  <c r="AE202" i="3"/>
  <c r="F163" i="3"/>
  <c r="AE131" i="3"/>
  <c r="B92" i="3"/>
  <c r="H56" i="3"/>
  <c r="AG19" i="3"/>
  <c r="D670" i="25"/>
  <c r="C51" i="23"/>
  <c r="E27" i="19"/>
  <c r="B241" i="17"/>
  <c r="B97" i="17"/>
  <c r="A45" i="15"/>
  <c r="F120" i="12"/>
  <c r="D170" i="11"/>
  <c r="F1" i="11"/>
  <c r="G290" i="6"/>
  <c r="G218" i="6"/>
  <c r="G146" i="6"/>
  <c r="G66" i="6"/>
  <c r="L411" i="5"/>
  <c r="P382" i="5"/>
  <c r="P350" i="5"/>
  <c r="P318" i="5"/>
  <c r="T289" i="5"/>
  <c r="D261" i="5"/>
  <c r="P238" i="5"/>
  <c r="T217" i="5"/>
  <c r="P198" i="5"/>
  <c r="H184" i="5"/>
  <c r="T169" i="5"/>
  <c r="D157" i="5"/>
  <c r="H144" i="5"/>
  <c r="L131" i="5"/>
  <c r="P118" i="5"/>
  <c r="T105" i="5"/>
  <c r="L91" i="5"/>
  <c r="D77" i="5"/>
  <c r="H64" i="5"/>
  <c r="H56" i="5"/>
  <c r="D45" i="5"/>
  <c r="P30" i="5"/>
  <c r="T17" i="5"/>
  <c r="O6" i="5"/>
  <c r="B398" i="3"/>
  <c r="E382" i="3"/>
  <c r="I364" i="3"/>
  <c r="AF348" i="3"/>
  <c r="C331" i="3"/>
  <c r="H313" i="3"/>
  <c r="AE297" i="3"/>
  <c r="AG279" i="3"/>
  <c r="AH263" i="3"/>
  <c r="B246" i="3"/>
  <c r="D230" i="3"/>
  <c r="F212" i="3"/>
  <c r="H196" i="3"/>
  <c r="AI178" i="3"/>
  <c r="B163" i="3"/>
  <c r="F145" i="3"/>
  <c r="G127" i="3"/>
  <c r="AE109" i="3"/>
  <c r="AG95" i="3"/>
  <c r="AI79" i="3"/>
  <c r="A64" i="3"/>
  <c r="D46" i="3"/>
  <c r="F38" i="3"/>
  <c r="G28" i="3"/>
  <c r="AE17" i="3"/>
  <c r="AE9" i="3"/>
  <c r="C307" i="25"/>
  <c r="B80" i="22"/>
  <c r="J346" i="17"/>
  <c r="J218" i="17"/>
  <c r="J74" i="17"/>
  <c r="B25" i="14"/>
  <c r="C105" i="12"/>
  <c r="D200" i="11"/>
  <c r="A115" i="11"/>
  <c r="G29" i="11"/>
  <c r="A159" i="6"/>
  <c r="A79" i="6"/>
  <c r="A7" i="6"/>
  <c r="F387" i="5"/>
  <c r="N361" i="5"/>
  <c r="B336" i="5"/>
  <c r="J310" i="5"/>
  <c r="N281" i="5"/>
  <c r="R252" i="5"/>
  <c r="F227" i="5"/>
  <c r="R204" i="5"/>
  <c r="B176" i="5"/>
  <c r="F147" i="5"/>
  <c r="F115" i="5"/>
  <c r="N89" i="5"/>
  <c r="J38" i="5"/>
  <c r="M9" i="5"/>
  <c r="B386" i="3"/>
  <c r="I350" i="3"/>
  <c r="E319" i="3"/>
  <c r="AD287" i="3"/>
  <c r="AG255" i="3"/>
  <c r="C220" i="3"/>
  <c r="AD188" i="3"/>
  <c r="C153" i="3"/>
  <c r="G117" i="3"/>
  <c r="AG85" i="3"/>
  <c r="B50" i="3"/>
  <c r="J20" i="3"/>
  <c r="A777" i="25"/>
  <c r="C91" i="23"/>
  <c r="G126" i="19"/>
  <c r="J292" i="17"/>
  <c r="J148" i="17"/>
  <c r="A114" i="15"/>
  <c r="F166" i="12"/>
  <c r="A235" i="11"/>
  <c r="G85" i="11"/>
  <c r="G31" i="8"/>
  <c r="A278" i="6"/>
  <c r="A206" i="6"/>
  <c r="A142" i="6"/>
  <c r="A78" i="6"/>
  <c r="A6" i="6"/>
  <c r="F381" i="5"/>
  <c r="F349" i="5"/>
  <c r="N323" i="5"/>
  <c r="B298" i="5"/>
  <c r="J272" i="5"/>
  <c r="R246" i="5"/>
  <c r="F221" i="5"/>
  <c r="N195" i="5"/>
  <c r="B170" i="5"/>
  <c r="J144" i="5"/>
  <c r="B122" i="5"/>
  <c r="F93" i="5"/>
  <c r="N67" i="5"/>
  <c r="N35" i="5"/>
  <c r="Q6" i="5"/>
  <c r="AF378" i="3"/>
  <c r="A351" i="3"/>
  <c r="AG319" i="3"/>
  <c r="A296" i="3"/>
  <c r="C268" i="3"/>
  <c r="J236" i="3"/>
  <c r="AG204" i="3"/>
  <c r="G169" i="3"/>
  <c r="AG137" i="3"/>
  <c r="A102" i="3"/>
  <c r="G66" i="3"/>
  <c r="AF34" i="3"/>
  <c r="AH10" i="3"/>
  <c r="W409" i="2"/>
  <c r="Y404" i="2"/>
  <c r="A400" i="2"/>
  <c r="S395" i="2"/>
  <c r="K391" i="2"/>
  <c r="M386" i="2"/>
  <c r="O381" i="2"/>
  <c r="Q376" i="2"/>
  <c r="I372" i="2"/>
  <c r="U366" i="2"/>
  <c r="G361" i="2"/>
  <c r="S355" i="2"/>
  <c r="U350" i="2"/>
  <c r="W345" i="2"/>
  <c r="I340" i="2"/>
  <c r="K335" i="2"/>
  <c r="W329" i="2"/>
  <c r="S323" i="2"/>
  <c r="U318" i="2"/>
  <c r="G313" i="2"/>
  <c r="I308" i="2"/>
  <c r="U302" i="2"/>
  <c r="Q296" i="2"/>
  <c r="S291" i="2"/>
  <c r="O285" i="2"/>
  <c r="A280" i="2"/>
  <c r="C275" i="2"/>
  <c r="O269" i="2"/>
  <c r="Q264" i="2"/>
  <c r="B538" i="25"/>
  <c r="B691" i="25"/>
  <c r="B320" i="25"/>
  <c r="H414" i="25"/>
  <c r="D108" i="19"/>
  <c r="E57" i="25"/>
  <c r="C230" i="19"/>
  <c r="A330" i="17"/>
  <c r="A202" i="17"/>
  <c r="A74" i="17"/>
  <c r="H27" i="14"/>
  <c r="B108" i="24"/>
  <c r="B196" i="19"/>
  <c r="L301" i="17"/>
  <c r="D131" i="17"/>
  <c r="F53" i="15"/>
  <c r="A108" i="12"/>
  <c r="B222" i="11"/>
  <c r="B94" i="11"/>
  <c r="A741" i="25"/>
  <c r="G77" i="23"/>
  <c r="C43" i="19"/>
  <c r="K280" i="17"/>
  <c r="K152" i="17"/>
  <c r="K24" i="17"/>
  <c r="G195" i="12"/>
  <c r="B25" i="12"/>
  <c r="C96" i="11"/>
  <c r="D389" i="25"/>
  <c r="C145" i="22"/>
  <c r="O376" i="17"/>
  <c r="O248" i="17"/>
  <c r="O120" i="17"/>
  <c r="D93" i="15"/>
  <c r="D153" i="12"/>
  <c r="C225" i="11"/>
  <c r="E54" i="11"/>
  <c r="G166" i="22"/>
  <c r="F252" i="17"/>
  <c r="E100" i="15"/>
  <c r="G228" i="11"/>
  <c r="H8" i="8"/>
  <c r="F192" i="6"/>
  <c r="F64" i="6"/>
  <c r="G388" i="5"/>
  <c r="C337" i="5"/>
  <c r="S285" i="5"/>
  <c r="O234" i="5"/>
  <c r="K183" i="5"/>
  <c r="G132" i="5"/>
  <c r="C81" i="5"/>
  <c r="S29" i="5"/>
  <c r="G379" i="3"/>
  <c r="H316" i="3"/>
  <c r="B253" i="3"/>
  <c r="AG189" i="3"/>
  <c r="I126" i="3"/>
  <c r="B63" i="3"/>
  <c r="C35" i="25"/>
  <c r="N327" i="17"/>
  <c r="N71" i="17"/>
  <c r="H88" i="12"/>
  <c r="E9" i="9"/>
  <c r="H270" i="6"/>
  <c r="D185" i="6"/>
  <c r="H109" i="6"/>
  <c r="H45" i="6"/>
  <c r="E406" i="5"/>
  <c r="M380" i="5"/>
  <c r="A355" i="5"/>
  <c r="I329" i="5"/>
  <c r="Q303" i="5"/>
  <c r="E278" i="5"/>
  <c r="M252" i="5"/>
  <c r="A227" i="5"/>
  <c r="I201" i="5"/>
  <c r="Q175" i="5"/>
  <c r="E150" i="5"/>
  <c r="M124" i="5"/>
  <c r="A99" i="5"/>
  <c r="I73" i="5"/>
  <c r="Q47" i="5"/>
  <c r="E22" i="5"/>
  <c r="H401" i="3"/>
  <c r="AJ369" i="3"/>
  <c r="G338" i="3"/>
  <c r="A307" i="3"/>
  <c r="D275" i="3"/>
  <c r="J243" i="3"/>
  <c r="AG211" i="3"/>
  <c r="E180" i="3"/>
  <c r="AF148" i="3"/>
  <c r="AJ116" i="3"/>
  <c r="F85" i="3"/>
  <c r="AE53" i="3"/>
  <c r="AI21" i="3"/>
  <c r="G164" i="19"/>
  <c r="B186" i="17"/>
  <c r="C14" i="13"/>
  <c r="D142" i="11"/>
  <c r="C288" i="6"/>
  <c r="C160" i="6"/>
  <c r="C32" i="6"/>
  <c r="H375" i="5"/>
  <c r="D324" i="5"/>
  <c r="T272" i="5"/>
  <c r="P221" i="5"/>
  <c r="L170" i="5"/>
  <c r="H119" i="5"/>
  <c r="D68" i="5"/>
  <c r="T16" i="5"/>
  <c r="E363" i="3"/>
  <c r="G300" i="3"/>
  <c r="AJ236" i="3"/>
  <c r="AG173" i="3"/>
  <c r="G110" i="3"/>
  <c r="AJ46" i="3"/>
  <c r="B591" i="25"/>
  <c r="F14" i="19"/>
  <c r="B139" i="17"/>
  <c r="F176" i="12"/>
  <c r="A77" i="11"/>
  <c r="G263" i="6"/>
  <c r="G135" i="6"/>
  <c r="G7" i="6"/>
  <c r="L365" i="5"/>
  <c r="H314" i="5"/>
  <c r="D263" i="5"/>
  <c r="D217" i="5"/>
  <c r="D187" i="5"/>
  <c r="L161" i="5"/>
  <c r="T135" i="5"/>
  <c r="H110" i="5"/>
  <c r="P84" i="5"/>
  <c r="D59" i="5"/>
  <c r="L33" i="5"/>
  <c r="S7" i="5"/>
  <c r="AF383" i="3"/>
  <c r="C352" i="3"/>
  <c r="AI320" i="3"/>
  <c r="D289" i="3"/>
  <c r="G257" i="3"/>
  <c r="AG225" i="3"/>
  <c r="B194" i="3"/>
  <c r="J162" i="3"/>
  <c r="AI130" i="3"/>
  <c r="C99" i="3"/>
  <c r="I67" i="3"/>
  <c r="AH35" i="3"/>
  <c r="G13" i="3"/>
  <c r="F80" i="23"/>
  <c r="J278" i="17"/>
  <c r="J22" i="17"/>
  <c r="F14" i="12"/>
  <c r="G20" i="8"/>
  <c r="A205" i="6"/>
  <c r="A77" i="6"/>
  <c r="R392" i="5"/>
  <c r="N341" i="5"/>
  <c r="J290" i="5"/>
  <c r="F239" i="5"/>
  <c r="B188" i="5"/>
  <c r="R136" i="5"/>
  <c r="N85" i="5"/>
  <c r="J34" i="5"/>
  <c r="B385" i="3"/>
  <c r="E322" i="3"/>
  <c r="AG258" i="3"/>
  <c r="G195" i="3"/>
  <c r="E132" i="3"/>
  <c r="AI68" i="3"/>
  <c r="B14" i="3"/>
  <c r="B48" i="22"/>
  <c r="J240" i="17"/>
  <c r="A74" i="15"/>
  <c r="D208" i="11"/>
  <c r="H15" i="7"/>
  <c r="A180" i="6"/>
  <c r="A52" i="6"/>
  <c r="N383" i="5"/>
  <c r="J332" i="5"/>
  <c r="F281" i="5"/>
  <c r="B230" i="5"/>
  <c r="R178" i="5"/>
  <c r="N127" i="5"/>
  <c r="J76" i="5"/>
  <c r="F25" i="5"/>
  <c r="AH373" i="3"/>
  <c r="AH310" i="3"/>
  <c r="H247" i="3"/>
  <c r="D184" i="3"/>
  <c r="AH120" i="3"/>
  <c r="J57" i="3"/>
  <c r="F8" i="3"/>
  <c r="E404" i="2"/>
  <c r="I394" i="2"/>
  <c r="M384" i="2"/>
  <c r="Q374" i="2"/>
  <c r="U364" i="2"/>
  <c r="Y354" i="2"/>
  <c r="C345" i="2"/>
  <c r="G335" i="2"/>
  <c r="K325" i="2"/>
  <c r="O315" i="2"/>
  <c r="S305" i="2"/>
  <c r="W295" i="2"/>
  <c r="A286" i="2"/>
  <c r="E276" i="2"/>
  <c r="I266" i="2"/>
  <c r="C259" i="2"/>
  <c r="E254" i="2"/>
  <c r="G249" i="2"/>
  <c r="I244" i="2"/>
  <c r="K239" i="2"/>
  <c r="M234" i="2"/>
  <c r="O229" i="2"/>
  <c r="Q224" i="2"/>
  <c r="S219" i="2"/>
  <c r="U214" i="2"/>
  <c r="W209" i="2"/>
  <c r="Y204" i="2"/>
  <c r="A200" i="2"/>
  <c r="C195" i="2"/>
  <c r="E190" i="2"/>
  <c r="G185" i="2"/>
  <c r="I180" i="2"/>
  <c r="K175" i="2"/>
  <c r="M170" i="2"/>
  <c r="O165" i="2"/>
  <c r="Q160" i="2"/>
  <c r="S155" i="2"/>
  <c r="U150" i="2"/>
  <c r="W145" i="2"/>
  <c r="Y140" i="2"/>
  <c r="A136" i="2"/>
  <c r="C131" i="2"/>
  <c r="E126" i="2"/>
  <c r="G121" i="2"/>
  <c r="I116" i="2"/>
  <c r="K111" i="2"/>
  <c r="M106" i="2"/>
  <c r="O101" i="2"/>
  <c r="Q96" i="2"/>
  <c r="S91" i="2"/>
  <c r="U86" i="2"/>
  <c r="W81" i="2"/>
  <c r="Y76" i="2"/>
  <c r="A72" i="2"/>
  <c r="C67" i="2"/>
  <c r="E62" i="2"/>
  <c r="G57" i="2"/>
  <c r="I52" i="2"/>
  <c r="K47" i="2"/>
  <c r="M42" i="2"/>
  <c r="O37" i="2"/>
  <c r="Q32" i="2"/>
  <c r="S27" i="2"/>
  <c r="U22" i="2"/>
  <c r="W17" i="2"/>
  <c r="Y12" i="2"/>
  <c r="Z7" i="2"/>
  <c r="B172" i="25"/>
  <c r="G282" i="19"/>
  <c r="J347" i="17"/>
  <c r="J219" i="17"/>
  <c r="J91" i="17"/>
  <c r="A32" i="15"/>
  <c r="H111" i="12"/>
  <c r="D180" i="11"/>
  <c r="G9" i="11"/>
  <c r="D7" i="7"/>
  <c r="E235" i="6"/>
  <c r="E171" i="6"/>
  <c r="E107" i="6"/>
  <c r="E43" i="6"/>
  <c r="B405" i="5"/>
  <c r="J379" i="5"/>
  <c r="R353" i="5"/>
  <c r="F328" i="5"/>
  <c r="N302" i="5"/>
  <c r="B277" i="5"/>
  <c r="J251" i="5"/>
  <c r="R225" i="5"/>
  <c r="F200" i="5"/>
  <c r="N174" i="5"/>
  <c r="B149" i="5"/>
  <c r="J123" i="5"/>
  <c r="R97" i="5"/>
  <c r="F72" i="5"/>
  <c r="N46" i="5"/>
  <c r="B21" i="5"/>
  <c r="C400" i="3"/>
  <c r="AE368" i="3"/>
  <c r="B337" i="3"/>
  <c r="AF305" i="3"/>
  <c r="AI273" i="3"/>
  <c r="E242" i="3"/>
  <c r="I210" i="3"/>
  <c r="A179" i="3"/>
  <c r="H147" i="3"/>
  <c r="AE115" i="3"/>
  <c r="A84" i="3"/>
  <c r="F52" i="3"/>
  <c r="B22" i="3"/>
  <c r="B425" i="25"/>
  <c r="J137" i="17"/>
  <c r="G81" i="11"/>
  <c r="E138" i="6"/>
  <c r="N368" i="5"/>
  <c r="F266" i="5"/>
  <c r="R163" i="5"/>
  <c r="J61" i="5"/>
  <c r="D356" i="3"/>
  <c r="AH229" i="3"/>
  <c r="E103" i="3"/>
  <c r="T412" i="2"/>
  <c r="F406" i="2"/>
  <c r="Q399" i="2"/>
  <c r="B393" i="2"/>
  <c r="N386" i="2"/>
  <c r="Y379" i="2"/>
  <c r="J373" i="2"/>
  <c r="V366" i="2"/>
  <c r="G360" i="2"/>
  <c r="R353" i="2"/>
  <c r="D347" i="2"/>
  <c r="O340" i="2"/>
  <c r="Z333" i="2"/>
  <c r="L327" i="2"/>
  <c r="W320" i="2"/>
  <c r="H314" i="2"/>
  <c r="T307" i="2"/>
  <c r="E301" i="2"/>
  <c r="P294" i="2"/>
  <c r="B288" i="2"/>
  <c r="M281" i="2"/>
  <c r="X274" i="2"/>
  <c r="J268" i="2"/>
  <c r="U261" i="2"/>
  <c r="F255" i="2"/>
  <c r="R248" i="2"/>
  <c r="C242" i="2"/>
  <c r="N235" i="2"/>
  <c r="Z228" i="2"/>
  <c r="K222" i="2"/>
  <c r="V215" i="2"/>
  <c r="H209" i="2"/>
  <c r="S202" i="2"/>
  <c r="D196" i="2"/>
  <c r="P189" i="2"/>
  <c r="A183" i="2"/>
  <c r="L176" i="2"/>
  <c r="X169" i="2"/>
  <c r="I163" i="2"/>
  <c r="T156" i="2"/>
  <c r="F150" i="2"/>
  <c r="Q143" i="2"/>
  <c r="B137" i="2"/>
  <c r="N130" i="2"/>
  <c r="Y123" i="2"/>
  <c r="J117" i="2"/>
  <c r="V110" i="2"/>
  <c r="G104" i="2"/>
  <c r="R97" i="2"/>
  <c r="D91" i="2"/>
  <c r="O84" i="2"/>
  <c r="Z77" i="2"/>
  <c r="L71" i="2"/>
  <c r="W64" i="2"/>
  <c r="H58" i="2"/>
  <c r="T51" i="2"/>
  <c r="E45" i="2"/>
  <c r="P38" i="2"/>
  <c r="B32" i="2"/>
  <c r="M25" i="2"/>
  <c r="X18" i="2"/>
  <c r="I12" i="2"/>
  <c r="C6" i="3"/>
  <c r="O406" i="2"/>
  <c r="Z399" i="2"/>
  <c r="L393" i="2"/>
  <c r="W386" i="2"/>
  <c r="H380" i="2"/>
  <c r="T373" i="2"/>
  <c r="E367" i="2"/>
  <c r="P360" i="2"/>
  <c r="B354" i="2"/>
  <c r="M347" i="2"/>
  <c r="X340" i="2"/>
  <c r="J334" i="2"/>
  <c r="U327" i="2"/>
  <c r="F321" i="2"/>
  <c r="R314" i="2"/>
  <c r="C308" i="2"/>
  <c r="N301" i="2"/>
  <c r="Z294" i="2"/>
  <c r="K288" i="2"/>
  <c r="V281" i="2"/>
  <c r="H275" i="2"/>
  <c r="S268" i="2"/>
  <c r="D262" i="2"/>
  <c r="P255" i="2"/>
  <c r="A249" i="2"/>
  <c r="L242" i="2"/>
  <c r="X235" i="2"/>
  <c r="I229" i="2"/>
  <c r="T222" i="2"/>
  <c r="F216" i="2"/>
  <c r="Q209" i="2"/>
  <c r="B203" i="2"/>
  <c r="N196" i="2"/>
  <c r="Y189" i="2"/>
  <c r="J183" i="2"/>
  <c r="V176" i="2"/>
  <c r="G170" i="2"/>
  <c r="R163" i="2"/>
  <c r="D157" i="2"/>
  <c r="O150" i="2"/>
  <c r="Z143" i="2"/>
  <c r="L137" i="2"/>
  <c r="W130" i="2"/>
  <c r="H124" i="2"/>
  <c r="T117" i="2"/>
  <c r="E111" i="2"/>
  <c r="P104" i="2"/>
  <c r="B98" i="2"/>
  <c r="M91" i="2"/>
  <c r="X84" i="2"/>
  <c r="J78" i="2"/>
  <c r="U71" i="2"/>
  <c r="F65" i="2"/>
  <c r="R58" i="2"/>
  <c r="C52" i="2"/>
  <c r="N45" i="2"/>
  <c r="Z38" i="2"/>
  <c r="K32" i="2"/>
  <c r="V25" i="2"/>
  <c r="H19" i="2"/>
  <c r="R12" i="2"/>
  <c r="C6" i="2"/>
  <c r="X406" i="2"/>
  <c r="J400" i="2"/>
  <c r="U393" i="2"/>
  <c r="F387" i="2"/>
  <c r="R380" i="2"/>
  <c r="C374" i="2"/>
  <c r="N367" i="2"/>
  <c r="Z360" i="2"/>
  <c r="K354" i="2"/>
  <c r="V347" i="2"/>
  <c r="H341" i="2"/>
  <c r="S334" i="2"/>
  <c r="D328" i="2"/>
  <c r="P321" i="2"/>
  <c r="A315" i="2"/>
  <c r="L308" i="2"/>
  <c r="X301" i="2"/>
  <c r="I295" i="2"/>
  <c r="T288" i="2"/>
  <c r="F282" i="2"/>
  <c r="Q275" i="2"/>
  <c r="B269" i="2"/>
  <c r="N262" i="2"/>
  <c r="Y255" i="2"/>
  <c r="J249" i="2"/>
  <c r="V242" i="2"/>
  <c r="G236" i="2"/>
  <c r="R229" i="2"/>
  <c r="D223" i="2"/>
  <c r="O216" i="2"/>
  <c r="Z209" i="2"/>
  <c r="L203" i="2"/>
  <c r="W196" i="2"/>
  <c r="H190" i="2"/>
  <c r="T183" i="2"/>
  <c r="E177" i="2"/>
  <c r="P170" i="2"/>
  <c r="B164" i="2"/>
  <c r="M157" i="2"/>
  <c r="X150" i="2"/>
  <c r="J144" i="2"/>
  <c r="U137" i="2"/>
  <c r="F131" i="2"/>
  <c r="R124" i="2"/>
  <c r="C118" i="2"/>
  <c r="N111" i="2"/>
  <c r="Z104" i="2"/>
  <c r="K98" i="2"/>
  <c r="V91" i="2"/>
  <c r="H85" i="2"/>
  <c r="S78" i="2"/>
  <c r="D72" i="2"/>
  <c r="P65" i="2"/>
  <c r="A59" i="2"/>
  <c r="L52" i="2"/>
  <c r="X45" i="2"/>
  <c r="I39" i="2"/>
  <c r="T32" i="2"/>
  <c r="F26" i="2"/>
  <c r="Q19" i="2"/>
  <c r="B13" i="2"/>
  <c r="M6" i="2"/>
  <c r="J221" i="17"/>
  <c r="G193" i="11"/>
  <c r="E188" i="6"/>
  <c r="N388" i="5"/>
  <c r="F286" i="5"/>
  <c r="R183" i="5"/>
  <c r="J81" i="5"/>
  <c r="AI380" i="3"/>
  <c r="J254" i="3"/>
  <c r="A128" i="3"/>
  <c r="AJ11" i="3"/>
  <c r="J197" i="17"/>
  <c r="G161" i="11"/>
  <c r="E160" i="6"/>
  <c r="F374" i="5"/>
  <c r="R271" i="5"/>
  <c r="J169" i="5"/>
  <c r="B67" i="5"/>
  <c r="C363" i="3"/>
  <c r="AH236" i="3"/>
  <c r="E110" i="3"/>
  <c r="H407" i="2"/>
  <c r="T393" i="2"/>
  <c r="P380" i="2"/>
  <c r="M367" i="2"/>
  <c r="O354" i="2"/>
  <c r="J339" i="2"/>
  <c r="G326" i="2"/>
  <c r="I313" i="2"/>
  <c r="U299" i="2"/>
  <c r="B287" i="2"/>
  <c r="D274" i="2"/>
  <c r="A261" i="2"/>
  <c r="N248" i="2"/>
  <c r="Y233" i="2"/>
  <c r="V220" i="2"/>
  <c r="M207" i="2"/>
  <c r="Z195" i="2"/>
  <c r="B183" i="2"/>
  <c r="Y169" i="2"/>
  <c r="F157" i="2"/>
  <c r="C144" i="2"/>
  <c r="J130" i="2"/>
  <c r="F117" i="2"/>
  <c r="H104" i="2"/>
  <c r="J91" i="2"/>
  <c r="R78" i="2"/>
  <c r="I65" i="2"/>
  <c r="P52" i="2"/>
  <c r="X39" i="2"/>
  <c r="J26" i="2"/>
  <c r="A13" i="2"/>
  <c r="G98" i="19"/>
  <c r="H215" i="12"/>
  <c r="E1" i="7"/>
  <c r="E38" i="6"/>
  <c r="J325" i="5"/>
  <c r="B223" i="5"/>
  <c r="N120" i="5"/>
  <c r="F18" i="5"/>
  <c r="E299" i="3"/>
  <c r="AE172" i="3"/>
  <c r="AH45" i="3"/>
  <c r="D409" i="2"/>
  <c r="V397" i="2"/>
  <c r="X384" i="2"/>
  <c r="P371" i="2"/>
  <c r="R358" i="2"/>
  <c r="N345" i="2"/>
  <c r="G334" i="2"/>
  <c r="D321" i="2"/>
  <c r="F308" i="2"/>
  <c r="R294" i="2"/>
  <c r="T281" i="2"/>
  <c r="F268" i="2"/>
  <c r="R254" i="2"/>
  <c r="Y241" i="2"/>
  <c r="Q229" i="2"/>
  <c r="N216" i="2"/>
  <c r="U203" i="2"/>
  <c r="V188" i="2"/>
  <c r="H175" i="2"/>
  <c r="D162" i="2"/>
  <c r="P148" i="2"/>
  <c r="H136" i="2"/>
  <c r="E123" i="2"/>
  <c r="B110" i="2"/>
  <c r="N96" i="2"/>
  <c r="T82" i="2"/>
  <c r="V69" i="2"/>
  <c r="S56" i="2"/>
  <c r="J43" i="2"/>
  <c r="B30" i="2"/>
  <c r="D17" i="2"/>
  <c r="E13" i="28"/>
  <c r="H20" i="26"/>
  <c r="G603" i="25"/>
  <c r="G775" i="25"/>
  <c r="H150" i="19"/>
  <c r="C171" i="25"/>
  <c r="A4" i="21"/>
  <c r="A346" i="17"/>
  <c r="A218" i="17"/>
  <c r="A90" i="17"/>
  <c r="G29" i="15"/>
  <c r="D112" i="25"/>
  <c r="B260" i="19"/>
  <c r="D323" i="17"/>
  <c r="H152" i="17"/>
  <c r="F85" i="15"/>
  <c r="A92" i="12"/>
  <c r="B206" i="11"/>
  <c r="B78" i="11"/>
  <c r="E47" i="25"/>
  <c r="K328" i="17"/>
  <c r="K104" i="17"/>
  <c r="G131" i="12"/>
  <c r="H74" i="11"/>
  <c r="H59" i="22"/>
  <c r="O232" i="17"/>
  <c r="E27" i="14"/>
  <c r="E118" i="11"/>
  <c r="F284" i="17"/>
  <c r="F29" i="12"/>
  <c r="F176" i="6"/>
  <c r="S381" i="5"/>
  <c r="O266" i="5"/>
  <c r="K151" i="5"/>
  <c r="C49" i="5"/>
  <c r="AJ339" i="3"/>
  <c r="AI181" i="3"/>
  <c r="E55" i="3"/>
  <c r="N295" i="17"/>
  <c r="C46" i="12"/>
  <c r="D281" i="6"/>
  <c r="H117" i="6"/>
  <c r="H5" i="6"/>
  <c r="E358" i="5"/>
  <c r="A275" i="5"/>
  <c r="I217" i="5"/>
  <c r="Q159" i="5"/>
  <c r="M108" i="5"/>
  <c r="A51" i="5"/>
  <c r="I397" i="3"/>
  <c r="I334" i="3"/>
  <c r="D271" i="3"/>
  <c r="AH207" i="3"/>
  <c r="AH136" i="3"/>
  <c r="H65" i="3"/>
  <c r="A78" i="23"/>
  <c r="F28" i="12"/>
  <c r="C208" i="6"/>
  <c r="L394" i="5"/>
  <c r="D292" i="5"/>
  <c r="T176" i="5"/>
  <c r="H87" i="5"/>
  <c r="AJ386" i="3"/>
  <c r="AD260" i="3"/>
  <c r="C134" i="3"/>
  <c r="A15" i="3"/>
  <c r="B171" i="17"/>
  <c r="G119" i="11"/>
  <c r="G183" i="6"/>
  <c r="P384" i="5"/>
  <c r="D295" i="5"/>
  <c r="H204" i="5"/>
  <c r="T151" i="5"/>
  <c r="D107" i="5"/>
  <c r="T55" i="5"/>
  <c r="F411" i="3"/>
  <c r="E348" i="3"/>
  <c r="E277" i="3"/>
  <c r="AG221" i="3"/>
  <c r="AE158" i="3"/>
  <c r="C103" i="3"/>
  <c r="AF47" i="3"/>
  <c r="G7" i="3"/>
  <c r="J246" i="17"/>
  <c r="D216" i="11"/>
  <c r="A189" i="6"/>
  <c r="R360" i="5"/>
  <c r="N245" i="5"/>
  <c r="F143" i="5"/>
  <c r="B28" i="5"/>
  <c r="E314" i="3"/>
  <c r="AE187" i="3"/>
  <c r="AJ60" i="3"/>
  <c r="G238" i="19"/>
  <c r="A10" i="15"/>
  <c r="G13" i="8"/>
  <c r="A36" i="6"/>
  <c r="N351" i="5"/>
  <c r="R274" i="5"/>
  <c r="B198" i="5"/>
  <c r="J108" i="5"/>
  <c r="N31" i="5"/>
  <c r="A302" i="2"/>
  <c r="I282" i="2"/>
  <c r="O267" i="2"/>
  <c r="A256" i="2"/>
  <c r="Y244" i="2"/>
  <c r="O237" i="2"/>
  <c r="M226" i="2"/>
  <c r="C219" i="2"/>
  <c r="A208" i="2"/>
  <c r="Q200" i="2"/>
  <c r="A192" i="2"/>
  <c r="K183" i="2"/>
  <c r="U174" i="2"/>
  <c r="M162" i="2"/>
  <c r="C155" i="2"/>
  <c r="M146" i="2"/>
  <c r="Q136" i="2"/>
  <c r="U126" i="2"/>
  <c r="K119" i="2"/>
  <c r="U110" i="2"/>
  <c r="Y100" i="2"/>
  <c r="C91" i="2"/>
  <c r="A80" i="2"/>
  <c r="E70" i="2"/>
  <c r="I60" i="2"/>
  <c r="M50" i="2"/>
  <c r="Q40" i="2"/>
  <c r="A32" i="2"/>
  <c r="E22" i="2"/>
  <c r="H12" i="2"/>
  <c r="I285" i="25"/>
  <c r="J363" i="17"/>
  <c r="J139" i="17"/>
  <c r="H175" i="12"/>
  <c r="D116" i="11"/>
  <c r="E291" i="6"/>
  <c r="E179" i="6"/>
  <c r="E67" i="6"/>
  <c r="B389" i="5"/>
  <c r="J331" i="5"/>
  <c r="F280" i="5"/>
  <c r="J235" i="5"/>
  <c r="R177" i="5"/>
  <c r="B133" i="5"/>
  <c r="R81" i="5"/>
  <c r="F24" i="5"/>
  <c r="AE372" i="3"/>
  <c r="AD309" i="3"/>
  <c r="B254" i="3"/>
  <c r="AH190" i="3"/>
  <c r="I127" i="3"/>
  <c r="C64" i="3"/>
  <c r="D65" i="24"/>
  <c r="D8" i="7"/>
  <c r="F330" i="5"/>
  <c r="B151" i="5"/>
  <c r="I340" i="3"/>
  <c r="C119" i="3"/>
  <c r="R408" i="2"/>
  <c r="X393" i="2"/>
  <c r="B384" i="2"/>
  <c r="X370" i="2"/>
  <c r="L359" i="2"/>
  <c r="H346" i="2"/>
  <c r="V334" i="2"/>
  <c r="K318" i="2"/>
  <c r="H305" i="2"/>
  <c r="U293" i="2"/>
  <c r="R280" i="2"/>
  <c r="N267" i="2"/>
  <c r="L231" i="2"/>
  <c r="C210" i="2"/>
  <c r="Z196" i="2"/>
  <c r="O180" i="2"/>
  <c r="B169" i="2"/>
  <c r="R152" i="2"/>
  <c r="N139" i="2"/>
  <c r="T124" i="2"/>
  <c r="H113" i="2"/>
  <c r="D100" i="2"/>
  <c r="T83" i="2"/>
  <c r="P70" i="2"/>
  <c r="V55" i="2"/>
  <c r="B41" i="2"/>
  <c r="H26" i="2"/>
  <c r="E13" i="2"/>
  <c r="R410" i="2"/>
  <c r="N397" i="2"/>
  <c r="K384" i="2"/>
  <c r="H371" i="2"/>
  <c r="U359" i="2"/>
  <c r="H348" i="2"/>
  <c r="E335" i="2"/>
  <c r="R323" i="2"/>
  <c r="F312" i="2"/>
  <c r="B299" i="2"/>
  <c r="P287" i="2"/>
  <c r="T277" i="2"/>
  <c r="P264" i="2"/>
  <c r="D253" i="2"/>
  <c r="Q241" i="2"/>
  <c r="N228" i="2"/>
  <c r="J215" i="2"/>
  <c r="X203" i="2"/>
  <c r="T190" i="2"/>
  <c r="Q177" i="2"/>
  <c r="D166" i="2"/>
  <c r="A153" i="2"/>
  <c r="G138" i="2"/>
  <c r="V121" i="2"/>
  <c r="S108" i="2"/>
  <c r="P95" i="2"/>
  <c r="L82" i="2"/>
  <c r="I69" i="2"/>
  <c r="V57" i="2"/>
  <c r="S44" i="2"/>
  <c r="P31" i="2"/>
  <c r="L18" i="2"/>
  <c r="R412" i="2"/>
  <c r="N399" i="2"/>
  <c r="K386" i="2"/>
  <c r="X374" i="2"/>
  <c r="D360" i="2"/>
  <c r="J345" i="2"/>
  <c r="N335" i="2"/>
  <c r="B324" i="2"/>
  <c r="X310" i="2"/>
  <c r="L299" i="2"/>
  <c r="H286" i="2"/>
  <c r="N271" i="2"/>
  <c r="K258" i="2"/>
  <c r="H245" i="2"/>
  <c r="L235" i="2"/>
  <c r="R220" i="2"/>
  <c r="X205" i="2"/>
  <c r="T192" i="2"/>
  <c r="H181" i="2"/>
  <c r="D168" i="2"/>
  <c r="J153" i="2"/>
  <c r="G140" i="2"/>
  <c r="M125" i="2"/>
  <c r="S110" i="2"/>
  <c r="P97" i="2"/>
  <c r="L84" i="2"/>
  <c r="Z72" i="2"/>
  <c r="V59" i="2"/>
  <c r="J48" i="2"/>
  <c r="F35" i="2"/>
  <c r="C22" i="2"/>
  <c r="A118" i="23"/>
  <c r="E284" i="6"/>
  <c r="N324" i="5"/>
  <c r="R119" i="5"/>
  <c r="G270" i="3"/>
  <c r="AJ19" i="3"/>
  <c r="F178" i="12"/>
  <c r="E128" i="6"/>
  <c r="N284" i="5"/>
  <c r="R79" i="5"/>
  <c r="AE252" i="3"/>
  <c r="AJ10" i="3"/>
  <c r="B382" i="2"/>
  <c r="X352" i="2"/>
  <c r="P324" i="2"/>
  <c r="J298" i="2"/>
  <c r="U275" i="2"/>
  <c r="D250" i="2"/>
  <c r="N225" i="2"/>
  <c r="N200" i="2"/>
  <c r="P171" i="2"/>
  <c r="Y145" i="2"/>
  <c r="W118" i="2"/>
  <c r="R102" i="2"/>
  <c r="U83" i="2"/>
  <c r="B54" i="2"/>
  <c r="Z27" i="2"/>
  <c r="G74" i="22"/>
  <c r="C4" i="8"/>
  <c r="R363" i="5"/>
  <c r="B159" i="5"/>
  <c r="A315" i="3"/>
  <c r="AJ29" i="3"/>
  <c r="M399" i="2"/>
  <c r="X376" i="2"/>
  <c r="N353" i="2"/>
  <c r="X335" i="2"/>
  <c r="J306" i="2"/>
  <c r="J283" i="2"/>
  <c r="N249" i="2"/>
  <c r="Q221" i="2"/>
  <c r="T193" i="2"/>
  <c r="O170" i="2"/>
  <c r="X143" i="2"/>
  <c r="G118" i="2"/>
  <c r="P91" i="2"/>
  <c r="D65" i="2"/>
  <c r="Y41" i="2"/>
  <c r="B22" i="2"/>
  <c r="I840" i="25"/>
  <c r="C434" i="25"/>
  <c r="H87" i="24"/>
  <c r="H64" i="25"/>
  <c r="D44" i="19"/>
  <c r="C45" i="23"/>
  <c r="A274" i="17"/>
  <c r="A18" i="17"/>
  <c r="F236" i="22"/>
  <c r="H184" i="17"/>
  <c r="A116" i="12"/>
  <c r="B102" i="11"/>
  <c r="E120" i="23"/>
  <c r="K320" i="17"/>
  <c r="K32" i="17"/>
  <c r="G35" i="12"/>
  <c r="D216" i="25"/>
  <c r="O352" i="17"/>
  <c r="O96" i="17"/>
  <c r="B164" i="12"/>
  <c r="C65" i="11"/>
  <c r="F332" i="17"/>
  <c r="H178" i="12"/>
  <c r="F264" i="6"/>
  <c r="F8" i="6"/>
  <c r="O314" i="5"/>
  <c r="C225" i="5"/>
  <c r="S109" i="5"/>
  <c r="C399" i="3"/>
  <c r="AJ256" i="3"/>
  <c r="H130" i="3"/>
  <c r="A149" i="25"/>
  <c r="N87" i="17"/>
  <c r="G10" i="11"/>
  <c r="D212" i="6"/>
  <c r="H81" i="6"/>
  <c r="M388" i="5"/>
  <c r="Q343" i="5"/>
  <c r="E286" i="5"/>
  <c r="I241" i="5"/>
  <c r="E190" i="5"/>
  <c r="Q151" i="5"/>
  <c r="M100" i="5"/>
  <c r="I49" i="5"/>
  <c r="H403" i="3"/>
  <c r="D348" i="3"/>
  <c r="D277" i="3"/>
  <c r="AG213" i="3"/>
  <c r="AH134" i="3"/>
  <c r="G71" i="3"/>
  <c r="G47" i="25"/>
  <c r="B74" i="17"/>
  <c r="C1" i="10"/>
  <c r="C40" i="6"/>
  <c r="H327" i="5"/>
  <c r="T224" i="5"/>
  <c r="H135" i="5"/>
  <c r="T32" i="5"/>
  <c r="C320" i="3"/>
  <c r="G193" i="3"/>
  <c r="AG66" i="3"/>
  <c r="D5" i="22"/>
  <c r="A33" i="15"/>
  <c r="E23" i="8"/>
  <c r="G79" i="6"/>
  <c r="T355" i="5"/>
  <c r="H266" i="5"/>
  <c r="P188" i="5"/>
  <c r="L137" i="5"/>
  <c r="P92" i="5"/>
  <c r="T47" i="5"/>
  <c r="I401" i="3"/>
  <c r="H338" i="3"/>
  <c r="D291" i="3"/>
  <c r="AF235" i="3"/>
  <c r="I172" i="3"/>
  <c r="A117" i="3"/>
  <c r="AF53" i="3"/>
  <c r="B1" i="27"/>
  <c r="J102" i="17"/>
  <c r="G28" i="8"/>
  <c r="A117" i="6"/>
  <c r="R344" i="5"/>
  <c r="F255" i="5"/>
  <c r="R152" i="5"/>
  <c r="J50" i="5"/>
  <c r="AF341" i="3"/>
  <c r="E199" i="3"/>
  <c r="AH72" i="3"/>
  <c r="D133" i="22"/>
  <c r="J64" i="17"/>
  <c r="A59" i="11"/>
  <c r="A92" i="6"/>
  <c r="J348" i="5"/>
  <c r="B246" i="5"/>
  <c r="R130" i="5"/>
  <c r="J28" i="5"/>
  <c r="A299" i="3"/>
  <c r="J156" i="3"/>
  <c r="F18" i="3"/>
  <c r="K397" i="2"/>
  <c r="S377" i="2"/>
  <c r="M360" i="2"/>
  <c r="U340" i="2"/>
  <c r="C321" i="2"/>
  <c r="W303" i="2"/>
  <c r="G279" i="2"/>
  <c r="U260" i="2"/>
  <c r="Y250" i="2"/>
  <c r="I242" i="2"/>
  <c r="Y234" i="2"/>
  <c r="C225" i="2"/>
  <c r="M216" i="2"/>
  <c r="Q206" i="2"/>
  <c r="O195" i="2"/>
  <c r="M184" i="2"/>
  <c r="Q174" i="2"/>
  <c r="U164" i="2"/>
  <c r="Y154" i="2"/>
  <c r="C145" i="2"/>
  <c r="A134" i="2"/>
  <c r="Y122" i="2"/>
  <c r="I114" i="2"/>
  <c r="M104" i="2"/>
  <c r="Q94" i="2"/>
  <c r="U84" i="2"/>
  <c r="K77" i="2"/>
  <c r="A70" i="2"/>
  <c r="K45" i="2"/>
  <c r="C33" i="2"/>
  <c r="A22" i="2"/>
  <c r="X10" i="2"/>
  <c r="A150" i="23"/>
  <c r="J263" i="17"/>
  <c r="I7" i="17"/>
  <c r="A239" i="11"/>
  <c r="C11" i="8"/>
  <c r="E209" i="6"/>
  <c r="E65" i="6"/>
  <c r="F388" i="5"/>
  <c r="J343" i="5"/>
  <c r="F292" i="5"/>
  <c r="N234" i="5"/>
  <c r="F196" i="5"/>
  <c r="J151" i="5"/>
  <c r="N106" i="5"/>
  <c r="J55" i="5"/>
  <c r="M10" i="5"/>
  <c r="AF355" i="3"/>
  <c r="AH292" i="3"/>
  <c r="H213" i="3"/>
  <c r="D166" i="3"/>
  <c r="AG110" i="3"/>
  <c r="C63" i="3"/>
  <c r="D15" i="3"/>
  <c r="C77" i="12"/>
  <c r="R403" i="5"/>
  <c r="B199" i="5"/>
  <c r="AE399" i="3"/>
  <c r="AJ146" i="3"/>
  <c r="C410" i="2"/>
  <c r="G400" i="2"/>
  <c r="D387" i="2"/>
  <c r="Z373" i="2"/>
  <c r="W360" i="2"/>
  <c r="T347" i="2"/>
  <c r="X337" i="2"/>
  <c r="D323" i="2"/>
  <c r="S306" i="2"/>
  <c r="F295" i="2"/>
  <c r="L280" i="2"/>
  <c r="I267" i="2"/>
  <c r="O252" i="2"/>
  <c r="L239" i="2"/>
  <c r="Y227" i="2"/>
  <c r="L216" i="2"/>
  <c r="Z204" i="2"/>
  <c r="V191" i="2"/>
  <c r="Z181" i="2"/>
  <c r="N170" i="2"/>
  <c r="A159" i="2"/>
  <c r="N147" i="2"/>
  <c r="K134" i="2"/>
  <c r="H121" i="2"/>
  <c r="U109" i="2"/>
  <c r="R96" i="2"/>
  <c r="X81" i="2"/>
  <c r="D67" i="2"/>
  <c r="Z53" i="2"/>
  <c r="W40" i="2"/>
  <c r="T27" i="2"/>
  <c r="G16" i="2"/>
  <c r="L410" i="2"/>
  <c r="B394" i="2"/>
  <c r="X380" i="2"/>
  <c r="L369" i="2"/>
  <c r="Y357" i="2"/>
  <c r="L346" i="2"/>
  <c r="Z334" i="2"/>
  <c r="V321" i="2"/>
  <c r="J310" i="2"/>
  <c r="W298" i="2"/>
  <c r="J287" i="2"/>
  <c r="G274" i="2"/>
  <c r="T262" i="2"/>
  <c r="H251" i="2"/>
  <c r="D238" i="2"/>
  <c r="J223" i="2"/>
  <c r="P208" i="2"/>
  <c r="O190" i="2"/>
  <c r="U175" i="2"/>
  <c r="A161" i="2"/>
  <c r="X147" i="2"/>
  <c r="T134" i="2"/>
  <c r="Q121" i="2"/>
  <c r="N108" i="2"/>
  <c r="J95" i="2"/>
  <c r="N85" i="2"/>
  <c r="K72" i="2"/>
  <c r="X60" i="2"/>
  <c r="L49" i="2"/>
  <c r="H36" i="2"/>
  <c r="L26" i="2"/>
  <c r="Z14" i="2"/>
  <c r="V410" i="2"/>
  <c r="R397" i="2"/>
  <c r="O384" i="2"/>
  <c r="B373" i="2"/>
  <c r="P361" i="2"/>
  <c r="T351" i="2"/>
  <c r="P338" i="2"/>
  <c r="D327" i="2"/>
  <c r="H317" i="2"/>
  <c r="N302" i="2"/>
  <c r="C286" i="2"/>
  <c r="P274" i="2"/>
  <c r="M261" i="2"/>
  <c r="J248" i="2"/>
  <c r="W236" i="2"/>
  <c r="J225" i="2"/>
  <c r="P210" i="2"/>
  <c r="M197" i="2"/>
  <c r="Z185" i="2"/>
  <c r="N174" i="2"/>
  <c r="T159" i="2"/>
  <c r="G148" i="2"/>
  <c r="D135" i="2"/>
  <c r="Z121" i="2"/>
  <c r="F107" i="2"/>
  <c r="L92" i="2"/>
  <c r="Z80" i="2"/>
  <c r="F66" i="2"/>
  <c r="B53" i="2"/>
  <c r="Y39" i="2"/>
  <c r="L28" i="2"/>
  <c r="Z16" i="2"/>
  <c r="J13" i="17"/>
  <c r="F398" i="5"/>
  <c r="J193" i="5"/>
  <c r="E14" i="5"/>
  <c r="AE171" i="3"/>
  <c r="J373" i="17"/>
  <c r="E248" i="6"/>
  <c r="B307" i="5"/>
  <c r="R127" i="5"/>
  <c r="A375" i="3"/>
  <c r="AI153" i="3"/>
  <c r="L398" i="2"/>
  <c r="F372" i="2"/>
  <c r="T345" i="2"/>
  <c r="L317" i="2"/>
  <c r="W294" i="2"/>
  <c r="C272" i="2"/>
  <c r="E243" i="2"/>
  <c r="M215" i="2"/>
  <c r="L190" i="2"/>
  <c r="V164" i="2"/>
  <c r="J138" i="2"/>
  <c r="C112" i="2"/>
  <c r="J83" i="2"/>
  <c r="Q53" i="2"/>
  <c r="W38" i="2"/>
  <c r="Y10" i="2"/>
  <c r="C109" i="12"/>
  <c r="F386" i="5"/>
  <c r="J181" i="5"/>
  <c r="B374" i="3"/>
  <c r="B121" i="3"/>
  <c r="V405" i="2"/>
  <c r="D386" i="2"/>
  <c r="X359" i="2"/>
  <c r="T338" i="2"/>
  <c r="U315" i="2"/>
  <c r="D289" i="2"/>
  <c r="W262" i="2"/>
  <c r="L237" i="2"/>
  <c r="L214" i="2"/>
  <c r="B190" i="2"/>
  <c r="R166" i="2"/>
  <c r="R143" i="2"/>
  <c r="K124" i="2"/>
  <c r="Y97" i="2"/>
  <c r="Z67" i="2"/>
  <c r="N41" i="2"/>
  <c r="H15" i="2"/>
  <c r="E356" i="25"/>
  <c r="I306" i="25"/>
  <c r="A113" i="23"/>
  <c r="B178" i="23"/>
  <c r="H874" i="25"/>
  <c r="F130" i="23"/>
  <c r="C70" i="19"/>
  <c r="A290" i="17"/>
  <c r="A162" i="17"/>
  <c r="A34" i="17"/>
  <c r="A757" i="25"/>
  <c r="B85" i="23"/>
  <c r="F45" i="19"/>
  <c r="H248" i="17"/>
  <c r="L77" i="17"/>
  <c r="G3" i="14"/>
  <c r="A68" i="12"/>
  <c r="B182" i="11"/>
  <c r="B54" i="11"/>
  <c r="I331" i="25"/>
  <c r="C101" i="22"/>
  <c r="K368" i="17"/>
  <c r="K240" i="17"/>
  <c r="K112" i="17"/>
  <c r="H77" i="15"/>
  <c r="D142" i="12"/>
  <c r="E213" i="11"/>
  <c r="H42" i="11"/>
  <c r="F102" i="25"/>
  <c r="F255" i="19"/>
  <c r="O336" i="17"/>
  <c r="O208" i="17"/>
  <c r="O80" i="17"/>
  <c r="D13" i="15"/>
  <c r="B100" i="12"/>
  <c r="H171" i="11"/>
  <c r="H17" i="33"/>
  <c r="G111" i="19"/>
  <c r="F172" i="17"/>
  <c r="F221" i="12"/>
  <c r="A122" i="11"/>
  <c r="F280" i="6"/>
  <c r="F152" i="6"/>
  <c r="F24" i="6"/>
  <c r="G372" i="5"/>
  <c r="C321" i="5"/>
  <c r="S269" i="5"/>
  <c r="O218" i="5"/>
  <c r="K167" i="5"/>
  <c r="G116" i="5"/>
  <c r="C65" i="5"/>
  <c r="R13" i="5"/>
  <c r="J359" i="3"/>
  <c r="AF296" i="3"/>
  <c r="E233" i="3"/>
  <c r="B170" i="3"/>
  <c r="AF106" i="3"/>
  <c r="F43" i="3"/>
  <c r="D137" i="22"/>
  <c r="N247" i="17"/>
  <c r="E91" i="15"/>
  <c r="A224" i="11"/>
  <c r="B17" i="8"/>
  <c r="D244" i="6"/>
  <c r="H158" i="6"/>
  <c r="H89" i="6"/>
  <c r="H25" i="6"/>
  <c r="E398" i="5"/>
  <c r="M372" i="5"/>
  <c r="A347" i="5"/>
  <c r="I321" i="5"/>
  <c r="Q295" i="5"/>
  <c r="E270" i="5"/>
  <c r="M244" i="5"/>
  <c r="A219" i="5"/>
  <c r="I193" i="5"/>
  <c r="Q167" i="5"/>
  <c r="E142" i="5"/>
  <c r="M116" i="5"/>
  <c r="A91" i="5"/>
  <c r="I65" i="5"/>
  <c r="Q39" i="5"/>
  <c r="D14" i="5"/>
  <c r="J391" i="3"/>
  <c r="AJ359" i="3"/>
  <c r="AE328" i="3"/>
  <c r="B297" i="3"/>
  <c r="E265" i="3"/>
  <c r="AE233" i="3"/>
  <c r="AH201" i="3"/>
  <c r="H170" i="3"/>
  <c r="AH138" i="3"/>
  <c r="B107" i="3"/>
  <c r="G75" i="3"/>
  <c r="AF43" i="3"/>
  <c r="C275" i="25"/>
  <c r="B362" i="17"/>
  <c r="B106" i="17"/>
  <c r="C135" i="12"/>
  <c r="G35" i="11"/>
  <c r="C248" i="6"/>
  <c r="C120" i="6"/>
  <c r="L410" i="5"/>
  <c r="H359" i="5"/>
  <c r="D308" i="5"/>
  <c r="T256" i="5"/>
  <c r="P205" i="5"/>
  <c r="L154" i="5"/>
  <c r="H103" i="5"/>
  <c r="D52" i="5"/>
  <c r="AF406" i="3"/>
  <c r="J343" i="3"/>
  <c r="I280" i="3"/>
  <c r="B217" i="3"/>
  <c r="A154" i="3"/>
  <c r="J90" i="3"/>
  <c r="C27" i="3"/>
  <c r="D77" i="24"/>
  <c r="B315" i="17"/>
  <c r="B59" i="17"/>
  <c r="H69" i="12"/>
  <c r="E39" i="8"/>
  <c r="G223" i="6"/>
  <c r="G95" i="6"/>
  <c r="P400" i="5"/>
  <c r="L349" i="5"/>
  <c r="H298" i="5"/>
  <c r="D247" i="5"/>
  <c r="P206" i="5"/>
  <c r="D179" i="5"/>
  <c r="L153" i="5"/>
  <c r="T127" i="5"/>
  <c r="H102" i="5"/>
  <c r="P76" i="5"/>
  <c r="D51" i="5"/>
  <c r="L25" i="5"/>
  <c r="I405" i="3"/>
  <c r="AJ373" i="3"/>
  <c r="F342" i="3"/>
  <c r="AJ310" i="3"/>
  <c r="E279" i="3"/>
  <c r="J247" i="3"/>
  <c r="AH215" i="3"/>
  <c r="F184" i="3"/>
  <c r="AG152" i="3"/>
  <c r="AJ120" i="3"/>
  <c r="F89" i="3"/>
  <c r="AE57" i="3"/>
  <c r="AI25" i="3"/>
  <c r="G8" i="3"/>
  <c r="G230" i="19"/>
  <c r="J198" i="17"/>
  <c r="B17" i="14"/>
  <c r="D152" i="11"/>
  <c r="A293" i="6"/>
  <c r="A165" i="6"/>
  <c r="A37" i="6"/>
  <c r="R376" i="5"/>
  <c r="N325" i="5"/>
  <c r="J274" i="5"/>
  <c r="F223" i="5"/>
  <c r="B172" i="5"/>
  <c r="R120" i="5"/>
  <c r="N69" i="5"/>
  <c r="J18" i="5"/>
  <c r="G365" i="3"/>
  <c r="H302" i="3"/>
  <c r="A239" i="3"/>
  <c r="AH175" i="3"/>
  <c r="I112" i="3"/>
  <c r="B49" i="3"/>
  <c r="B720" i="25"/>
  <c r="G52" i="19"/>
  <c r="J160" i="17"/>
  <c r="H203" i="12"/>
  <c r="G101" i="11"/>
  <c r="A268" i="6"/>
  <c r="A140" i="6"/>
  <c r="A12" i="6"/>
  <c r="N367" i="5"/>
  <c r="J316" i="5"/>
  <c r="F265" i="5"/>
  <c r="B214" i="5"/>
  <c r="R162" i="5"/>
  <c r="N111" i="5"/>
  <c r="J60" i="5"/>
  <c r="E9" i="5"/>
  <c r="AJ353" i="3"/>
  <c r="B291" i="3"/>
  <c r="AE227" i="3"/>
  <c r="H164" i="3"/>
  <c r="A101" i="3"/>
  <c r="AF37" i="3"/>
  <c r="Y410" i="2"/>
  <c r="C401" i="2"/>
  <c r="G391" i="2"/>
  <c r="K381" i="2"/>
  <c r="O371" i="2"/>
  <c r="S361" i="2"/>
  <c r="W351" i="2"/>
  <c r="A342" i="2"/>
  <c r="E332" i="2"/>
  <c r="I322" i="2"/>
  <c r="M312" i="2"/>
  <c r="Q302" i="2"/>
  <c r="U292" i="2"/>
  <c r="Y282" i="2"/>
  <c r="C273" i="2"/>
  <c r="G263" i="2"/>
  <c r="S257" i="2"/>
  <c r="U252" i="2"/>
  <c r="W247" i="2"/>
  <c r="Y242" i="2"/>
  <c r="A238" i="2"/>
  <c r="C233" i="2"/>
  <c r="E228" i="2"/>
  <c r="G223" i="2"/>
  <c r="I218" i="2"/>
  <c r="K213" i="2"/>
  <c r="M208" i="2"/>
  <c r="O203" i="2"/>
  <c r="Q198" i="2"/>
  <c r="S193" i="2"/>
  <c r="U188" i="2"/>
  <c r="W183" i="2"/>
  <c r="Y178" i="2"/>
  <c r="A174" i="2"/>
  <c r="C169" i="2"/>
  <c r="E164" i="2"/>
  <c r="G159" i="2"/>
  <c r="I154" i="2"/>
  <c r="K149" i="2"/>
  <c r="M144" i="2"/>
  <c r="O139" i="2"/>
  <c r="Q134" i="2"/>
  <c r="S129" i="2"/>
  <c r="U124" i="2"/>
  <c r="W119" i="2"/>
  <c r="Y114" i="2"/>
  <c r="A110" i="2"/>
  <c r="C105" i="2"/>
  <c r="E100" i="2"/>
  <c r="G95" i="2"/>
  <c r="I90" i="2"/>
  <c r="K85" i="2"/>
  <c r="M80" i="2"/>
  <c r="O75" i="2"/>
  <c r="Q70" i="2"/>
  <c r="S65" i="2"/>
  <c r="U60" i="2"/>
  <c r="W55" i="2"/>
  <c r="Y50" i="2"/>
  <c r="A46" i="2"/>
  <c r="C41" i="2"/>
  <c r="E36" i="2"/>
  <c r="G31" i="2"/>
  <c r="I26" i="2"/>
  <c r="K21" i="2"/>
  <c r="M16" i="2"/>
  <c r="N11" i="2"/>
  <c r="P6" i="2"/>
  <c r="D17" i="24"/>
  <c r="G138" i="19"/>
  <c r="J311" i="17"/>
  <c r="J183" i="17"/>
  <c r="J55" i="17"/>
  <c r="C7" i="13"/>
  <c r="H63" i="12"/>
  <c r="D132" i="11"/>
  <c r="C35" i="8"/>
  <c r="E281" i="6"/>
  <c r="E217" i="6"/>
  <c r="E153" i="6"/>
  <c r="E89" i="6"/>
  <c r="E25" i="6"/>
  <c r="R397" i="5"/>
  <c r="F372" i="5"/>
  <c r="N346" i="5"/>
  <c r="B321" i="5"/>
  <c r="J295" i="5"/>
  <c r="R269" i="5"/>
  <c r="F244" i="5"/>
  <c r="N218" i="5"/>
  <c r="B193" i="5"/>
  <c r="J167" i="5"/>
  <c r="R141" i="5"/>
  <c r="F116" i="5"/>
  <c r="N90" i="5"/>
  <c r="B65" i="5"/>
  <c r="J39" i="5"/>
  <c r="Q13" i="5"/>
  <c r="E391" i="3"/>
  <c r="AE359" i="3"/>
  <c r="F328" i="3"/>
  <c r="AG296" i="3"/>
  <c r="AJ264" i="3"/>
  <c r="F233" i="3"/>
  <c r="I201" i="3"/>
  <c r="C170" i="3"/>
  <c r="I138" i="3"/>
  <c r="AG106" i="3"/>
  <c r="B75" i="3"/>
  <c r="G43" i="3"/>
  <c r="D17" i="3"/>
  <c r="D117" i="22"/>
  <c r="A116" i="15"/>
  <c r="C16" i="8"/>
  <c r="E66" i="6"/>
  <c r="R339" i="5"/>
  <c r="J237" i="5"/>
  <c r="B135" i="5"/>
  <c r="N32" i="5"/>
  <c r="A321" i="3"/>
  <c r="D194" i="3"/>
  <c r="AE67" i="3"/>
  <c r="X410" i="2"/>
  <c r="J404" i="2"/>
  <c r="U397" i="2"/>
  <c r="F391" i="2"/>
  <c r="R384" i="2"/>
  <c r="C378" i="2"/>
  <c r="N371" i="2"/>
  <c r="Z364" i="2"/>
  <c r="K358" i="2"/>
  <c r="V351" i="2"/>
  <c r="H345" i="2"/>
  <c r="S338" i="2"/>
  <c r="D332" i="2"/>
  <c r="P325" i="2"/>
  <c r="A319" i="2"/>
  <c r="L312" i="2"/>
  <c r="X305" i="2"/>
  <c r="I299" i="2"/>
  <c r="T292" i="2"/>
  <c r="F286" i="2"/>
  <c r="Q279" i="2"/>
  <c r="B273" i="2"/>
  <c r="N266" i="2"/>
  <c r="Y259" i="2"/>
  <c r="J253" i="2"/>
  <c r="V246" i="2"/>
  <c r="G240" i="2"/>
  <c r="R233" i="2"/>
  <c r="D227" i="2"/>
  <c r="O220" i="2"/>
  <c r="Z213" i="2"/>
  <c r="L207" i="2"/>
  <c r="W200" i="2"/>
  <c r="H194" i="2"/>
  <c r="T187" i="2"/>
  <c r="E181" i="2"/>
  <c r="P174" i="2"/>
  <c r="B168" i="2"/>
  <c r="M161" i="2"/>
  <c r="X154" i="2"/>
  <c r="J148" i="2"/>
  <c r="U141" i="2"/>
  <c r="F135" i="2"/>
  <c r="R128" i="2"/>
  <c r="C122" i="2"/>
  <c r="N115" i="2"/>
  <c r="Z108" i="2"/>
  <c r="K102" i="2"/>
  <c r="V95" i="2"/>
  <c r="H89" i="2"/>
  <c r="S82" i="2"/>
  <c r="D76" i="2"/>
  <c r="P69" i="2"/>
  <c r="A63" i="2"/>
  <c r="L56" i="2"/>
  <c r="X49" i="2"/>
  <c r="I43" i="2"/>
  <c r="T36" i="2"/>
  <c r="F30" i="2"/>
  <c r="Q23" i="2"/>
  <c r="B17" i="2"/>
  <c r="M10" i="2"/>
  <c r="H411" i="2"/>
  <c r="S404" i="2"/>
  <c r="D398" i="2"/>
  <c r="P391" i="2"/>
  <c r="A385" i="2"/>
  <c r="L378" i="2"/>
  <c r="X371" i="2"/>
  <c r="I365" i="2"/>
  <c r="T358" i="2"/>
  <c r="F352" i="2"/>
  <c r="Q345" i="2"/>
  <c r="B339" i="2"/>
  <c r="N332" i="2"/>
  <c r="Y325" i="2"/>
  <c r="J319" i="2"/>
  <c r="V312" i="2"/>
  <c r="G306" i="2"/>
  <c r="R299" i="2"/>
  <c r="D293" i="2"/>
  <c r="O286" i="2"/>
  <c r="Z279" i="2"/>
  <c r="L273" i="2"/>
  <c r="W266" i="2"/>
  <c r="H260" i="2"/>
  <c r="T253" i="2"/>
  <c r="E247" i="2"/>
  <c r="P240" i="2"/>
  <c r="B234" i="2"/>
  <c r="M227" i="2"/>
  <c r="X220" i="2"/>
  <c r="J214" i="2"/>
  <c r="U207" i="2"/>
  <c r="F201" i="2"/>
  <c r="R194" i="2"/>
  <c r="C188" i="2"/>
  <c r="N181" i="2"/>
  <c r="Z174" i="2"/>
  <c r="K168" i="2"/>
  <c r="V161" i="2"/>
  <c r="H155" i="2"/>
  <c r="S148" i="2"/>
  <c r="D142" i="2"/>
  <c r="P135" i="2"/>
  <c r="A129" i="2"/>
  <c r="L122" i="2"/>
  <c r="X115" i="2"/>
  <c r="I109" i="2"/>
  <c r="T102" i="2"/>
  <c r="F96" i="2"/>
  <c r="Q89" i="2"/>
  <c r="B83" i="2"/>
  <c r="N76" i="2"/>
  <c r="Y69" i="2"/>
  <c r="J63" i="2"/>
  <c r="V56" i="2"/>
  <c r="G50" i="2"/>
  <c r="R43" i="2"/>
  <c r="D37" i="2"/>
  <c r="O30" i="2"/>
  <c r="Z23" i="2"/>
  <c r="L17" i="2"/>
  <c r="V10" i="2"/>
  <c r="Q411" i="2"/>
  <c r="B405" i="2"/>
  <c r="N398" i="2"/>
  <c r="Y391" i="2"/>
  <c r="J385" i="2"/>
  <c r="V378" i="2"/>
  <c r="G372" i="2"/>
  <c r="R365" i="2"/>
  <c r="D359" i="2"/>
  <c r="O352" i="2"/>
  <c r="Z345" i="2"/>
  <c r="L339" i="2"/>
  <c r="W332" i="2"/>
  <c r="H326" i="2"/>
  <c r="T319" i="2"/>
  <c r="E313" i="2"/>
  <c r="P306" i="2"/>
  <c r="B300" i="2"/>
  <c r="M293" i="2"/>
  <c r="X286" i="2"/>
  <c r="J280" i="2"/>
  <c r="U273" i="2"/>
  <c r="F267" i="2"/>
  <c r="R260" i="2"/>
  <c r="C254" i="2"/>
  <c r="N247" i="2"/>
  <c r="Z240" i="2"/>
  <c r="K234" i="2"/>
  <c r="V227" i="2"/>
  <c r="H221" i="2"/>
  <c r="S214" i="2"/>
  <c r="D208" i="2"/>
  <c r="P201" i="2"/>
  <c r="A195" i="2"/>
  <c r="L188" i="2"/>
  <c r="X181" i="2"/>
  <c r="I175" i="2"/>
  <c r="T168" i="2"/>
  <c r="F162" i="2"/>
  <c r="Q155" i="2"/>
  <c r="B149" i="2"/>
  <c r="N142" i="2"/>
  <c r="Y135" i="2"/>
  <c r="J129" i="2"/>
  <c r="V122" i="2"/>
  <c r="G116" i="2"/>
  <c r="R109" i="2"/>
  <c r="D103" i="2"/>
  <c r="O96" i="2"/>
  <c r="Z89" i="2"/>
  <c r="L83" i="2"/>
  <c r="W76" i="2"/>
  <c r="H70" i="2"/>
  <c r="T63" i="2"/>
  <c r="E57" i="2"/>
  <c r="P50" i="2"/>
  <c r="B44" i="2"/>
  <c r="M37" i="2"/>
  <c r="X30" i="2"/>
  <c r="J24" i="2"/>
  <c r="U17" i="2"/>
  <c r="E11" i="2"/>
  <c r="A101" i="25"/>
  <c r="J77" i="17"/>
  <c r="B1" i="11"/>
  <c r="E116" i="6"/>
  <c r="R359" i="5"/>
  <c r="J257" i="5"/>
  <c r="B155" i="5"/>
  <c r="N52" i="5"/>
  <c r="H345" i="3"/>
  <c r="AJ218" i="3"/>
  <c r="H92" i="3"/>
  <c r="B44" i="25"/>
  <c r="J53" i="17"/>
  <c r="C38" i="8"/>
  <c r="E88" i="6"/>
  <c r="J345" i="5"/>
  <c r="B243" i="5"/>
  <c r="N140" i="5"/>
  <c r="F38" i="5"/>
  <c r="AH327" i="3"/>
  <c r="A201" i="3"/>
  <c r="J74" i="3"/>
  <c r="E403" i="2"/>
  <c r="V389" i="2"/>
  <c r="S376" i="2"/>
  <c r="U363" i="2"/>
  <c r="W350" i="2"/>
  <c r="R335" i="2"/>
  <c r="O322" i="2"/>
  <c r="L309" i="2"/>
  <c r="N296" i="2"/>
  <c r="E283" i="2"/>
  <c r="L270" i="2"/>
  <c r="N257" i="2"/>
  <c r="V244" i="2"/>
  <c r="B230" i="2"/>
  <c r="D217" i="2"/>
  <c r="P203" i="2"/>
  <c r="C192" i="2"/>
  <c r="P179" i="2"/>
  <c r="L166" i="2"/>
  <c r="T153" i="2"/>
  <c r="Z139" i="2"/>
  <c r="R126" i="2"/>
  <c r="N113" i="2"/>
  <c r="P100" i="2"/>
  <c r="X87" i="2"/>
  <c r="E75" i="2"/>
  <c r="Q61" i="2"/>
  <c r="X48" i="2"/>
  <c r="F37" i="2"/>
  <c r="R22" i="2"/>
  <c r="H9" i="2"/>
  <c r="J273" i="17"/>
  <c r="H23" i="12"/>
  <c r="E222" i="6"/>
  <c r="B399" i="5"/>
  <c r="N296" i="5"/>
  <c r="F194" i="5"/>
  <c r="R91" i="5"/>
  <c r="AG389" i="3"/>
  <c r="H263" i="3"/>
  <c r="A137" i="3"/>
  <c r="H16" i="3"/>
  <c r="B407" i="2"/>
  <c r="J394" i="2"/>
  <c r="F381" i="2"/>
  <c r="C368" i="2"/>
  <c r="T354" i="2"/>
  <c r="M343" i="2"/>
  <c r="O330" i="2"/>
  <c r="Q317" i="2"/>
  <c r="N304" i="2"/>
  <c r="Z290" i="2"/>
  <c r="V277" i="2"/>
  <c r="H264" i="2"/>
  <c r="T250" i="2"/>
  <c r="W238" i="2"/>
  <c r="D226" i="2"/>
  <c r="V212" i="2"/>
  <c r="R198" i="2"/>
  <c r="X184" i="2"/>
  <c r="U171" i="2"/>
  <c r="G158" i="2"/>
  <c r="X144" i="2"/>
  <c r="K132" i="2"/>
  <c r="M119" i="2"/>
  <c r="D106" i="2"/>
  <c r="V92" i="2"/>
  <c r="H79" i="2"/>
  <c r="J66" i="2"/>
  <c r="V52" i="2"/>
  <c r="G38" i="2"/>
  <c r="O26" i="2"/>
  <c r="Q13" i="2"/>
  <c r="B46" i="11"/>
  <c r="F96" i="19"/>
  <c r="K136" i="17"/>
  <c r="D174" i="12"/>
  <c r="C32" i="11"/>
  <c r="F223" i="19"/>
  <c r="O200" i="17"/>
  <c r="D61" i="15"/>
  <c r="B4" i="12"/>
  <c r="A98" i="23"/>
  <c r="F92" i="17"/>
  <c r="D15" i="11"/>
  <c r="F144" i="6"/>
  <c r="C369" i="5"/>
  <c r="K279" i="5"/>
  <c r="S189" i="5"/>
  <c r="K87" i="5"/>
  <c r="E387" i="3"/>
  <c r="AH276" i="3"/>
  <c r="C166" i="3"/>
  <c r="G39" i="3"/>
  <c r="N231" i="17"/>
  <c r="G202" i="11"/>
  <c r="D217" i="6"/>
  <c r="H53" i="6"/>
  <c r="Q383" i="5"/>
  <c r="A339" i="5"/>
  <c r="M300" i="5"/>
  <c r="M268" i="5"/>
  <c r="Q223" i="5"/>
  <c r="A179" i="5"/>
  <c r="Q127" i="5"/>
  <c r="M76" i="5"/>
  <c r="Q31" i="5"/>
  <c r="AD389" i="3"/>
  <c r="AF326" i="3"/>
  <c r="E263" i="3"/>
  <c r="AH199" i="3"/>
  <c r="AG144" i="3"/>
  <c r="E89" i="3"/>
  <c r="AH25" i="3"/>
  <c r="B218" i="17"/>
  <c r="C199" i="12"/>
  <c r="A24" i="8"/>
  <c r="C48" i="6"/>
  <c r="L330" i="5"/>
  <c r="T240" i="5"/>
  <c r="P125" i="5"/>
  <c r="H23" i="5"/>
  <c r="F308" i="3"/>
  <c r="J181" i="3"/>
  <c r="AJ54" i="3"/>
  <c r="G112" i="19"/>
  <c r="A65" i="15"/>
  <c r="G279" i="6"/>
  <c r="G23" i="6"/>
  <c r="P320" i="5"/>
  <c r="D213" i="5"/>
  <c r="H158" i="5"/>
  <c r="P100" i="5"/>
  <c r="L49" i="5"/>
  <c r="I403" i="3"/>
  <c r="G340" i="3"/>
  <c r="E285" i="3"/>
  <c r="AH213" i="3"/>
  <c r="AG150" i="3"/>
  <c r="H79" i="3"/>
  <c r="G15" i="3"/>
  <c r="J182" i="17"/>
  <c r="A131" i="11"/>
  <c r="A157" i="6"/>
  <c r="J386" i="5"/>
  <c r="N309" i="5"/>
  <c r="F207" i="5"/>
  <c r="N117" i="5"/>
  <c r="F15" i="5"/>
  <c r="I298" i="3"/>
  <c r="AI171" i="3"/>
  <c r="B45" i="3"/>
  <c r="F13" i="19"/>
  <c r="F182" i="12"/>
  <c r="A260" i="6"/>
  <c r="B390" i="5"/>
  <c r="J236" i="5"/>
  <c r="F121" i="5"/>
  <c r="H397" i="3"/>
  <c r="H334" i="3"/>
  <c r="C271" i="3"/>
  <c r="AG207" i="3"/>
  <c r="AF144" i="3"/>
  <c r="E81" i="3"/>
  <c r="F20" i="3"/>
  <c r="W407" i="2"/>
  <c r="A398" i="2"/>
  <c r="E388" i="2"/>
  <c r="I378" i="2"/>
  <c r="M368" i="2"/>
  <c r="Q358" i="2"/>
  <c r="U348" i="2"/>
  <c r="M336" i="2"/>
  <c r="Q326" i="2"/>
  <c r="I314" i="2"/>
  <c r="M304" i="2"/>
  <c r="U284" i="2"/>
  <c r="Y260" i="2"/>
  <c r="C251" i="2"/>
  <c r="A240" i="2"/>
  <c r="E230" i="2"/>
  <c r="W217" i="2"/>
  <c r="G209" i="2"/>
  <c r="Y196" i="2"/>
  <c r="Q184" i="2"/>
  <c r="O173" i="2"/>
  <c r="E166" i="2"/>
  <c r="Q152" i="2"/>
  <c r="U142" i="2"/>
  <c r="S131" i="2"/>
  <c r="W121" i="2"/>
  <c r="O109" i="2"/>
  <c r="S99" i="2"/>
  <c r="W89" i="2"/>
  <c r="G81" i="2"/>
  <c r="K71" i="2"/>
  <c r="O61" i="2"/>
  <c r="S51" i="2"/>
  <c r="W41" i="2"/>
  <c r="U30" i="2"/>
  <c r="Y20" i="2"/>
  <c r="B11" i="2"/>
  <c r="G234" i="22"/>
  <c r="J235" i="17"/>
  <c r="A64" i="15"/>
  <c r="A159" i="11"/>
  <c r="E275" i="6"/>
  <c r="E115" i="6"/>
  <c r="F408" i="5"/>
  <c r="J363" i="5"/>
  <c r="F312" i="5"/>
  <c r="N254" i="5"/>
  <c r="J203" i="5"/>
  <c r="N158" i="5"/>
  <c r="B101" i="5"/>
  <c r="F56" i="5"/>
  <c r="AJ411" i="3"/>
  <c r="AH348" i="3"/>
  <c r="AI285" i="3"/>
  <c r="H214" i="3"/>
  <c r="G151" i="3"/>
  <c r="A88" i="3"/>
  <c r="H32" i="3"/>
  <c r="G194" i="19"/>
  <c r="F2" i="10"/>
  <c r="R355" i="5"/>
  <c r="J125" i="5"/>
  <c r="C309" i="3"/>
  <c r="H7" i="3"/>
  <c r="L400" i="2"/>
  <c r="R385" i="2"/>
  <c r="O372" i="2"/>
  <c r="U357" i="2"/>
  <c r="R344" i="2"/>
  <c r="X329" i="2"/>
  <c r="B320" i="2"/>
  <c r="X306" i="2"/>
  <c r="D292" i="2"/>
  <c r="A279" i="2"/>
  <c r="X265" i="2"/>
  <c r="B256" i="2"/>
  <c r="V247" i="2"/>
  <c r="H241" i="2"/>
  <c r="S234" i="2"/>
  <c r="N226" i="2"/>
  <c r="H218" i="2"/>
  <c r="E205" i="2"/>
  <c r="R193" i="2"/>
  <c r="F182" i="2"/>
  <c r="L167" i="2"/>
  <c r="P157" i="2"/>
  <c r="L144" i="2"/>
  <c r="Z132" i="2"/>
  <c r="V119" i="2"/>
  <c r="B105" i="2"/>
  <c r="H90" i="2"/>
  <c r="C82" i="2"/>
  <c r="Z68" i="2"/>
  <c r="M57" i="2"/>
  <c r="Z45" i="2"/>
  <c r="W32" i="2"/>
  <c r="J21" i="2"/>
  <c r="O6" i="2"/>
  <c r="E399" i="2"/>
  <c r="B386" i="2"/>
  <c r="X372" i="2"/>
  <c r="D358" i="2"/>
  <c r="J343" i="2"/>
  <c r="G330" i="2"/>
  <c r="V313" i="2"/>
  <c r="S300" i="2"/>
  <c r="Y285" i="2"/>
  <c r="N269" i="2"/>
  <c r="T254" i="2"/>
  <c r="Z239" i="2"/>
  <c r="W226" i="2"/>
  <c r="T213" i="2"/>
  <c r="Z198" i="2"/>
  <c r="V185" i="2"/>
  <c r="S172" i="2"/>
  <c r="Y157" i="2"/>
  <c r="L146" i="2"/>
  <c r="Z134" i="2"/>
  <c r="M123" i="2"/>
  <c r="J110" i="2"/>
  <c r="F97" i="2"/>
  <c r="C84" i="2"/>
  <c r="Z70" i="2"/>
  <c r="O54" i="2"/>
  <c r="B43" i="2"/>
  <c r="Y29" i="2"/>
  <c r="V16" i="2"/>
  <c r="A411" i="2"/>
  <c r="X397" i="2"/>
  <c r="D383" i="2"/>
  <c r="Z369" i="2"/>
  <c r="N358" i="2"/>
  <c r="A347" i="2"/>
  <c r="Z328" i="2"/>
  <c r="V315" i="2"/>
  <c r="B301" i="2"/>
  <c r="Y287" i="2"/>
  <c r="V274" i="2"/>
  <c r="I263" i="2"/>
  <c r="F250" i="2"/>
  <c r="U233" i="2"/>
  <c r="H222" i="2"/>
  <c r="E209" i="2"/>
  <c r="R197" i="2"/>
  <c r="X182" i="2"/>
  <c r="U169" i="2"/>
  <c r="H158" i="2"/>
  <c r="E145" i="2"/>
  <c r="R133" i="2"/>
  <c r="F122" i="2"/>
  <c r="B109" i="2"/>
  <c r="Y95" i="2"/>
  <c r="V82" i="2"/>
  <c r="B68" i="2"/>
  <c r="H53" i="2"/>
  <c r="D40" i="2"/>
  <c r="A27" i="2"/>
  <c r="N15" i="2"/>
  <c r="B848" i="25"/>
  <c r="H39" i="12"/>
  <c r="J401" i="5"/>
  <c r="N196" i="5"/>
  <c r="AF396" i="3"/>
  <c r="AD175" i="3"/>
  <c r="J261" i="17"/>
  <c r="E64" i="6"/>
  <c r="F182" i="5"/>
  <c r="H410" i="3"/>
  <c r="AG157" i="3"/>
  <c r="W398" i="2"/>
  <c r="P372" i="2"/>
  <c r="D346" i="2"/>
  <c r="I321" i="2"/>
  <c r="H295" i="2"/>
  <c r="Y265" i="2"/>
  <c r="B239" i="2"/>
  <c r="I209" i="2"/>
  <c r="N184" i="2"/>
  <c r="Y161" i="2"/>
  <c r="H135" i="2"/>
  <c r="J99" i="2"/>
  <c r="Z66" i="2"/>
  <c r="K44" i="2"/>
  <c r="D18" i="2"/>
  <c r="J97" i="17"/>
  <c r="E70" i="6"/>
  <c r="R235" i="5"/>
  <c r="B31" i="5"/>
  <c r="AE251" i="3"/>
  <c r="H10" i="3"/>
  <c r="B390" i="2"/>
  <c r="A357" i="2"/>
  <c r="B326" i="2"/>
  <c r="Z299" i="2"/>
  <c r="V269" i="2"/>
  <c r="A253" i="2"/>
  <c r="H231" i="2"/>
  <c r="L205" i="2"/>
  <c r="Q173" i="2"/>
  <c r="Z146" i="2"/>
  <c r="N121" i="2"/>
  <c r="W94" i="2"/>
  <c r="F68" i="2"/>
  <c r="J34" i="2"/>
  <c r="A6" i="2"/>
  <c r="A370" i="17"/>
  <c r="A82" i="17"/>
  <c r="A283" i="25"/>
  <c r="D355" i="17"/>
  <c r="D99" i="17"/>
  <c r="A84" i="12"/>
  <c r="B70" i="11"/>
  <c r="C19" i="22"/>
  <c r="K224" i="17"/>
  <c r="H109" i="15"/>
  <c r="H234" i="11"/>
  <c r="B465" i="25"/>
  <c r="B8" i="18"/>
  <c r="O128" i="17"/>
  <c r="D121" i="12"/>
  <c r="E22" i="11"/>
  <c r="F76" i="17"/>
  <c r="A2" i="10"/>
  <c r="F104" i="6"/>
  <c r="G340" i="5"/>
  <c r="S237" i="5"/>
  <c r="G148" i="5"/>
  <c r="O58" i="5"/>
  <c r="AF351" i="3"/>
  <c r="D241" i="3"/>
  <c r="AE114" i="3"/>
  <c r="F68" i="23"/>
  <c r="N23" i="17"/>
  <c r="B28" i="8"/>
  <c r="D148" i="6"/>
  <c r="E1" i="6"/>
  <c r="A363" i="5"/>
  <c r="Q311" i="5"/>
  <c r="A267" i="5"/>
  <c r="I209" i="5"/>
  <c r="I145" i="5"/>
  <c r="E94" i="5"/>
  <c r="A43" i="5"/>
  <c r="AE387" i="3"/>
  <c r="AF324" i="3"/>
  <c r="D269" i="3"/>
  <c r="AH205" i="3"/>
  <c r="AF150" i="3"/>
  <c r="E95" i="3"/>
  <c r="AG31" i="3"/>
  <c r="B266" i="17"/>
  <c r="C7" i="12"/>
  <c r="C200" i="6"/>
  <c r="C8" i="6"/>
  <c r="L314" i="5"/>
  <c r="D212" i="5"/>
  <c r="T96" i="5"/>
  <c r="AH398" i="3"/>
  <c r="I272" i="3"/>
  <c r="B146" i="3"/>
  <c r="D21" i="3"/>
  <c r="B283" i="17"/>
  <c r="C27" i="12"/>
  <c r="G175" i="6"/>
  <c r="P368" i="5"/>
  <c r="L253" i="5"/>
  <c r="H182" i="5"/>
  <c r="P124" i="5"/>
  <c r="D67" i="5"/>
  <c r="T15" i="5"/>
  <c r="A362" i="3"/>
  <c r="E283" i="3"/>
  <c r="AH211" i="3"/>
  <c r="AH140" i="3"/>
  <c r="H77" i="3"/>
  <c r="G18" i="3"/>
  <c r="J358" i="17"/>
  <c r="F206" i="12"/>
  <c r="H16" i="7"/>
  <c r="A21" i="6"/>
  <c r="B332" i="5"/>
  <c r="R216" i="5"/>
  <c r="J114" i="5"/>
  <c r="A12" i="5"/>
  <c r="I294" i="3"/>
  <c r="AF183" i="3"/>
  <c r="B57" i="3"/>
  <c r="G174" i="19"/>
  <c r="H75" i="12"/>
  <c r="A220" i="6"/>
  <c r="J412" i="5"/>
  <c r="B310" i="5"/>
  <c r="N207" i="5"/>
  <c r="B118" i="5"/>
  <c r="N15" i="5"/>
  <c r="L363" i="5"/>
  <c r="D277" i="5"/>
  <c r="L195" i="5"/>
  <c r="T145" i="5"/>
  <c r="P94" i="5"/>
  <c r="T41" i="5"/>
  <c r="C392" i="3"/>
  <c r="B333" i="3"/>
  <c r="AG273" i="3"/>
  <c r="F214" i="3"/>
  <c r="D155" i="3"/>
  <c r="AH93" i="3"/>
  <c r="AF20" i="3"/>
  <c r="F17" i="19"/>
  <c r="F190" i="12"/>
  <c r="A263" i="6"/>
  <c r="A103" i="6"/>
  <c r="J358" i="5"/>
  <c r="J262" i="5"/>
  <c r="F163" i="5"/>
  <c r="J86" i="5"/>
  <c r="J54" i="5"/>
  <c r="Q12" i="5"/>
  <c r="G362" i="3"/>
  <c r="I299" i="3"/>
  <c r="B236" i="3"/>
  <c r="AH176" i="3"/>
  <c r="F121" i="3"/>
  <c r="AI61" i="3"/>
  <c r="J10" i="3"/>
  <c r="G190" i="19"/>
  <c r="J212" i="17"/>
  <c r="A82" i="15"/>
  <c r="G213" i="11"/>
  <c r="A286" i="6"/>
  <c r="A166" i="6"/>
  <c r="A46" i="6"/>
  <c r="N387" i="5"/>
  <c r="B346" i="5"/>
  <c r="R294" i="5"/>
  <c r="N243" i="5"/>
  <c r="J192" i="5"/>
  <c r="F141" i="5"/>
  <c r="B90" i="5"/>
  <c r="B42" i="5"/>
  <c r="G402" i="3"/>
  <c r="F339" i="3"/>
  <c r="D264" i="3"/>
  <c r="AG200" i="3"/>
  <c r="AF141" i="3"/>
  <c r="E86" i="3"/>
  <c r="I23" i="3"/>
  <c r="G409" i="2"/>
  <c r="K399" i="2"/>
  <c r="I388" i="2"/>
  <c r="M378" i="2"/>
  <c r="Q368" i="2"/>
  <c r="K359" i="2"/>
  <c r="E350" i="2"/>
  <c r="Y340" i="2"/>
  <c r="C331" i="2"/>
  <c r="C323" i="2"/>
  <c r="W313" i="2"/>
  <c r="Q304" i="2"/>
  <c r="A296" i="2"/>
  <c r="K287" i="2"/>
  <c r="E278" i="2"/>
  <c r="Y268" i="2"/>
  <c r="E879" i="25"/>
  <c r="H185" i="25"/>
  <c r="H861" i="25"/>
  <c r="F221" i="25"/>
  <c r="G527" i="25"/>
  <c r="G221" i="22"/>
  <c r="I661" i="25"/>
  <c r="B50" i="23"/>
  <c r="D140" i="19"/>
  <c r="B704" i="25"/>
  <c r="H142" i="25"/>
  <c r="F66" i="23"/>
  <c r="C278" i="19"/>
  <c r="E36" i="19"/>
  <c r="A342" i="17"/>
  <c r="A278" i="17"/>
  <c r="A214" i="17"/>
  <c r="A150" i="17"/>
  <c r="A86" i="17"/>
  <c r="A22" i="17"/>
  <c r="G21" i="15"/>
  <c r="A592" i="25"/>
  <c r="I83" i="25"/>
  <c r="B21" i="23"/>
  <c r="B244" i="19"/>
  <c r="C16" i="19"/>
  <c r="L317" i="17"/>
  <c r="H232" i="17"/>
  <c r="D147" i="17"/>
  <c r="L61" i="17"/>
  <c r="F77" i="15"/>
  <c r="E225" i="12"/>
  <c r="A120" i="12"/>
  <c r="A56" i="12"/>
  <c r="B234" i="11"/>
  <c r="B170" i="11"/>
  <c r="B106" i="11"/>
  <c r="B42" i="11"/>
  <c r="O14" i="26"/>
  <c r="F246" i="25"/>
  <c r="G141" i="23"/>
  <c r="C37" i="22"/>
  <c r="F80" i="19"/>
  <c r="K356" i="17"/>
  <c r="K292" i="17"/>
  <c r="K228" i="17"/>
  <c r="K164" i="17"/>
  <c r="K100" i="17"/>
  <c r="K36" i="17"/>
  <c r="H53" i="15"/>
  <c r="G211" i="12"/>
  <c r="D126" i="12"/>
  <c r="B41" i="12"/>
  <c r="E197" i="11"/>
  <c r="C112" i="11"/>
  <c r="H26" i="11"/>
  <c r="B503" i="25"/>
  <c r="C17" i="25"/>
  <c r="C209" i="22"/>
  <c r="F207" i="19"/>
  <c r="B16" i="18"/>
  <c r="O324" i="17"/>
  <c r="O260" i="17"/>
  <c r="O196" i="17"/>
  <c r="O132" i="17"/>
  <c r="O68" i="17"/>
  <c r="D117" i="15"/>
  <c r="E19" i="14"/>
  <c r="D169" i="12"/>
  <c r="B84" i="12"/>
  <c r="C241" i="11"/>
  <c r="H155" i="11"/>
  <c r="E70" i="11"/>
  <c r="H666" i="25"/>
  <c r="C55" i="23"/>
  <c r="B32" i="19"/>
  <c r="F276" i="17"/>
  <c r="F148" i="17"/>
  <c r="F20" i="17"/>
  <c r="F189" i="12"/>
  <c r="H18" i="12"/>
  <c r="A90" i="11"/>
  <c r="H20" i="8"/>
  <c r="F268" i="6"/>
  <c r="F204" i="6"/>
  <c r="F140" i="6"/>
  <c r="F76" i="6"/>
  <c r="F12" i="6"/>
  <c r="C393" i="5"/>
  <c r="K367" i="5"/>
  <c r="S341" i="5"/>
  <c r="G316" i="5"/>
  <c r="O290" i="5"/>
  <c r="C265" i="5"/>
  <c r="K239" i="5"/>
  <c r="S213" i="5"/>
  <c r="G188" i="5"/>
  <c r="O162" i="5"/>
  <c r="C137" i="5"/>
  <c r="K111" i="5"/>
  <c r="S85" i="5"/>
  <c r="G60" i="5"/>
  <c r="O34" i="5"/>
  <c r="B9" i="5"/>
  <c r="E385" i="3"/>
  <c r="AE353" i="3"/>
  <c r="H322" i="3"/>
  <c r="AG290" i="3"/>
  <c r="AJ258" i="3"/>
  <c r="F227" i="3"/>
  <c r="J195" i="3"/>
  <c r="C164" i="3"/>
  <c r="H132" i="3"/>
  <c r="AF100" i="3"/>
  <c r="B69" i="3"/>
  <c r="G37" i="3"/>
  <c r="I205" i="25"/>
  <c r="D14" i="22"/>
  <c r="N351" i="17"/>
  <c r="N223" i="17"/>
  <c r="N95" i="17"/>
  <c r="E43" i="15"/>
  <c r="H120" i="12"/>
  <c r="A192" i="11"/>
  <c r="D21" i="11"/>
  <c r="B9" i="8"/>
  <c r="H278" i="6"/>
  <c r="D236" i="6"/>
  <c r="D193" i="6"/>
  <c r="H150" i="6"/>
  <c r="H115" i="6"/>
  <c r="H83" i="6"/>
  <c r="H51" i="6"/>
  <c r="H19" i="6"/>
  <c r="M408" i="5"/>
  <c r="Q395" i="5"/>
  <c r="A383" i="5"/>
  <c r="E370" i="5"/>
  <c r="I357" i="5"/>
  <c r="M344" i="5"/>
  <c r="Q331" i="5"/>
  <c r="A319" i="5"/>
  <c r="E306" i="5"/>
  <c r="I293" i="5"/>
  <c r="M280" i="5"/>
  <c r="Q267" i="5"/>
  <c r="A255" i="5"/>
  <c r="E242" i="5"/>
  <c r="I229" i="5"/>
  <c r="M216" i="5"/>
  <c r="Q203" i="5"/>
  <c r="A191" i="5"/>
  <c r="E178" i="5"/>
  <c r="I165" i="5"/>
  <c r="M152" i="5"/>
  <c r="Q139" i="5"/>
  <c r="A127" i="5"/>
  <c r="E114" i="5"/>
  <c r="I101" i="5"/>
  <c r="M88" i="5"/>
  <c r="Q75" i="5"/>
  <c r="A63" i="5"/>
  <c r="E50" i="5"/>
  <c r="I37" i="5"/>
  <c r="Q27" i="5"/>
  <c r="I21" i="5"/>
  <c r="A15" i="5"/>
  <c r="L8" i="5"/>
  <c r="F408" i="3"/>
  <c r="H400" i="3"/>
  <c r="J392" i="3"/>
  <c r="AE384" i="3"/>
  <c r="AH376" i="3"/>
  <c r="AJ368" i="3"/>
  <c r="AJ360" i="3"/>
  <c r="B353" i="3"/>
  <c r="E345" i="3"/>
  <c r="G337" i="3"/>
  <c r="AE329" i="3"/>
  <c r="AH321" i="3"/>
  <c r="AH313" i="3"/>
  <c r="A306" i="3"/>
  <c r="B298" i="3"/>
  <c r="C290" i="3"/>
  <c r="D282" i="3"/>
  <c r="D274" i="3"/>
  <c r="E266" i="3"/>
  <c r="F258" i="3"/>
  <c r="H250" i="3"/>
  <c r="J242" i="3"/>
  <c r="AE234" i="3"/>
  <c r="AF226" i="3"/>
  <c r="AG218" i="3"/>
  <c r="AG210" i="3"/>
  <c r="AH202" i="3"/>
  <c r="AJ194" i="3"/>
  <c r="D187" i="3"/>
  <c r="F179" i="3"/>
  <c r="H171" i="3"/>
  <c r="I163" i="3"/>
  <c r="AE155" i="3"/>
  <c r="AG147" i="3"/>
  <c r="AG139" i="3"/>
  <c r="AH131" i="3"/>
  <c r="AI123" i="3"/>
  <c r="AJ115" i="3"/>
  <c r="B108" i="3"/>
  <c r="B100" i="3"/>
  <c r="E92" i="3"/>
  <c r="F84" i="3"/>
  <c r="G76" i="3"/>
  <c r="H68" i="3"/>
  <c r="I60" i="3"/>
  <c r="AE52" i="3"/>
  <c r="AE44" i="3"/>
  <c r="AG36" i="3"/>
  <c r="AH28" i="3"/>
  <c r="AI20" i="3"/>
  <c r="B332" i="25"/>
  <c r="A206" i="23"/>
  <c r="D109" i="22"/>
  <c r="G132" i="19"/>
  <c r="B370" i="17"/>
  <c r="B306" i="17"/>
  <c r="B242" i="17"/>
  <c r="B178" i="17"/>
  <c r="B114" i="17"/>
  <c r="B50" i="17"/>
  <c r="A79" i="15"/>
  <c r="C231" i="12"/>
  <c r="H145" i="12"/>
  <c r="F60" i="12"/>
  <c r="A217" i="11"/>
  <c r="G131" i="11"/>
  <c r="D46" i="11"/>
  <c r="A36" i="8"/>
  <c r="A4" i="8"/>
  <c r="C284" i="6"/>
  <c r="C252" i="6"/>
  <c r="C220" i="6"/>
  <c r="C188" i="6"/>
  <c r="C156" i="6"/>
  <c r="C124" i="6"/>
  <c r="C92" i="6"/>
  <c r="C60" i="6"/>
  <c r="C28" i="6"/>
  <c r="D412" i="5"/>
  <c r="H399" i="5"/>
  <c r="L386" i="5"/>
  <c r="P373" i="5"/>
  <c r="T360" i="5"/>
  <c r="D348" i="5"/>
  <c r="H335" i="5"/>
  <c r="L322" i="5"/>
  <c r="P309" i="5"/>
  <c r="T296" i="5"/>
  <c r="D284" i="5"/>
  <c r="H271" i="5"/>
  <c r="L258" i="5"/>
  <c r="P245" i="5"/>
  <c r="T232" i="5"/>
  <c r="D220" i="5"/>
  <c r="H207" i="5"/>
  <c r="L194" i="5"/>
  <c r="P181" i="5"/>
  <c r="T168" i="5"/>
  <c r="D156" i="5"/>
  <c r="H143" i="5"/>
  <c r="L130" i="5"/>
  <c r="P117" i="5"/>
  <c r="T104" i="5"/>
  <c r="D92" i="5"/>
  <c r="H79" i="5"/>
  <c r="L66" i="5"/>
  <c r="P53" i="5"/>
  <c r="T40" i="5"/>
  <c r="D28" i="5"/>
  <c r="H15" i="5"/>
  <c r="AD408" i="3"/>
  <c r="AI392" i="3"/>
  <c r="C377" i="3"/>
  <c r="E361" i="3"/>
  <c r="J345" i="3"/>
  <c r="AJ329" i="3"/>
  <c r="C314" i="3"/>
  <c r="G298" i="3"/>
  <c r="I282" i="3"/>
  <c r="J266" i="3"/>
  <c r="AG250" i="3"/>
  <c r="AJ234" i="3"/>
  <c r="B219" i="3"/>
  <c r="C203" i="3"/>
  <c r="I187" i="3"/>
  <c r="AG171" i="3"/>
  <c r="AJ155" i="3"/>
  <c r="B140" i="3"/>
  <c r="D124" i="3"/>
  <c r="G108" i="3"/>
  <c r="J92" i="3"/>
  <c r="AF76" i="3"/>
  <c r="AH60" i="3"/>
  <c r="AJ44" i="3"/>
  <c r="C29" i="3"/>
  <c r="A18" i="3"/>
  <c r="A10" i="3"/>
  <c r="C515" i="25"/>
  <c r="D26" i="25"/>
  <c r="G210" i="22"/>
  <c r="G208" i="19"/>
  <c r="G17" i="18"/>
  <c r="B323" i="17"/>
  <c r="B259" i="17"/>
  <c r="B195" i="17"/>
  <c r="B131" i="17"/>
  <c r="B67" i="17"/>
  <c r="A113" i="15"/>
  <c r="B12" i="14"/>
  <c r="H165" i="12"/>
  <c r="F80" i="12"/>
  <c r="A237" i="11"/>
  <c r="G151" i="11"/>
  <c r="D66" i="11"/>
  <c r="C5" i="9"/>
  <c r="E11" i="8"/>
  <c r="G291" i="6"/>
  <c r="G259" i="6"/>
  <c r="G227" i="6"/>
  <c r="G195" i="6"/>
  <c r="G163" i="6"/>
  <c r="G131" i="6"/>
  <c r="G99" i="6"/>
  <c r="G67" i="6"/>
  <c r="G35" i="6"/>
  <c r="G3" i="6"/>
  <c r="H402" i="5"/>
  <c r="L389" i="5"/>
  <c r="P376" i="5"/>
  <c r="T363" i="5"/>
  <c r="D351" i="5"/>
  <c r="H338" i="5"/>
  <c r="L325" i="5"/>
  <c r="P312" i="5"/>
  <c r="T299" i="5"/>
  <c r="D287" i="5"/>
  <c r="H274" i="5"/>
  <c r="L261" i="5"/>
  <c r="P248" i="5"/>
  <c r="T235" i="5"/>
  <c r="P224" i="5"/>
  <c r="H216" i="5"/>
  <c r="L207" i="5"/>
  <c r="D199" i="5"/>
  <c r="P192" i="5"/>
  <c r="H186" i="5"/>
  <c r="T179" i="5"/>
  <c r="L173" i="5"/>
  <c r="D167" i="5"/>
  <c r="P160" i="5"/>
  <c r="H154" i="5"/>
  <c r="T147" i="5"/>
  <c r="L141" i="5"/>
  <c r="D135" i="5"/>
  <c r="P128" i="5"/>
  <c r="H122" i="5"/>
  <c r="T115" i="5"/>
  <c r="L109" i="5"/>
  <c r="D103" i="5"/>
  <c r="P96" i="5"/>
  <c r="H90" i="5"/>
  <c r="T83" i="5"/>
  <c r="L77" i="5"/>
  <c r="D71" i="5"/>
  <c r="P64" i="5"/>
  <c r="H58" i="5"/>
  <c r="T51" i="5"/>
  <c r="L45" i="5"/>
  <c r="D39" i="5"/>
  <c r="P32" i="5"/>
  <c r="H26" i="5"/>
  <c r="T19" i="5"/>
  <c r="K13" i="5"/>
  <c r="C7" i="5"/>
  <c r="I406" i="3"/>
  <c r="J398" i="3"/>
  <c r="AE390" i="3"/>
  <c r="AF382" i="3"/>
  <c r="AI374" i="3"/>
  <c r="A367" i="3"/>
  <c r="A359" i="3"/>
  <c r="C351" i="3"/>
  <c r="F343" i="3"/>
  <c r="J335" i="3"/>
  <c r="AF327" i="3"/>
  <c r="AI319" i="3"/>
  <c r="AJ311" i="3"/>
  <c r="B304" i="3"/>
  <c r="C296" i="3"/>
  <c r="D288" i="3"/>
  <c r="E280" i="3"/>
  <c r="E272" i="3"/>
  <c r="F264" i="3"/>
  <c r="G256" i="3"/>
  <c r="J248" i="3"/>
  <c r="AE240" i="3"/>
  <c r="AF232" i="3"/>
  <c r="AG224" i="3"/>
  <c r="AH216" i="3"/>
  <c r="AI208" i="3"/>
  <c r="AI200" i="3"/>
  <c r="C193" i="3"/>
  <c r="F185" i="3"/>
  <c r="H177" i="3"/>
  <c r="I169" i="3"/>
  <c r="J161" i="3"/>
  <c r="AG153" i="3"/>
  <c r="AH145" i="3"/>
  <c r="AI137" i="3"/>
  <c r="AI129" i="3"/>
  <c r="AJ121" i="3"/>
  <c r="B114" i="3"/>
  <c r="C106" i="3"/>
  <c r="C98" i="3"/>
  <c r="F90" i="3"/>
  <c r="G82" i="3"/>
  <c r="H74" i="3"/>
  <c r="I66" i="3"/>
  <c r="AD58" i="3"/>
  <c r="AF50" i="3"/>
  <c r="AG42" i="3"/>
  <c r="AH34" i="3"/>
  <c r="AI26" i="3"/>
  <c r="A21" i="3"/>
  <c r="AI16" i="3"/>
  <c r="AI12" i="3"/>
  <c r="AI8" i="3"/>
  <c r="H634" i="25"/>
  <c r="B108" i="25"/>
  <c r="A38" i="23"/>
  <c r="G262" i="19"/>
  <c r="B26" i="19"/>
  <c r="J334" i="17"/>
  <c r="J270" i="17"/>
  <c r="J206" i="17"/>
  <c r="J142" i="17"/>
  <c r="J78" i="17"/>
  <c r="J14" i="17"/>
  <c r="A6" i="15"/>
  <c r="F174" i="12"/>
  <c r="C89" i="12"/>
  <c r="H3" i="12"/>
  <c r="A163" i="11"/>
  <c r="G77" i="11"/>
  <c r="A1" i="10"/>
  <c r="G16" i="8"/>
  <c r="H4" i="7"/>
  <c r="A265" i="6"/>
  <c r="A233" i="6"/>
  <c r="A201" i="6"/>
  <c r="A169" i="6"/>
  <c r="A137" i="6"/>
  <c r="A105" i="6"/>
  <c r="A73" i="6"/>
  <c r="A41" i="6"/>
  <c r="A9" i="6"/>
  <c r="B404" i="5"/>
  <c r="F391" i="5"/>
  <c r="J378" i="5"/>
  <c r="N365" i="5"/>
  <c r="R352" i="5"/>
  <c r="B340" i="5"/>
  <c r="F327" i="5"/>
  <c r="J314" i="5"/>
  <c r="N301" i="5"/>
  <c r="R288" i="5"/>
  <c r="B276" i="5"/>
  <c r="F263" i="5"/>
  <c r="J250" i="5"/>
  <c r="N237" i="5"/>
  <c r="R224" i="5"/>
  <c r="B212" i="5"/>
  <c r="F199" i="5"/>
  <c r="J186" i="5"/>
  <c r="N173" i="5"/>
  <c r="R160" i="5"/>
  <c r="B148" i="5"/>
  <c r="F135" i="5"/>
  <c r="J122" i="5"/>
  <c r="N109" i="5"/>
  <c r="R96" i="5"/>
  <c r="B84" i="5"/>
  <c r="F71" i="5"/>
  <c r="J58" i="5"/>
  <c r="N45" i="5"/>
  <c r="R32" i="5"/>
  <c r="B20" i="5"/>
  <c r="E7" i="5"/>
  <c r="AJ398" i="3"/>
  <c r="B383" i="3"/>
  <c r="G367" i="3"/>
  <c r="I351" i="3"/>
  <c r="AI335" i="3"/>
  <c r="E320" i="3"/>
  <c r="H304" i="3"/>
  <c r="J288" i="3"/>
  <c r="AE272" i="3"/>
  <c r="AG256" i="3"/>
  <c r="A241" i="3"/>
  <c r="C225" i="3"/>
  <c r="E209" i="3"/>
  <c r="I193" i="3"/>
  <c r="AH177" i="3"/>
  <c r="AJ161" i="3"/>
  <c r="D146" i="3"/>
  <c r="E130" i="3"/>
  <c r="H114" i="3"/>
  <c r="I98" i="3"/>
  <c r="AG82" i="3"/>
  <c r="AI66" i="3"/>
  <c r="B51" i="3"/>
  <c r="D35" i="3"/>
  <c r="E21" i="3"/>
  <c r="B13" i="3"/>
  <c r="I833" i="25"/>
  <c r="G207" i="25"/>
  <c r="F112" i="23"/>
  <c r="D11" i="22"/>
  <c r="G78" i="19"/>
  <c r="J360" i="17"/>
  <c r="J296" i="17"/>
  <c r="J232" i="17"/>
  <c r="J168" i="17"/>
  <c r="J104" i="17"/>
  <c r="J40" i="17"/>
  <c r="A58" i="15"/>
  <c r="F214" i="12"/>
  <c r="C129" i="12"/>
  <c r="H43" i="12"/>
  <c r="G197" i="11"/>
  <c r="D112" i="11"/>
  <c r="A27" i="11"/>
  <c r="G25" i="8"/>
  <c r="H11" i="7"/>
  <c r="A272" i="6"/>
  <c r="A240" i="6"/>
  <c r="A208" i="6"/>
  <c r="A176" i="6"/>
  <c r="A144" i="6"/>
  <c r="A112" i="6"/>
  <c r="A80" i="6"/>
  <c r="A48" i="6"/>
  <c r="A16" i="6"/>
  <c r="N407" i="5"/>
  <c r="R394" i="5"/>
  <c r="B382" i="5"/>
  <c r="F369" i="5"/>
  <c r="J356" i="5"/>
  <c r="N343" i="5"/>
  <c r="R330" i="5"/>
  <c r="B318" i="5"/>
  <c r="F305" i="5"/>
  <c r="J292" i="5"/>
  <c r="N279" i="5"/>
  <c r="R266" i="5"/>
  <c r="B254" i="5"/>
  <c r="F241" i="5"/>
  <c r="J228" i="5"/>
  <c r="N215" i="5"/>
  <c r="R202" i="5"/>
  <c r="B190" i="5"/>
  <c r="F177" i="5"/>
  <c r="J164" i="5"/>
  <c r="N151" i="5"/>
  <c r="R138" i="5"/>
  <c r="B126" i="5"/>
  <c r="F113" i="5"/>
  <c r="J100" i="5"/>
  <c r="N87" i="5"/>
  <c r="R74" i="5"/>
  <c r="B62" i="5"/>
  <c r="F49" i="5"/>
  <c r="J36" i="5"/>
  <c r="N23" i="5"/>
  <c r="Q10" i="5"/>
  <c r="G403" i="3"/>
  <c r="J387" i="3"/>
  <c r="AI371" i="3"/>
  <c r="AJ355" i="3"/>
  <c r="E340" i="3"/>
  <c r="AE324" i="3"/>
  <c r="AI308" i="3"/>
  <c r="B293" i="3"/>
  <c r="C277" i="3"/>
  <c r="D261" i="3"/>
  <c r="I245" i="3"/>
  <c r="J229" i="3"/>
  <c r="AF213" i="3"/>
  <c r="AH197" i="3"/>
  <c r="D182" i="3"/>
  <c r="H166" i="3"/>
  <c r="AE150" i="3"/>
  <c r="AG134" i="3"/>
  <c r="AI118" i="3"/>
  <c r="A103" i="3"/>
  <c r="E87" i="3"/>
  <c r="F71" i="3"/>
  <c r="J55" i="3"/>
  <c r="AF39" i="3"/>
  <c r="D24" i="3"/>
  <c r="F15" i="3"/>
  <c r="F7" i="3"/>
  <c r="G411" i="2"/>
  <c r="U408" i="2"/>
  <c r="I406" i="2"/>
  <c r="W403" i="2"/>
  <c r="K401" i="2"/>
  <c r="Y398" i="2"/>
  <c r="M396" i="2"/>
  <c r="A394" i="2"/>
  <c r="O391" i="2"/>
  <c r="C389" i="2"/>
  <c r="Q386" i="2"/>
  <c r="E384" i="2"/>
  <c r="S381" i="2"/>
  <c r="G379" i="2"/>
  <c r="U376" i="2"/>
  <c r="I374" i="2"/>
  <c r="W371" i="2"/>
  <c r="K369" i="2"/>
  <c r="Y366" i="2"/>
  <c r="M364" i="2"/>
  <c r="A362" i="2"/>
  <c r="O359" i="2"/>
  <c r="C357" i="2"/>
  <c r="Q354" i="2"/>
  <c r="E352" i="2"/>
  <c r="S349" i="2"/>
  <c r="G347" i="2"/>
  <c r="U344" i="2"/>
  <c r="I342" i="2"/>
  <c r="W339" i="2"/>
  <c r="K337" i="2"/>
  <c r="Y334" i="2"/>
  <c r="M332" i="2"/>
  <c r="A330" i="2"/>
  <c r="O327" i="2"/>
  <c r="C325" i="2"/>
  <c r="Q322" i="2"/>
  <c r="E320" i="2"/>
  <c r="S317" i="2"/>
  <c r="G315" i="2"/>
  <c r="U312" i="2"/>
  <c r="I310" i="2"/>
  <c r="W307" i="2"/>
  <c r="K305" i="2"/>
  <c r="Y302" i="2"/>
  <c r="M300" i="2"/>
  <c r="A298" i="2"/>
  <c r="O295" i="2"/>
  <c r="C293" i="2"/>
  <c r="Q290" i="2"/>
  <c r="E288" i="2"/>
  <c r="S285" i="2"/>
  <c r="G283" i="2"/>
  <c r="U280" i="2"/>
  <c r="I278" i="2"/>
  <c r="W275" i="2"/>
  <c r="K273" i="2"/>
  <c r="Y270" i="2"/>
  <c r="M268" i="2"/>
  <c r="A266" i="2"/>
  <c r="O263" i="2"/>
  <c r="C261" i="2"/>
  <c r="Q258" i="2"/>
  <c r="E256" i="2"/>
  <c r="S253" i="2"/>
  <c r="G251" i="2"/>
  <c r="U248" i="2"/>
  <c r="I246" i="2"/>
  <c r="W243" i="2"/>
  <c r="K241" i="2"/>
  <c r="Y238" i="2"/>
  <c r="M236" i="2"/>
  <c r="A234" i="2"/>
  <c r="O231" i="2"/>
  <c r="C229" i="2"/>
  <c r="Q226" i="2"/>
  <c r="E224" i="2"/>
  <c r="S221" i="2"/>
  <c r="G219" i="2"/>
  <c r="U216" i="2"/>
  <c r="I214" i="2"/>
  <c r="W211" i="2"/>
  <c r="K209" i="2"/>
  <c r="Y206" i="2"/>
  <c r="M204" i="2"/>
  <c r="A202" i="2"/>
  <c r="O199" i="2"/>
  <c r="C197" i="2"/>
  <c r="Q194" i="2"/>
  <c r="E192" i="2"/>
  <c r="S189" i="2"/>
  <c r="G187" i="2"/>
  <c r="U184" i="2"/>
  <c r="I182" i="2"/>
  <c r="W179" i="2"/>
  <c r="K177" i="2"/>
  <c r="Y174" i="2"/>
  <c r="M172" i="2"/>
  <c r="A170" i="2"/>
  <c r="O167" i="2"/>
  <c r="C165" i="2"/>
  <c r="Q162" i="2"/>
  <c r="E160" i="2"/>
  <c r="S157" i="2"/>
  <c r="G155" i="2"/>
  <c r="U152" i="2"/>
  <c r="I150" i="2"/>
  <c r="W147" i="2"/>
  <c r="K145" i="2"/>
  <c r="Y142" i="2"/>
  <c r="M140" i="2"/>
  <c r="A138" i="2"/>
  <c r="O135" i="2"/>
  <c r="C133" i="2"/>
  <c r="Q130" i="2"/>
  <c r="E128" i="2"/>
  <c r="S125" i="2"/>
  <c r="G123" i="2"/>
  <c r="U120" i="2"/>
  <c r="I118" i="2"/>
  <c r="W115" i="2"/>
  <c r="K113" i="2"/>
  <c r="Y110" i="2"/>
  <c r="M108" i="2"/>
  <c r="A106" i="2"/>
  <c r="O103" i="2"/>
  <c r="C101" i="2"/>
  <c r="Q98" i="2"/>
  <c r="E96" i="2"/>
  <c r="S93" i="2"/>
  <c r="G91" i="2"/>
  <c r="U88" i="2"/>
  <c r="I86" i="2"/>
  <c r="W83" i="2"/>
  <c r="K81" i="2"/>
  <c r="Y78" i="2"/>
  <c r="M76" i="2"/>
  <c r="A74" i="2"/>
  <c r="O71" i="2"/>
  <c r="C69" i="2"/>
  <c r="Q66" i="2"/>
  <c r="E64" i="2"/>
  <c r="S61" i="2"/>
  <c r="G59" i="2"/>
  <c r="U56" i="2"/>
  <c r="I54" i="2"/>
  <c r="W51" i="2"/>
  <c r="K49" i="2"/>
  <c r="Y46" i="2"/>
  <c r="M44" i="2"/>
  <c r="A42" i="2"/>
  <c r="O39" i="2"/>
  <c r="C37" i="2"/>
  <c r="Q34" i="2"/>
  <c r="E32" i="2"/>
  <c r="S29" i="2"/>
  <c r="G27" i="2"/>
  <c r="U24" i="2"/>
  <c r="I22" i="2"/>
  <c r="W19" i="2"/>
  <c r="K17" i="2"/>
  <c r="Y14" i="2"/>
  <c r="L12" i="2"/>
  <c r="Z9" i="2"/>
  <c r="N7" i="2"/>
  <c r="H595" i="25"/>
  <c r="H86" i="25"/>
  <c r="A22" i="23"/>
  <c r="G234" i="19"/>
  <c r="F11" i="19"/>
  <c r="J335" i="17"/>
  <c r="J271" i="17"/>
  <c r="J207" i="17"/>
  <c r="J143" i="17"/>
  <c r="J79" i="17"/>
  <c r="J15" i="17"/>
  <c r="A8" i="15"/>
  <c r="C181" i="12"/>
  <c r="H95" i="12"/>
  <c r="F10" i="12"/>
  <c r="D164" i="11"/>
  <c r="A79" i="11"/>
  <c r="F1" i="10"/>
  <c r="C15" i="8"/>
  <c r="E293" i="6"/>
  <c r="E261" i="6"/>
  <c r="E229" i="6"/>
  <c r="E197" i="6"/>
  <c r="E165" i="6"/>
  <c r="E133" i="6"/>
  <c r="E101" i="6"/>
  <c r="E69" i="6"/>
  <c r="E37" i="6"/>
  <c r="E5" i="6"/>
  <c r="N402" i="5"/>
  <c r="R389" i="5"/>
  <c r="B377" i="5"/>
  <c r="F364" i="5"/>
  <c r="J351" i="5"/>
  <c r="N338" i="5"/>
  <c r="R325" i="5"/>
  <c r="B313" i="5"/>
  <c r="F300" i="5"/>
  <c r="J287" i="5"/>
  <c r="N274" i="5"/>
  <c r="R261" i="5"/>
  <c r="B249" i="5"/>
  <c r="F236" i="5"/>
  <c r="J223" i="5"/>
  <c r="N210" i="5"/>
  <c r="R197" i="5"/>
  <c r="B185" i="5"/>
  <c r="F172" i="5"/>
  <c r="J159" i="5"/>
  <c r="N146" i="5"/>
  <c r="R133" i="5"/>
  <c r="B121" i="5"/>
  <c r="F108" i="5"/>
  <c r="J95" i="5"/>
  <c r="N82" i="5"/>
  <c r="R69" i="5"/>
  <c r="B57" i="5"/>
  <c r="F44" i="5"/>
  <c r="J31" i="5"/>
  <c r="N18" i="5"/>
  <c r="AI412" i="3"/>
  <c r="D397" i="3"/>
  <c r="G381" i="3"/>
  <c r="AE365" i="3"/>
  <c r="AG349" i="3"/>
  <c r="D334" i="3"/>
  <c r="I318" i="3"/>
  <c r="AF302" i="3"/>
  <c r="AI286" i="3"/>
  <c r="AI270" i="3"/>
  <c r="B255" i="3"/>
  <c r="E239" i="3"/>
  <c r="G223" i="3"/>
  <c r="I207" i="3"/>
  <c r="AH191" i="3"/>
  <c r="B176" i="3"/>
  <c r="D160" i="3"/>
  <c r="H144" i="3"/>
  <c r="I128" i="3"/>
  <c r="AF112" i="3"/>
  <c r="AH96" i="3"/>
  <c r="A81" i="3"/>
  <c r="C65" i="3"/>
  <c r="F49" i="3"/>
  <c r="H33" i="3"/>
  <c r="D20" i="3"/>
  <c r="D12" i="3"/>
  <c r="F72" i="25"/>
  <c r="J345" i="17"/>
  <c r="J89" i="17"/>
  <c r="H119" i="12"/>
  <c r="G17" i="11"/>
  <c r="E242" i="6"/>
  <c r="E114" i="6"/>
  <c r="F410" i="5"/>
  <c r="B359" i="5"/>
  <c r="R307" i="5"/>
  <c r="N256" i="5"/>
  <c r="J205" i="5"/>
  <c r="F154" i="5"/>
  <c r="B103" i="5"/>
  <c r="R51" i="5"/>
  <c r="J407" i="3"/>
  <c r="H344" i="3"/>
  <c r="G281" i="3"/>
  <c r="AJ217" i="3"/>
  <c r="AH154" i="3"/>
  <c r="H91" i="3"/>
  <c r="A28" i="3"/>
  <c r="D412" i="2"/>
  <c r="W408" i="2"/>
  <c r="P405" i="2"/>
  <c r="H402" i="2"/>
  <c r="A399" i="2"/>
  <c r="T395" i="2"/>
  <c r="L392" i="2"/>
  <c r="E389" i="2"/>
  <c r="X385" i="2"/>
  <c r="P382" i="2"/>
  <c r="I379" i="2"/>
  <c r="B376" i="2"/>
  <c r="T372" i="2"/>
  <c r="M369" i="2"/>
  <c r="F366" i="2"/>
  <c r="X362" i="2"/>
  <c r="Q359" i="2"/>
  <c r="J356" i="2"/>
  <c r="B353" i="2"/>
  <c r="U349" i="2"/>
  <c r="N346" i="2"/>
  <c r="F343" i="2"/>
  <c r="Y339" i="2"/>
  <c r="R336" i="2"/>
  <c r="J333" i="2"/>
  <c r="C330" i="2"/>
  <c r="V326" i="2"/>
  <c r="N323" i="2"/>
  <c r="G320" i="2"/>
  <c r="Z316" i="2"/>
  <c r="R313" i="2"/>
  <c r="K310" i="2"/>
  <c r="D307" i="2"/>
  <c r="V303" i="2"/>
  <c r="O300" i="2"/>
  <c r="H297" i="2"/>
  <c r="Z293" i="2"/>
  <c r="S290" i="2"/>
  <c r="L287" i="2"/>
  <c r="D284" i="2"/>
  <c r="W280" i="2"/>
  <c r="P277" i="2"/>
  <c r="H274" i="2"/>
  <c r="A271" i="2"/>
  <c r="T267" i="2"/>
  <c r="L264" i="2"/>
  <c r="E261" i="2"/>
  <c r="X257" i="2"/>
  <c r="P254" i="2"/>
  <c r="I251" i="2"/>
  <c r="B248" i="2"/>
  <c r="T244" i="2"/>
  <c r="M241" i="2"/>
  <c r="F238" i="2"/>
  <c r="X234" i="2"/>
  <c r="Q231" i="2"/>
  <c r="J228" i="2"/>
  <c r="B225" i="2"/>
  <c r="U221" i="2"/>
  <c r="N218" i="2"/>
  <c r="F215" i="2"/>
  <c r="Y211" i="2"/>
  <c r="R208" i="2"/>
  <c r="J205" i="2"/>
  <c r="C202" i="2"/>
  <c r="V198" i="2"/>
  <c r="N195" i="2"/>
  <c r="G192" i="2"/>
  <c r="Z188" i="2"/>
  <c r="R185" i="2"/>
  <c r="K182" i="2"/>
  <c r="D179" i="2"/>
  <c r="V175" i="2"/>
  <c r="O172" i="2"/>
  <c r="H169" i="2"/>
  <c r="Z165" i="2"/>
  <c r="S162" i="2"/>
  <c r="L159" i="2"/>
  <c r="D156" i="2"/>
  <c r="W152" i="2"/>
  <c r="P149" i="2"/>
  <c r="H146" i="2"/>
  <c r="A143" i="2"/>
  <c r="T139" i="2"/>
  <c r="L136" i="2"/>
  <c r="E133" i="2"/>
  <c r="X129" i="2"/>
  <c r="P126" i="2"/>
  <c r="I123" i="2"/>
  <c r="B120" i="2"/>
  <c r="T116" i="2"/>
  <c r="M113" i="2"/>
  <c r="F110" i="2"/>
  <c r="X106" i="2"/>
  <c r="Q103" i="2"/>
  <c r="J100" i="2"/>
  <c r="B97" i="2"/>
  <c r="U93" i="2"/>
  <c r="N90" i="2"/>
  <c r="F87" i="2"/>
  <c r="Y83" i="2"/>
  <c r="R80" i="2"/>
  <c r="J77" i="2"/>
  <c r="C74" i="2"/>
  <c r="V70" i="2"/>
  <c r="N67" i="2"/>
  <c r="G64" i="2"/>
  <c r="Z60" i="2"/>
  <c r="R57" i="2"/>
  <c r="K54" i="2"/>
  <c r="D51" i="2"/>
  <c r="V47" i="2"/>
  <c r="O44" i="2"/>
  <c r="H41" i="2"/>
  <c r="Z37" i="2"/>
  <c r="S34" i="2"/>
  <c r="L31" i="2"/>
  <c r="D28" i="2"/>
  <c r="W24" i="2"/>
  <c r="P21" i="2"/>
  <c r="H18" i="2"/>
  <c r="A15" i="2"/>
  <c r="S11" i="2"/>
  <c r="K8" i="2"/>
  <c r="N412" i="2"/>
  <c r="F409" i="2"/>
  <c r="Y405" i="2"/>
  <c r="R402" i="2"/>
  <c r="J399" i="2"/>
  <c r="C396" i="2"/>
  <c r="V392" i="2"/>
  <c r="N389" i="2"/>
  <c r="G386" i="2"/>
  <c r="Z382" i="2"/>
  <c r="R379" i="2"/>
  <c r="K376" i="2"/>
  <c r="D373" i="2"/>
  <c r="V369" i="2"/>
  <c r="O366" i="2"/>
  <c r="H363" i="2"/>
  <c r="Z359" i="2"/>
  <c r="S356" i="2"/>
  <c r="L353" i="2"/>
  <c r="D350" i="2"/>
  <c r="W346" i="2"/>
  <c r="P343" i="2"/>
  <c r="H340" i="2"/>
  <c r="A337" i="2"/>
  <c r="T333" i="2"/>
  <c r="L330" i="2"/>
  <c r="E327" i="2"/>
  <c r="X323" i="2"/>
  <c r="P320" i="2"/>
  <c r="I317" i="2"/>
  <c r="B314" i="2"/>
  <c r="T310" i="2"/>
  <c r="M307" i="2"/>
  <c r="F304" i="2"/>
  <c r="X300" i="2"/>
  <c r="Q297" i="2"/>
  <c r="J294" i="2"/>
  <c r="B291" i="2"/>
  <c r="U287" i="2"/>
  <c r="N284" i="2"/>
  <c r="F281" i="2"/>
  <c r="Y277" i="2"/>
  <c r="R274" i="2"/>
  <c r="J271" i="2"/>
  <c r="C268" i="2"/>
  <c r="V264" i="2"/>
  <c r="N261" i="2"/>
  <c r="G258" i="2"/>
  <c r="Z254" i="2"/>
  <c r="R251" i="2"/>
  <c r="K248" i="2"/>
  <c r="D245" i="2"/>
  <c r="V241" i="2"/>
  <c r="O238" i="2"/>
  <c r="H235" i="2"/>
  <c r="Z231" i="2"/>
  <c r="S228" i="2"/>
  <c r="L225" i="2"/>
  <c r="D222" i="2"/>
  <c r="W218" i="2"/>
  <c r="P215" i="2"/>
  <c r="H212" i="2"/>
  <c r="A209" i="2"/>
  <c r="T205" i="2"/>
  <c r="L202" i="2"/>
  <c r="E199" i="2"/>
  <c r="X195" i="2"/>
  <c r="P192" i="2"/>
  <c r="I189" i="2"/>
  <c r="B186" i="2"/>
  <c r="T182" i="2"/>
  <c r="M179" i="2"/>
  <c r="F176" i="2"/>
  <c r="X172" i="2"/>
  <c r="Q169" i="2"/>
  <c r="J166" i="2"/>
  <c r="B163" i="2"/>
  <c r="U159" i="2"/>
  <c r="N156" i="2"/>
  <c r="F153" i="2"/>
  <c r="Y149" i="2"/>
  <c r="R146" i="2"/>
  <c r="J143" i="2"/>
  <c r="C140" i="2"/>
  <c r="V136" i="2"/>
  <c r="N133" i="2"/>
  <c r="G130" i="2"/>
  <c r="Z126" i="2"/>
  <c r="R123" i="2"/>
  <c r="K120" i="2"/>
  <c r="D117" i="2"/>
  <c r="V113" i="2"/>
  <c r="O110" i="2"/>
  <c r="H107" i="2"/>
  <c r="Z103" i="2"/>
  <c r="S100" i="2"/>
  <c r="L97" i="2"/>
  <c r="D94" i="2"/>
  <c r="W90" i="2"/>
  <c r="P87" i="2"/>
  <c r="H84" i="2"/>
  <c r="A81" i="2"/>
  <c r="T77" i="2"/>
  <c r="L74" i="2"/>
  <c r="E71" i="2"/>
  <c r="X67" i="2"/>
  <c r="P64" i="2"/>
  <c r="I61" i="2"/>
  <c r="B58" i="2"/>
  <c r="T54" i="2"/>
  <c r="M51" i="2"/>
  <c r="F48" i="2"/>
  <c r="X44" i="2"/>
  <c r="Q41" i="2"/>
  <c r="J38" i="2"/>
  <c r="B35" i="2"/>
  <c r="U31" i="2"/>
  <c r="N28" i="2"/>
  <c r="F25" i="2"/>
  <c r="Y21" i="2"/>
  <c r="R18" i="2"/>
  <c r="J15" i="2"/>
  <c r="B12" i="2"/>
  <c r="U8" i="2"/>
  <c r="W412" i="2"/>
  <c r="P409" i="2"/>
  <c r="H406" i="2"/>
  <c r="A403" i="2"/>
  <c r="T399" i="2"/>
  <c r="L396" i="2"/>
  <c r="E393" i="2"/>
  <c r="X389" i="2"/>
  <c r="P386" i="2"/>
  <c r="I383" i="2"/>
  <c r="B380" i="2"/>
  <c r="T376" i="2"/>
  <c r="M373" i="2"/>
  <c r="F370" i="2"/>
  <c r="X366" i="2"/>
  <c r="Q363" i="2"/>
  <c r="J360" i="2"/>
  <c r="B357" i="2"/>
  <c r="U353" i="2"/>
  <c r="N350" i="2"/>
  <c r="F347" i="2"/>
  <c r="Y343" i="2"/>
  <c r="R340" i="2"/>
  <c r="J337" i="2"/>
  <c r="C334" i="2"/>
  <c r="V330" i="2"/>
  <c r="N327" i="2"/>
  <c r="G324" i="2"/>
  <c r="Z320" i="2"/>
  <c r="R317" i="2"/>
  <c r="K314" i="2"/>
  <c r="D311" i="2"/>
  <c r="V307" i="2"/>
  <c r="O304" i="2"/>
  <c r="H301" i="2"/>
  <c r="Z297" i="2"/>
  <c r="S294" i="2"/>
  <c r="L291" i="2"/>
  <c r="D288" i="2"/>
  <c r="W284" i="2"/>
  <c r="P281" i="2"/>
  <c r="H278" i="2"/>
  <c r="A275" i="2"/>
  <c r="T271" i="2"/>
  <c r="L268" i="2"/>
  <c r="E265" i="2"/>
  <c r="X261" i="2"/>
  <c r="P258" i="2"/>
  <c r="I255" i="2"/>
  <c r="B252" i="2"/>
  <c r="T248" i="2"/>
  <c r="M245" i="2"/>
  <c r="F242" i="2"/>
  <c r="X238" i="2"/>
  <c r="Q235" i="2"/>
  <c r="J232" i="2"/>
  <c r="B229" i="2"/>
  <c r="U225" i="2"/>
  <c r="N222" i="2"/>
  <c r="F219" i="2"/>
  <c r="Y215" i="2"/>
  <c r="R212" i="2"/>
  <c r="J209" i="2"/>
  <c r="C206" i="2"/>
  <c r="V202" i="2"/>
  <c r="N199" i="2"/>
  <c r="G196" i="2"/>
  <c r="Z192" i="2"/>
  <c r="R189" i="2"/>
  <c r="K186" i="2"/>
  <c r="D183" i="2"/>
  <c r="V179" i="2"/>
  <c r="O176" i="2"/>
  <c r="H173" i="2"/>
  <c r="Z169" i="2"/>
  <c r="S166" i="2"/>
  <c r="L163" i="2"/>
  <c r="D160" i="2"/>
  <c r="W156" i="2"/>
  <c r="P153" i="2"/>
  <c r="H150" i="2"/>
  <c r="A147" i="2"/>
  <c r="T143" i="2"/>
  <c r="L140" i="2"/>
  <c r="E137" i="2"/>
  <c r="X133" i="2"/>
  <c r="P130" i="2"/>
  <c r="I127" i="2"/>
  <c r="B124" i="2"/>
  <c r="T120" i="2"/>
  <c r="M117" i="2"/>
  <c r="F114" i="2"/>
  <c r="X110" i="2"/>
  <c r="Q107" i="2"/>
  <c r="J104" i="2"/>
  <c r="B101" i="2"/>
  <c r="U97" i="2"/>
  <c r="N94" i="2"/>
  <c r="F91" i="2"/>
  <c r="Y87" i="2"/>
  <c r="R84" i="2"/>
  <c r="J81" i="2"/>
  <c r="C78" i="2"/>
  <c r="V74" i="2"/>
  <c r="N71" i="2"/>
  <c r="G68" i="2"/>
  <c r="Z64" i="2"/>
  <c r="R61" i="2"/>
  <c r="K58" i="2"/>
  <c r="D55" i="2"/>
  <c r="V51" i="2"/>
  <c r="O48" i="2"/>
  <c r="H45" i="2"/>
  <c r="Z41" i="2"/>
  <c r="S38" i="2"/>
  <c r="L35" i="2"/>
  <c r="D32" i="2"/>
  <c r="W28" i="2"/>
  <c r="P25" i="2"/>
  <c r="H22" i="2"/>
  <c r="A19" i="2"/>
  <c r="T15" i="2"/>
  <c r="K12" i="2"/>
  <c r="D9" i="2"/>
  <c r="A34" i="32"/>
  <c r="G146" i="19"/>
  <c r="J173" i="17"/>
  <c r="H231" i="12"/>
  <c r="G129" i="11"/>
  <c r="E292" i="6"/>
  <c r="E164" i="6"/>
  <c r="E36" i="6"/>
  <c r="B379" i="5"/>
  <c r="R327" i="5"/>
  <c r="N276" i="5"/>
  <c r="J225" i="5"/>
  <c r="F174" i="5"/>
  <c r="B123" i="5"/>
  <c r="R71" i="5"/>
  <c r="N20" i="5"/>
  <c r="C369" i="3"/>
  <c r="D306" i="3"/>
  <c r="AG242" i="3"/>
  <c r="I179" i="3"/>
  <c r="C116" i="3"/>
  <c r="AH52" i="3"/>
  <c r="H41" i="26"/>
  <c r="E55" i="19"/>
  <c r="J149" i="17"/>
  <c r="H199" i="12"/>
  <c r="G97" i="11"/>
  <c r="E264" i="6"/>
  <c r="E136" i="6"/>
  <c r="E8" i="6"/>
  <c r="N364" i="5"/>
  <c r="J313" i="5"/>
  <c r="F262" i="5"/>
  <c r="B211" i="5"/>
  <c r="R159" i="5"/>
  <c r="N108" i="5"/>
  <c r="J57" i="5"/>
  <c r="E6" i="5"/>
  <c r="E351" i="3"/>
  <c r="F288" i="3"/>
  <c r="AI224" i="3"/>
  <c r="AF161" i="3"/>
  <c r="E98" i="3"/>
  <c r="AJ34" i="3"/>
  <c r="Q405" i="2"/>
  <c r="H399" i="2"/>
  <c r="N392" i="2"/>
  <c r="Y385" i="2"/>
  <c r="J379" i="2"/>
  <c r="A373" i="2"/>
  <c r="B366" i="2"/>
  <c r="R359" i="2"/>
  <c r="I353" i="2"/>
  <c r="O346" i="2"/>
  <c r="D338" i="2"/>
  <c r="P331" i="2"/>
  <c r="A325" i="2"/>
  <c r="G318" i="2"/>
  <c r="C312" i="2"/>
  <c r="D305" i="2"/>
  <c r="T298" i="2"/>
  <c r="P292" i="2"/>
  <c r="V285" i="2"/>
  <c r="H279" i="2"/>
  <c r="X272" i="2"/>
  <c r="J266" i="2"/>
  <c r="U259" i="2"/>
  <c r="Q253" i="2"/>
  <c r="M247" i="2"/>
  <c r="M239" i="2"/>
  <c r="X232" i="2"/>
  <c r="Y225" i="2"/>
  <c r="P219" i="2"/>
  <c r="A213" i="2"/>
  <c r="B206" i="2"/>
  <c r="X200" i="2"/>
  <c r="T194" i="2"/>
  <c r="F188" i="2"/>
  <c r="B182" i="2"/>
  <c r="R175" i="2"/>
  <c r="S168" i="2"/>
  <c r="J162" i="2"/>
  <c r="F156" i="2"/>
  <c r="Q149" i="2"/>
  <c r="R142" i="2"/>
  <c r="R135" i="2"/>
  <c r="D129" i="2"/>
  <c r="O122" i="2"/>
  <c r="Z115" i="2"/>
  <c r="L109" i="2"/>
  <c r="B103" i="2"/>
  <c r="S96" i="2"/>
  <c r="D90" i="2"/>
  <c r="F84" i="2"/>
  <c r="L77" i="2"/>
  <c r="W70" i="2"/>
  <c r="C64" i="2"/>
  <c r="T57" i="2"/>
  <c r="J51" i="2"/>
  <c r="V44" i="2"/>
  <c r="H39" i="2"/>
  <c r="X31" i="2"/>
  <c r="D25" i="2"/>
  <c r="O18" i="2"/>
  <c r="T11" i="2"/>
  <c r="A501" i="25"/>
  <c r="J369" i="17"/>
  <c r="J113" i="17"/>
  <c r="H151" i="12"/>
  <c r="A71" i="11"/>
  <c r="E270" i="6"/>
  <c r="E142" i="6"/>
  <c r="E14" i="6"/>
  <c r="B367" i="5"/>
  <c r="R315" i="5"/>
  <c r="N264" i="5"/>
  <c r="J213" i="5"/>
  <c r="F162" i="5"/>
  <c r="B111" i="5"/>
  <c r="R59" i="5"/>
  <c r="M8" i="5"/>
  <c r="E350" i="3"/>
  <c r="G287" i="3"/>
  <c r="AI223" i="3"/>
  <c r="AF160" i="3"/>
  <c r="F97" i="3"/>
  <c r="AJ33" i="3"/>
  <c r="U411" i="2"/>
  <c r="N408" i="2"/>
  <c r="J403" i="2"/>
  <c r="P396" i="2"/>
  <c r="L390" i="2"/>
  <c r="R383" i="2"/>
  <c r="I377" i="2"/>
  <c r="O370" i="2"/>
  <c r="Z363" i="2"/>
  <c r="L357" i="2"/>
  <c r="R350" i="2"/>
  <c r="X344" i="2"/>
  <c r="P339" i="2"/>
  <c r="A333" i="2"/>
  <c r="L326" i="2"/>
  <c r="X319" i="2"/>
  <c r="D313" i="2"/>
  <c r="T306" i="2"/>
  <c r="K300" i="2"/>
  <c r="L293" i="2"/>
  <c r="W286" i="2"/>
  <c r="H280" i="2"/>
  <c r="N273" i="2"/>
  <c r="Z266" i="2"/>
  <c r="K260" i="2"/>
  <c r="L253" i="2"/>
  <c r="R246" i="2"/>
  <c r="I241" i="2"/>
  <c r="Z234" i="2"/>
  <c r="P228" i="2"/>
  <c r="B222" i="2"/>
  <c r="H215" i="2"/>
  <c r="S208" i="2"/>
  <c r="D201" i="2"/>
  <c r="D194" i="2"/>
  <c r="P187" i="2"/>
  <c r="P180" i="2"/>
  <c r="B174" i="2"/>
  <c r="M167" i="2"/>
  <c r="S160" i="2"/>
  <c r="Y153" i="2"/>
  <c r="J147" i="2"/>
  <c r="L141" i="2"/>
  <c r="B135" i="2"/>
  <c r="N128" i="2"/>
  <c r="Y121" i="2"/>
  <c r="J115" i="2"/>
  <c r="V108" i="2"/>
  <c r="B102" i="2"/>
  <c r="H95" i="2"/>
  <c r="S88" i="2"/>
  <c r="N81" i="2"/>
  <c r="Z74" i="2"/>
  <c r="P68" i="2"/>
  <c r="G62" i="2"/>
  <c r="V53" i="2"/>
  <c r="L37" i="2"/>
  <c r="E19" i="2"/>
  <c r="W7" i="2"/>
  <c r="I580" i="25"/>
  <c r="D21" i="23"/>
  <c r="E464" i="25"/>
  <c r="A98" i="24"/>
  <c r="I137" i="25"/>
  <c r="A211" i="19"/>
  <c r="F107" i="24"/>
  <c r="H208" i="19"/>
  <c r="D31" i="19"/>
  <c r="B308" i="25"/>
  <c r="D10" i="24"/>
  <c r="G128" i="22"/>
  <c r="C147" i="19"/>
  <c r="F1" i="18"/>
  <c r="E317" i="17"/>
  <c r="E253" i="17"/>
  <c r="E181" i="17"/>
  <c r="E117" i="17"/>
  <c r="E61" i="17"/>
  <c r="C100" i="15"/>
  <c r="D2" i="14"/>
  <c r="A363" i="25"/>
  <c r="B70" i="24"/>
  <c r="F168" i="22"/>
  <c r="B177" i="19"/>
  <c r="L380" i="17"/>
  <c r="H295" i="17"/>
  <c r="H199" i="17"/>
  <c r="D114" i="17"/>
  <c r="L28" i="17"/>
  <c r="B28" i="15"/>
  <c r="A160" i="12"/>
  <c r="E87" i="12"/>
  <c r="E39" i="12"/>
  <c r="F209" i="11"/>
  <c r="F137" i="11"/>
  <c r="F65" i="11"/>
  <c r="G1" i="11"/>
  <c r="H356" i="25"/>
  <c r="E224" i="23"/>
  <c r="H119" i="22"/>
  <c r="F142" i="19"/>
  <c r="C380" i="17"/>
  <c r="C316" i="17"/>
  <c r="C244" i="17"/>
  <c r="C188" i="17"/>
  <c r="C116" i="17"/>
  <c r="C52" i="17"/>
  <c r="H68" i="15"/>
  <c r="A2" i="14"/>
  <c r="D200" i="12"/>
  <c r="B147" i="12"/>
  <c r="G61" i="12"/>
  <c r="C218" i="11"/>
  <c r="H132" i="11"/>
  <c r="E47" i="11"/>
  <c r="C574" i="25"/>
  <c r="F70" i="25"/>
  <c r="F206" i="22"/>
  <c r="A13" i="19"/>
  <c r="G332" i="17"/>
  <c r="G268" i="17"/>
  <c r="G188" i="17"/>
  <c r="G116" i="17"/>
  <c r="G44" i="17"/>
  <c r="D68" i="15"/>
  <c r="B222" i="12"/>
  <c r="B126" i="12"/>
  <c r="G40" i="12"/>
  <c r="H197" i="11"/>
  <c r="H101" i="11"/>
  <c r="E16" i="11"/>
  <c r="D115" i="24"/>
  <c r="G203" i="19"/>
  <c r="F307" i="17"/>
  <c r="F163" i="17"/>
  <c r="F35" i="17"/>
  <c r="F209" i="12"/>
  <c r="C60" i="12"/>
  <c r="A110" i="11"/>
  <c r="D28" i="8"/>
  <c r="B268" i="6"/>
  <c r="B196" i="6"/>
  <c r="B132" i="6"/>
  <c r="B68" i="6"/>
  <c r="C412" i="5"/>
  <c r="K386" i="5"/>
  <c r="S360" i="5"/>
  <c r="G335" i="5"/>
  <c r="O309" i="5"/>
  <c r="C284" i="5"/>
  <c r="G255" i="5"/>
  <c r="K226" i="5"/>
  <c r="S200" i="5"/>
  <c r="G175" i="5"/>
  <c r="O149" i="5"/>
  <c r="S120" i="5"/>
  <c r="G95" i="5"/>
  <c r="O69" i="5"/>
  <c r="G47" i="5"/>
  <c r="O21" i="5"/>
  <c r="AH400" i="3"/>
  <c r="F369" i="3"/>
  <c r="AG337" i="3"/>
  <c r="G302" i="3"/>
  <c r="AD266" i="3"/>
  <c r="A231" i="3"/>
  <c r="D199" i="3"/>
  <c r="AI159" i="3"/>
  <c r="D128" i="3"/>
  <c r="J96" i="3"/>
  <c r="AH68" i="3"/>
  <c r="C33" i="3"/>
  <c r="A85" i="25"/>
  <c r="G245" i="19"/>
  <c r="N318" i="17"/>
  <c r="N174" i="17"/>
  <c r="N46" i="17"/>
  <c r="C226" i="12"/>
  <c r="C34" i="12"/>
  <c r="A84" i="11"/>
  <c r="F24" i="8"/>
  <c r="H288" i="6"/>
  <c r="D246" i="6"/>
  <c r="H208" i="6"/>
  <c r="D166" i="6"/>
  <c r="D119" i="6"/>
  <c r="D83" i="6"/>
  <c r="D55" i="6"/>
  <c r="D19" i="6"/>
  <c r="I408" i="5"/>
  <c r="A394" i="5"/>
  <c r="E381" i="5"/>
  <c r="A370" i="5"/>
  <c r="E357" i="5"/>
  <c r="E341" i="5"/>
  <c r="I328" i="5"/>
  <c r="M315" i="5"/>
  <c r="I304" i="5"/>
  <c r="E293" i="5"/>
  <c r="Q278" i="5"/>
  <c r="A266" i="5"/>
  <c r="E253" i="5"/>
  <c r="I240" i="5"/>
  <c r="M227" i="5"/>
  <c r="M211" i="5"/>
  <c r="Q198" i="5"/>
  <c r="I184" i="5"/>
  <c r="M171" i="5"/>
  <c r="Q158" i="5"/>
  <c r="A146" i="5"/>
  <c r="E133" i="5"/>
  <c r="Q118" i="5"/>
  <c r="M107" i="5"/>
  <c r="I96" i="5"/>
  <c r="A82" i="5"/>
  <c r="Q70" i="5"/>
  <c r="M59" i="5"/>
  <c r="Q46" i="5"/>
  <c r="I32" i="5"/>
  <c r="M19" i="5"/>
  <c r="H8" i="5"/>
  <c r="D402" i="3"/>
  <c r="G386" i="3"/>
  <c r="AF370" i="3"/>
  <c r="AH352" i="3"/>
  <c r="C337" i="3"/>
  <c r="J321" i="3"/>
  <c r="AG305" i="3"/>
  <c r="AJ285" i="3"/>
  <c r="AJ275" i="3"/>
  <c r="AJ267" i="3"/>
  <c r="B260" i="3"/>
  <c r="D250" i="3"/>
  <c r="G236" i="3"/>
  <c r="I218" i="3"/>
  <c r="J200" i="3"/>
  <c r="A185" i="3"/>
  <c r="D169" i="3"/>
  <c r="H153" i="3"/>
  <c r="J135" i="3"/>
  <c r="AF119" i="3"/>
  <c r="AH105" i="3"/>
  <c r="A90" i="3"/>
  <c r="C74" i="3"/>
  <c r="E60" i="3"/>
  <c r="H44" i="3"/>
  <c r="A110" i="23"/>
  <c r="B62" i="19"/>
  <c r="B272" i="17"/>
  <c r="B128" i="17"/>
  <c r="A107" i="15"/>
  <c r="C143" i="12"/>
  <c r="D214" i="11"/>
  <c r="G43" i="11"/>
  <c r="A3" i="8"/>
  <c r="C251" i="6"/>
  <c r="C187" i="6"/>
  <c r="C115" i="6"/>
  <c r="C35" i="6"/>
  <c r="H405" i="5"/>
  <c r="P379" i="5"/>
  <c r="T350" i="5"/>
  <c r="H325" i="5"/>
  <c r="H293" i="5"/>
  <c r="P267" i="5"/>
  <c r="T238" i="5"/>
  <c r="D210" i="5"/>
  <c r="T174" i="5"/>
  <c r="D146" i="5"/>
  <c r="H117" i="5"/>
  <c r="L88" i="5"/>
  <c r="L56" i="5"/>
  <c r="T30" i="5"/>
  <c r="B412" i="3"/>
  <c r="AE376" i="3"/>
  <c r="AJ348" i="3"/>
  <c r="AE317" i="3"/>
  <c r="A286" i="3"/>
  <c r="C258" i="3"/>
  <c r="I226" i="3"/>
  <c r="AG194" i="3"/>
  <c r="H155" i="3"/>
  <c r="AG119" i="3"/>
  <c r="C84" i="3"/>
  <c r="H48" i="3"/>
  <c r="AG15" i="3"/>
  <c r="E353" i="25"/>
  <c r="G114" i="22"/>
  <c r="B353" i="17"/>
  <c r="B209" i="17"/>
  <c r="B65" i="17"/>
  <c r="B8" i="14"/>
  <c r="F56" i="12"/>
  <c r="G127" i="11"/>
  <c r="E34" i="8"/>
  <c r="G266" i="6"/>
  <c r="G202" i="6"/>
  <c r="G122" i="6"/>
  <c r="G50" i="6"/>
  <c r="D405" i="5"/>
  <c r="D373" i="5"/>
  <c r="D341" i="5"/>
  <c r="H312" i="5"/>
  <c r="L283" i="5"/>
  <c r="P254" i="5"/>
  <c r="H232" i="5"/>
  <c r="L213" i="5"/>
  <c r="T193" i="5"/>
  <c r="D181" i="5"/>
  <c r="P166" i="5"/>
  <c r="T153" i="5"/>
  <c r="D141" i="5"/>
  <c r="H128" i="5"/>
  <c r="L115" i="5"/>
  <c r="P102" i="5"/>
  <c r="H88" i="5"/>
  <c r="T73" i="5"/>
  <c r="P62" i="5"/>
  <c r="D53" i="5"/>
  <c r="H40" i="5"/>
  <c r="L27" i="5"/>
  <c r="H16" i="5"/>
  <c r="AH409" i="3"/>
  <c r="B394" i="3"/>
  <c r="G376" i="3"/>
  <c r="I360" i="3"/>
  <c r="AH344" i="3"/>
  <c r="E325" i="3"/>
  <c r="I309" i="3"/>
  <c r="AF291" i="3"/>
  <c r="AG275" i="3"/>
  <c r="AI259" i="3"/>
  <c r="C242" i="3"/>
  <c r="E226" i="3"/>
  <c r="G208" i="3"/>
  <c r="AE192" i="3"/>
  <c r="A175" i="3"/>
  <c r="D157" i="3"/>
  <c r="F141" i="3"/>
  <c r="H123" i="3"/>
  <c r="AE105" i="3"/>
  <c r="AH91" i="3"/>
  <c r="AJ75" i="3"/>
  <c r="C58" i="3"/>
  <c r="E44" i="3"/>
  <c r="F36" i="3"/>
  <c r="AE24" i="3"/>
  <c r="AE15" i="3"/>
  <c r="AE7" i="3"/>
  <c r="G79" i="25"/>
  <c r="G182" i="19"/>
  <c r="J314" i="17"/>
  <c r="J186" i="17"/>
  <c r="J42" i="17"/>
  <c r="H211" i="12"/>
  <c r="F62" i="12"/>
  <c r="A179" i="11"/>
  <c r="G93" i="11"/>
  <c r="D8" i="11"/>
  <c r="A135" i="6"/>
  <c r="A63" i="6"/>
  <c r="N409" i="5"/>
  <c r="R380" i="5"/>
  <c r="F355" i="5"/>
  <c r="N329" i="5"/>
  <c r="B304" i="5"/>
  <c r="F275" i="5"/>
  <c r="J246" i="5"/>
  <c r="R220" i="5"/>
  <c r="F195" i="5"/>
  <c r="N169" i="5"/>
  <c r="N137" i="5"/>
  <c r="R108" i="5"/>
  <c r="F83" i="5"/>
  <c r="B32" i="5"/>
  <c r="AF409" i="3"/>
  <c r="F374" i="3"/>
  <c r="AF342" i="3"/>
  <c r="F311" i="3"/>
  <c r="AE279" i="3"/>
  <c r="AJ247" i="3"/>
  <c r="D212" i="3"/>
  <c r="AF180" i="3"/>
  <c r="D145" i="3"/>
  <c r="I109" i="3"/>
  <c r="AH73" i="3"/>
  <c r="C42" i="3"/>
  <c r="J18" i="3"/>
  <c r="G415" i="25"/>
  <c r="G154" i="22"/>
  <c r="F21" i="19"/>
  <c r="J260" i="17"/>
  <c r="J116" i="17"/>
  <c r="A50" i="15"/>
  <c r="H123" i="12"/>
  <c r="D192" i="11"/>
  <c r="A43" i="11"/>
  <c r="G15" i="8"/>
  <c r="A262" i="6"/>
  <c r="A190" i="6"/>
  <c r="A126" i="6"/>
  <c r="A54" i="6"/>
  <c r="B410" i="5"/>
  <c r="J368" i="5"/>
  <c r="R342" i="5"/>
  <c r="F317" i="5"/>
  <c r="N291" i="5"/>
  <c r="B266" i="5"/>
  <c r="J240" i="5"/>
  <c r="R214" i="5"/>
  <c r="F189" i="5"/>
  <c r="N163" i="5"/>
  <c r="B138" i="5"/>
  <c r="J112" i="5"/>
  <c r="R86" i="5"/>
  <c r="F61" i="5"/>
  <c r="F29" i="5"/>
  <c r="G406" i="3"/>
  <c r="AI370" i="3"/>
  <c r="D343" i="3"/>
  <c r="AH311" i="3"/>
  <c r="B288" i="3"/>
  <c r="E260" i="3"/>
  <c r="AD228" i="3"/>
  <c r="AH196" i="3"/>
  <c r="H161" i="3"/>
  <c r="AG129" i="3"/>
  <c r="D90" i="3"/>
  <c r="I58" i="3"/>
  <c r="AG26" i="3"/>
  <c r="AD6" i="3"/>
  <c r="Q408" i="2"/>
  <c r="S403" i="2"/>
  <c r="U398" i="2"/>
  <c r="M394" i="2"/>
  <c r="E390" i="2"/>
  <c r="G385" i="2"/>
  <c r="I380" i="2"/>
  <c r="A376" i="2"/>
  <c r="C371" i="2"/>
  <c r="O365" i="2"/>
  <c r="A360" i="2"/>
  <c r="M354" i="2"/>
  <c r="O349" i="2"/>
  <c r="Q344" i="2"/>
  <c r="C339" i="2"/>
  <c r="E334" i="2"/>
  <c r="Q328" i="2"/>
  <c r="M322" i="2"/>
  <c r="O317" i="2"/>
  <c r="A312" i="2"/>
  <c r="C307" i="2"/>
  <c r="Y300" i="2"/>
  <c r="K295" i="2"/>
  <c r="W289" i="2"/>
  <c r="I284" i="2"/>
  <c r="U278" i="2"/>
  <c r="W273" i="2"/>
  <c r="I268" i="2"/>
  <c r="K263" i="2"/>
  <c r="C500" i="25"/>
  <c r="H363" i="25"/>
  <c r="C198" i="23"/>
  <c r="F56" i="24"/>
  <c r="F93" i="33"/>
  <c r="C173" i="23"/>
  <c r="C102" i="19"/>
  <c r="A298" i="17"/>
  <c r="A170" i="17"/>
  <c r="A42" i="17"/>
  <c r="H870" i="25"/>
  <c r="G127" i="23"/>
  <c r="B68" i="19"/>
  <c r="D259" i="17"/>
  <c r="H88" i="17"/>
  <c r="G19" i="14"/>
  <c r="A76" i="12"/>
  <c r="B190" i="11"/>
  <c r="B62" i="11"/>
  <c r="G391" i="25"/>
  <c r="H143" i="22"/>
  <c r="K376" i="17"/>
  <c r="K248" i="17"/>
  <c r="K120" i="17"/>
  <c r="H93" i="15"/>
  <c r="B153" i="12"/>
  <c r="C224" i="11"/>
  <c r="E53" i="11"/>
  <c r="E159" i="25"/>
  <c r="E3" i="20"/>
  <c r="O344" i="17"/>
  <c r="O216" i="17"/>
  <c r="O88" i="17"/>
  <c r="D29" i="15"/>
  <c r="G110" i="12"/>
  <c r="E182" i="11"/>
  <c r="H11" i="11"/>
  <c r="G175" i="19"/>
  <c r="F188" i="17"/>
  <c r="F3" i="14"/>
  <c r="D143" i="11"/>
  <c r="F288" i="6"/>
  <c r="F160" i="6"/>
  <c r="F32" i="6"/>
  <c r="K375" i="5"/>
  <c r="G324" i="5"/>
  <c r="C273" i="5"/>
  <c r="S221" i="5"/>
  <c r="O170" i="5"/>
  <c r="K119" i="5"/>
  <c r="G68" i="5"/>
  <c r="C17" i="5"/>
  <c r="J363" i="3"/>
  <c r="AF300" i="3"/>
  <c r="E237" i="3"/>
  <c r="B174" i="3"/>
  <c r="AF110" i="3"/>
  <c r="E47" i="3"/>
  <c r="G222" i="22"/>
  <c r="N263" i="17"/>
  <c r="M7" i="17"/>
  <c r="F3" i="12"/>
  <c r="F22" i="8"/>
  <c r="D249" i="6"/>
  <c r="D164" i="6"/>
  <c r="H93" i="6"/>
  <c r="H29" i="6"/>
  <c r="Q399" i="5"/>
  <c r="E374" i="5"/>
  <c r="M348" i="5"/>
  <c r="A323" i="5"/>
  <c r="I297" i="5"/>
  <c r="Q271" i="5"/>
  <c r="E246" i="5"/>
  <c r="M220" i="5"/>
  <c r="A195" i="5"/>
  <c r="I169" i="5"/>
  <c r="Q143" i="5"/>
  <c r="E118" i="5"/>
  <c r="M92" i="5"/>
  <c r="A67" i="5"/>
  <c r="I41" i="5"/>
  <c r="Q15" i="5"/>
  <c r="J393" i="3"/>
  <c r="AJ361" i="3"/>
  <c r="AD330" i="3"/>
  <c r="B299" i="3"/>
  <c r="D267" i="3"/>
  <c r="AE235" i="3"/>
  <c r="AH203" i="3"/>
  <c r="H172" i="3"/>
  <c r="AG140" i="3"/>
  <c r="B109" i="3"/>
  <c r="G77" i="3"/>
  <c r="AE45" i="3"/>
  <c r="A392" i="25"/>
  <c r="B378" i="17"/>
  <c r="B122" i="17"/>
  <c r="F156" i="12"/>
  <c r="A57" i="11"/>
  <c r="C256" i="6"/>
  <c r="C128" i="6"/>
  <c r="P413" i="5"/>
  <c r="L362" i="5"/>
  <c r="H311" i="5"/>
  <c r="D260" i="5"/>
  <c r="T208" i="5"/>
  <c r="P157" i="5"/>
  <c r="L106" i="5"/>
  <c r="H55" i="5"/>
  <c r="J410" i="3"/>
  <c r="J347" i="3"/>
  <c r="I284" i="3"/>
  <c r="A221" i="3"/>
  <c r="AI157" i="3"/>
  <c r="J94" i="3"/>
  <c r="B31" i="3"/>
  <c r="C83" i="25"/>
  <c r="B331" i="17"/>
  <c r="B75" i="17"/>
  <c r="C91" i="12"/>
  <c r="F10" i="9"/>
  <c r="G231" i="6"/>
  <c r="G103" i="6"/>
  <c r="T403" i="5"/>
  <c r="P352" i="5"/>
  <c r="L301" i="5"/>
  <c r="H250" i="5"/>
  <c r="P208" i="5"/>
  <c r="P180" i="5"/>
  <c r="D155" i="5"/>
  <c r="L129" i="5"/>
  <c r="T103" i="5"/>
  <c r="H78" i="5"/>
  <c r="P52" i="5"/>
  <c r="D27" i="5"/>
  <c r="H407" i="3"/>
  <c r="AI375" i="3"/>
  <c r="F344" i="3"/>
  <c r="AJ312" i="3"/>
  <c r="E281" i="3"/>
  <c r="J249" i="3"/>
  <c r="AH217" i="3"/>
  <c r="E186" i="3"/>
  <c r="AF154" i="3"/>
  <c r="AJ122" i="3"/>
  <c r="F91" i="3"/>
  <c r="J59" i="3"/>
  <c r="AI27" i="3"/>
  <c r="G9" i="3"/>
  <c r="E10" i="21"/>
  <c r="J214" i="17"/>
  <c r="A22" i="15"/>
  <c r="G173" i="11"/>
  <c r="H8" i="7"/>
  <c r="A173" i="6"/>
  <c r="A45" i="6"/>
  <c r="B380" i="5"/>
  <c r="R328" i="5"/>
  <c r="N277" i="5"/>
  <c r="J226" i="5"/>
  <c r="F175" i="5"/>
  <c r="B124" i="5"/>
  <c r="R72" i="5"/>
  <c r="N21" i="5"/>
  <c r="G369" i="3"/>
  <c r="H306" i="3"/>
  <c r="A243" i="3"/>
  <c r="AF179" i="3"/>
  <c r="G116" i="3"/>
  <c r="B53" i="3"/>
  <c r="P33" i="26"/>
  <c r="G110" i="19"/>
  <c r="J176" i="17"/>
  <c r="C225" i="12"/>
  <c r="A123" i="11"/>
  <c r="A276" i="6"/>
  <c r="A148" i="6"/>
  <c r="A20" i="6"/>
  <c r="R370" i="5"/>
  <c r="N319" i="5"/>
  <c r="J268" i="5"/>
  <c r="F217" i="5"/>
  <c r="B166" i="5"/>
  <c r="R114" i="5"/>
  <c r="N63" i="5"/>
  <c r="I12" i="5"/>
  <c r="AI357" i="3"/>
  <c r="A295" i="3"/>
  <c r="J231" i="3"/>
  <c r="G168" i="3"/>
  <c r="A105" i="3"/>
  <c r="AE41" i="3"/>
  <c r="O411" i="2"/>
  <c r="S401" i="2"/>
  <c r="W391" i="2"/>
  <c r="A382" i="2"/>
  <c r="E372" i="2"/>
  <c r="I362" i="2"/>
  <c r="M352" i="2"/>
  <c r="Q342" i="2"/>
  <c r="U332" i="2"/>
  <c r="Y322" i="2"/>
  <c r="C313" i="2"/>
  <c r="G303" i="2"/>
  <c r="K293" i="2"/>
  <c r="O283" i="2"/>
  <c r="S273" i="2"/>
  <c r="W263" i="2"/>
  <c r="W257" i="2"/>
  <c r="Y252" i="2"/>
  <c r="A248" i="2"/>
  <c r="C243" i="2"/>
  <c r="E238" i="2"/>
  <c r="G233" i="2"/>
  <c r="I228" i="2"/>
  <c r="K223" i="2"/>
  <c r="M218" i="2"/>
  <c r="O213" i="2"/>
  <c r="Q208" i="2"/>
  <c r="S203" i="2"/>
  <c r="U198" i="2"/>
  <c r="W193" i="2"/>
  <c r="Y188" i="2"/>
  <c r="A184" i="2"/>
  <c r="C179" i="2"/>
  <c r="E174" i="2"/>
  <c r="G169" i="2"/>
  <c r="I164" i="2"/>
  <c r="K159" i="2"/>
  <c r="M154" i="2"/>
  <c r="O149" i="2"/>
  <c r="Q144" i="2"/>
  <c r="S139" i="2"/>
  <c r="U134" i="2"/>
  <c r="W129" i="2"/>
  <c r="Y124" i="2"/>
  <c r="A120" i="2"/>
  <c r="C115" i="2"/>
  <c r="E110" i="2"/>
  <c r="G105" i="2"/>
  <c r="I100" i="2"/>
  <c r="K95" i="2"/>
  <c r="M90" i="2"/>
  <c r="O85" i="2"/>
  <c r="Q80" i="2"/>
  <c r="S75" i="2"/>
  <c r="U70" i="2"/>
  <c r="W65" i="2"/>
  <c r="Y60" i="2"/>
  <c r="A56" i="2"/>
  <c r="C51" i="2"/>
  <c r="E46" i="2"/>
  <c r="G41" i="2"/>
  <c r="I36" i="2"/>
  <c r="K31" i="2"/>
  <c r="M26" i="2"/>
  <c r="O21" i="2"/>
  <c r="Q16" i="2"/>
  <c r="R11" i="2"/>
  <c r="T6" i="2"/>
  <c r="D49" i="24"/>
  <c r="G154" i="19"/>
  <c r="J315" i="17"/>
  <c r="J187" i="17"/>
  <c r="J59" i="17"/>
  <c r="C15" i="13"/>
  <c r="C69" i="12"/>
  <c r="G137" i="11"/>
  <c r="C37" i="8"/>
  <c r="E283" i="6"/>
  <c r="E219" i="6"/>
  <c r="E155" i="6"/>
  <c r="E91" i="6"/>
  <c r="E27" i="6"/>
  <c r="N398" i="5"/>
  <c r="B373" i="5"/>
  <c r="J347" i="5"/>
  <c r="R321" i="5"/>
  <c r="F296" i="5"/>
  <c r="N270" i="5"/>
  <c r="B245" i="5"/>
  <c r="J219" i="5"/>
  <c r="R193" i="5"/>
  <c r="F168" i="5"/>
  <c r="N142" i="5"/>
  <c r="B117" i="5"/>
  <c r="J91" i="5"/>
  <c r="R65" i="5"/>
  <c r="F40" i="5"/>
  <c r="M14" i="5"/>
  <c r="E392" i="3"/>
  <c r="AE360" i="3"/>
  <c r="F329" i="3"/>
  <c r="AG297" i="3"/>
  <c r="AJ265" i="3"/>
  <c r="F234" i="3"/>
  <c r="I202" i="3"/>
  <c r="C171" i="3"/>
  <c r="I139" i="3"/>
  <c r="AG107" i="3"/>
  <c r="B76" i="3"/>
  <c r="G44" i="3"/>
  <c r="AF17" i="3"/>
  <c r="G202" i="22"/>
  <c r="I9" i="17"/>
  <c r="C24" i="8"/>
  <c r="E74" i="6"/>
  <c r="B343" i="5"/>
  <c r="N240" i="5"/>
  <c r="F138" i="5"/>
  <c r="R35" i="5"/>
  <c r="AI324" i="3"/>
  <c r="B198" i="3"/>
  <c r="J71" i="3"/>
  <c r="D411" i="2"/>
  <c r="O404" i="2"/>
  <c r="Z397" i="2"/>
  <c r="L391" i="2"/>
  <c r="W384" i="2"/>
  <c r="H378" i="2"/>
  <c r="T371" i="2"/>
  <c r="E365" i="2"/>
  <c r="P358" i="2"/>
  <c r="B352" i="2"/>
  <c r="M345" i="2"/>
  <c r="X338" i="2"/>
  <c r="J332" i="2"/>
  <c r="U325" i="2"/>
  <c r="F319" i="2"/>
  <c r="R312" i="2"/>
  <c r="C306" i="2"/>
  <c r="N299" i="2"/>
  <c r="Z292" i="2"/>
  <c r="K286" i="2"/>
  <c r="V279" i="2"/>
  <c r="H273" i="2"/>
  <c r="S266" i="2"/>
  <c r="D260" i="2"/>
  <c r="P253" i="2"/>
  <c r="A247" i="2"/>
  <c r="L240" i="2"/>
  <c r="X233" i="2"/>
  <c r="I227" i="2"/>
  <c r="T220" i="2"/>
  <c r="F214" i="2"/>
  <c r="Q207" i="2"/>
  <c r="B201" i="2"/>
  <c r="N194" i="2"/>
  <c r="Y187" i="2"/>
  <c r="J181" i="2"/>
  <c r="V174" i="2"/>
  <c r="G168" i="2"/>
  <c r="R161" i="2"/>
  <c r="D155" i="2"/>
  <c r="O148" i="2"/>
  <c r="Z141" i="2"/>
  <c r="L135" i="2"/>
  <c r="W128" i="2"/>
  <c r="H122" i="2"/>
  <c r="T115" i="2"/>
  <c r="E109" i="2"/>
  <c r="P102" i="2"/>
  <c r="B96" i="2"/>
  <c r="M89" i="2"/>
  <c r="X82" i="2"/>
  <c r="J76" i="2"/>
  <c r="U69" i="2"/>
  <c r="F63" i="2"/>
  <c r="R56" i="2"/>
  <c r="C50" i="2"/>
  <c r="N43" i="2"/>
  <c r="Z36" i="2"/>
  <c r="K30" i="2"/>
  <c r="V23" i="2"/>
  <c r="H17" i="2"/>
  <c r="R10" i="2"/>
  <c r="M411" i="2"/>
  <c r="X404" i="2"/>
  <c r="J398" i="2"/>
  <c r="U391" i="2"/>
  <c r="F385" i="2"/>
  <c r="R378" i="2"/>
  <c r="C372" i="2"/>
  <c r="N365" i="2"/>
  <c r="Z358" i="2"/>
  <c r="K352" i="2"/>
  <c r="V345" i="2"/>
  <c r="H339" i="2"/>
  <c r="S332" i="2"/>
  <c r="D326" i="2"/>
  <c r="P319" i="2"/>
  <c r="A313" i="2"/>
  <c r="L306" i="2"/>
  <c r="X299" i="2"/>
  <c r="I293" i="2"/>
  <c r="T286" i="2"/>
  <c r="F280" i="2"/>
  <c r="Q273" i="2"/>
  <c r="B267" i="2"/>
  <c r="N260" i="2"/>
  <c r="Y253" i="2"/>
  <c r="J247" i="2"/>
  <c r="V240" i="2"/>
  <c r="G234" i="2"/>
  <c r="R227" i="2"/>
  <c r="D221" i="2"/>
  <c r="O214" i="2"/>
  <c r="Z207" i="2"/>
  <c r="L201" i="2"/>
  <c r="W194" i="2"/>
  <c r="H188" i="2"/>
  <c r="T181" i="2"/>
  <c r="E175" i="2"/>
  <c r="P168" i="2"/>
  <c r="B162" i="2"/>
  <c r="M155" i="2"/>
  <c r="X148" i="2"/>
  <c r="J142" i="2"/>
  <c r="U135" i="2"/>
  <c r="F129" i="2"/>
  <c r="R122" i="2"/>
  <c r="C116" i="2"/>
  <c r="N109" i="2"/>
  <c r="Z102" i="2"/>
  <c r="K96" i="2"/>
  <c r="V89" i="2"/>
  <c r="H83" i="2"/>
  <c r="S76" i="2"/>
  <c r="D70" i="2"/>
  <c r="P63" i="2"/>
  <c r="A57" i="2"/>
  <c r="L50" i="2"/>
  <c r="X43" i="2"/>
  <c r="I37" i="2"/>
  <c r="T30" i="2"/>
  <c r="F24" i="2"/>
  <c r="Q17" i="2"/>
  <c r="A11" i="2"/>
  <c r="V411" i="2"/>
  <c r="H405" i="2"/>
  <c r="S398" i="2"/>
  <c r="D392" i="2"/>
  <c r="P385" i="2"/>
  <c r="A379" i="2"/>
  <c r="L372" i="2"/>
  <c r="X365" i="2"/>
  <c r="I359" i="2"/>
  <c r="T352" i="2"/>
  <c r="F346" i="2"/>
  <c r="Q339" i="2"/>
  <c r="B333" i="2"/>
  <c r="N326" i="2"/>
  <c r="Y319" i="2"/>
  <c r="J313" i="2"/>
  <c r="V306" i="2"/>
  <c r="G300" i="2"/>
  <c r="R293" i="2"/>
  <c r="D287" i="2"/>
  <c r="O280" i="2"/>
  <c r="Z273" i="2"/>
  <c r="L267" i="2"/>
  <c r="W260" i="2"/>
  <c r="H254" i="2"/>
  <c r="T247" i="2"/>
  <c r="E241" i="2"/>
  <c r="P234" i="2"/>
  <c r="B228" i="2"/>
  <c r="M221" i="2"/>
  <c r="X214" i="2"/>
  <c r="J208" i="2"/>
  <c r="U201" i="2"/>
  <c r="F195" i="2"/>
  <c r="R188" i="2"/>
  <c r="C182" i="2"/>
  <c r="N175" i="2"/>
  <c r="Z168" i="2"/>
  <c r="K162" i="2"/>
  <c r="V155" i="2"/>
  <c r="H149" i="2"/>
  <c r="S142" i="2"/>
  <c r="D136" i="2"/>
  <c r="P129" i="2"/>
  <c r="A123" i="2"/>
  <c r="L116" i="2"/>
  <c r="X109" i="2"/>
  <c r="I103" i="2"/>
  <c r="T96" i="2"/>
  <c r="F90" i="2"/>
  <c r="Q83" i="2"/>
  <c r="B77" i="2"/>
  <c r="N70" i="2"/>
  <c r="Y63" i="2"/>
  <c r="J57" i="2"/>
  <c r="V50" i="2"/>
  <c r="G44" i="2"/>
  <c r="R37" i="2"/>
  <c r="D31" i="2"/>
  <c r="O24" i="2"/>
  <c r="Z17" i="2"/>
  <c r="K11" i="2"/>
  <c r="H214" i="25"/>
  <c r="J93" i="17"/>
  <c r="A23" i="11"/>
  <c r="E124" i="6"/>
  <c r="B363" i="5"/>
  <c r="N260" i="5"/>
  <c r="F158" i="5"/>
  <c r="R55" i="5"/>
  <c r="F349" i="3"/>
  <c r="AI222" i="3"/>
  <c r="G96" i="3"/>
  <c r="I157" i="25"/>
  <c r="J69" i="17"/>
  <c r="F7" i="9"/>
  <c r="E96" i="6"/>
  <c r="N348" i="5"/>
  <c r="F246" i="5"/>
  <c r="R143" i="5"/>
  <c r="J41" i="5"/>
  <c r="AG331" i="3"/>
  <c r="A205" i="3"/>
  <c r="J78" i="3"/>
  <c r="P403" i="2"/>
  <c r="G390" i="2"/>
  <c r="D377" i="2"/>
  <c r="F364" i="2"/>
  <c r="H351" i="2"/>
  <c r="C336" i="2"/>
  <c r="Z322" i="2"/>
  <c r="V309" i="2"/>
  <c r="X296" i="2"/>
  <c r="U283" i="2"/>
  <c r="W270" i="2"/>
  <c r="Y257" i="2"/>
  <c r="F245" i="2"/>
  <c r="L230" i="2"/>
  <c r="N217" i="2"/>
  <c r="Z203" i="2"/>
  <c r="S192" i="2"/>
  <c r="Z179" i="2"/>
  <c r="W166" i="2"/>
  <c r="D154" i="2"/>
  <c r="K140" i="2"/>
  <c r="B127" i="2"/>
  <c r="Y113" i="2"/>
  <c r="A101" i="2"/>
  <c r="H88" i="2"/>
  <c r="P75" i="2"/>
  <c r="B62" i="2"/>
  <c r="D49" i="2"/>
  <c r="Q37" i="2"/>
  <c r="B23" i="2"/>
  <c r="S9" i="2"/>
  <c r="J289" i="17"/>
  <c r="C45" i="12"/>
  <c r="E230" i="6"/>
  <c r="F402" i="5"/>
  <c r="R299" i="5"/>
  <c r="J197" i="5"/>
  <c r="B95" i="5"/>
  <c r="AF393" i="3"/>
  <c r="G267" i="3"/>
  <c r="AJ140" i="3"/>
  <c r="H18" i="3"/>
  <c r="M407" i="2"/>
  <c r="O394" i="2"/>
  <c r="Q381" i="2"/>
  <c r="N368" i="2"/>
  <c r="E355" i="2"/>
  <c r="X343" i="2"/>
  <c r="Z330" i="2"/>
  <c r="B318" i="2"/>
  <c r="X304" i="2"/>
  <c r="J291" i="2"/>
  <c r="G278" i="2"/>
  <c r="S264" i="2"/>
  <c r="E251" i="2"/>
  <c r="H239" i="2"/>
  <c r="O226" i="2"/>
  <c r="F213" i="2"/>
  <c r="B199" i="2"/>
  <c r="I185" i="2"/>
  <c r="F172" i="2"/>
  <c r="R158" i="2"/>
  <c r="I145" i="2"/>
  <c r="A133" i="2"/>
  <c r="X119" i="2"/>
  <c r="O106" i="2"/>
  <c r="F93" i="2"/>
  <c r="R79" i="2"/>
  <c r="T66" i="2"/>
  <c r="F53" i="2"/>
  <c r="R38" i="2"/>
  <c r="Z26" i="2"/>
  <c r="B14" i="2"/>
  <c r="D735" i="25"/>
  <c r="A510" i="25"/>
  <c r="F92" i="25"/>
  <c r="F178" i="25"/>
  <c r="D65" i="19"/>
  <c r="D48" i="24"/>
  <c r="C166" i="19"/>
  <c r="A314" i="17"/>
  <c r="A186" i="17"/>
  <c r="A58" i="17"/>
  <c r="E10" i="13"/>
  <c r="B213" i="23"/>
  <c r="B132" i="19"/>
  <c r="H280" i="17"/>
  <c r="L109" i="17"/>
  <c r="F21" i="15"/>
  <c r="A60" i="12"/>
  <c r="B174" i="11"/>
  <c r="B14" i="11"/>
  <c r="C229" i="22"/>
  <c r="K264" i="17"/>
  <c r="K40" i="17"/>
  <c r="B89" i="12"/>
  <c r="O46" i="26"/>
  <c r="F95" i="19"/>
  <c r="O136" i="17"/>
  <c r="G174" i="12"/>
  <c r="C33" i="11"/>
  <c r="F156" i="17"/>
  <c r="G100" i="11"/>
  <c r="F112" i="6"/>
  <c r="K343" i="5"/>
  <c r="C241" i="5"/>
  <c r="S125" i="5"/>
  <c r="K23" i="5"/>
  <c r="AD308" i="3"/>
  <c r="F150" i="3"/>
  <c r="J39" i="26"/>
  <c r="N167" i="17"/>
  <c r="D117" i="11"/>
  <c r="H238" i="6"/>
  <c r="H101" i="6"/>
  <c r="A403" i="5"/>
  <c r="I345" i="5"/>
  <c r="Q255" i="5"/>
  <c r="M204" i="5"/>
  <c r="A147" i="5"/>
  <c r="Q95" i="5"/>
  <c r="E38" i="5"/>
  <c r="AF381" i="3"/>
  <c r="AH318" i="3"/>
  <c r="G255" i="3"/>
  <c r="E184" i="3"/>
  <c r="A113" i="3"/>
  <c r="AE49" i="3"/>
  <c r="B46" i="19"/>
  <c r="D14" i="11"/>
  <c r="C144" i="6"/>
  <c r="T368" i="5"/>
  <c r="L266" i="5"/>
  <c r="D164" i="5"/>
  <c r="P61" i="5"/>
  <c r="F355" i="3"/>
  <c r="AJ228" i="3"/>
  <c r="G102" i="3"/>
  <c r="H310" i="25"/>
  <c r="B43" i="17"/>
  <c r="E31" i="8"/>
  <c r="G119" i="6"/>
  <c r="D359" i="5"/>
  <c r="L269" i="5"/>
  <c r="H190" i="5"/>
  <c r="D139" i="5"/>
  <c r="H94" i="5"/>
  <c r="D43" i="5"/>
  <c r="J395" i="3"/>
  <c r="AG324" i="3"/>
  <c r="F261" i="3"/>
  <c r="AI205" i="3"/>
  <c r="AH142" i="3"/>
  <c r="G87" i="3"/>
  <c r="AH31" i="3"/>
  <c r="D41" i="24"/>
  <c r="J118" i="17"/>
  <c r="G45" i="11"/>
  <c r="A125" i="6"/>
  <c r="F335" i="5"/>
  <c r="B220" i="5"/>
  <c r="R104" i="5"/>
  <c r="AF408" i="3"/>
  <c r="AE282" i="3"/>
  <c r="B156" i="3"/>
  <c r="E29" i="3"/>
  <c r="J336" i="17"/>
  <c r="C97" i="12"/>
  <c r="A196" i="6"/>
  <c r="A4" i="6"/>
  <c r="B326" i="5"/>
  <c r="B262" i="5"/>
  <c r="J172" i="5"/>
  <c r="N95" i="5"/>
  <c r="A6" i="5"/>
  <c r="Q294" i="2"/>
  <c r="K277" i="2"/>
  <c r="Q262" i="2"/>
  <c r="O253" i="2"/>
  <c r="S243" i="2"/>
  <c r="W233" i="2"/>
  <c r="A224" i="2"/>
  <c r="K215" i="2"/>
  <c r="U206" i="2"/>
  <c r="E198" i="2"/>
  <c r="U190" i="2"/>
  <c r="Y180" i="2"/>
  <c r="I172" i="2"/>
  <c r="A160" i="2"/>
  <c r="W153" i="2"/>
  <c r="A144" i="2"/>
  <c r="K135" i="2"/>
  <c r="O125" i="2"/>
  <c r="Y116" i="2"/>
  <c r="I108" i="2"/>
  <c r="M98" i="2"/>
  <c r="Q88" i="2"/>
  <c r="O77" i="2"/>
  <c r="S67" i="2"/>
  <c r="W57" i="2"/>
  <c r="A48" i="2"/>
  <c r="K39" i="2"/>
  <c r="O29" i="2"/>
  <c r="S19" i="2"/>
  <c r="V9" i="2"/>
  <c r="C171" i="23"/>
  <c r="J299" i="17"/>
  <c r="J75" i="17"/>
  <c r="F90" i="12"/>
  <c r="A31" i="11"/>
  <c r="E259" i="6"/>
  <c r="E147" i="6"/>
  <c r="E35" i="6"/>
  <c r="F376" i="5"/>
  <c r="N318" i="5"/>
  <c r="R273" i="5"/>
  <c r="N222" i="5"/>
  <c r="B165" i="5"/>
  <c r="F120" i="5"/>
  <c r="N62" i="5"/>
  <c r="I11" i="5"/>
  <c r="AF356" i="3"/>
  <c r="AG293" i="3"/>
  <c r="E238" i="3"/>
  <c r="C175" i="3"/>
  <c r="AG111" i="3"/>
  <c r="H40" i="3"/>
  <c r="J329" i="17"/>
  <c r="E170" i="6"/>
  <c r="B279" i="5"/>
  <c r="R99" i="5"/>
  <c r="G277" i="3"/>
  <c r="AH55" i="3"/>
  <c r="J405" i="2"/>
  <c r="G392" i="2"/>
  <c r="T380" i="2"/>
  <c r="Q367" i="2"/>
  <c r="D356" i="2"/>
  <c r="A343" i="2"/>
  <c r="N331" i="2"/>
  <c r="D315" i="2"/>
  <c r="Z301" i="2"/>
  <c r="N290" i="2"/>
  <c r="J277" i="2"/>
  <c r="G264" i="2"/>
  <c r="P221" i="2"/>
  <c r="V206" i="2"/>
  <c r="B192" i="2"/>
  <c r="X178" i="2"/>
  <c r="U165" i="2"/>
  <c r="J149" i="2"/>
  <c r="P134" i="2"/>
  <c r="M121" i="2"/>
  <c r="Z109" i="2"/>
  <c r="N98" i="2"/>
  <c r="L80" i="2"/>
  <c r="I67" i="2"/>
  <c r="X50" i="2"/>
  <c r="U37" i="2"/>
  <c r="A23" i="2"/>
  <c r="W9" i="2"/>
  <c r="J407" i="2"/>
  <c r="G394" i="2"/>
  <c r="D381" i="2"/>
  <c r="Z367" i="2"/>
  <c r="N356" i="2"/>
  <c r="A345" i="2"/>
  <c r="X331" i="2"/>
  <c r="K320" i="2"/>
  <c r="X308" i="2"/>
  <c r="L297" i="2"/>
  <c r="H284" i="2"/>
  <c r="L274" i="2"/>
  <c r="Z262" i="2"/>
  <c r="V249" i="2"/>
  <c r="J238" i="2"/>
  <c r="F225" i="2"/>
  <c r="C212" i="2"/>
  <c r="P200" i="2"/>
  <c r="M187" i="2"/>
  <c r="J174" i="2"/>
  <c r="W162" i="2"/>
  <c r="T149" i="2"/>
  <c r="I133" i="2"/>
  <c r="O118" i="2"/>
  <c r="L105" i="2"/>
  <c r="H92" i="2"/>
  <c r="E79" i="2"/>
  <c r="B66" i="2"/>
  <c r="F56" i="2"/>
  <c r="L41" i="2"/>
  <c r="H28" i="2"/>
  <c r="E15" i="2"/>
  <c r="J409" i="2"/>
  <c r="G396" i="2"/>
  <c r="T384" i="2"/>
  <c r="Q371" i="2"/>
  <c r="F355" i="2"/>
  <c r="T343" i="2"/>
  <c r="X333" i="2"/>
  <c r="T320" i="2"/>
  <c r="Q307" i="2"/>
  <c r="D296" i="2"/>
  <c r="A283" i="2"/>
  <c r="G268" i="2"/>
  <c r="D255" i="2"/>
  <c r="Z241" i="2"/>
  <c r="D232" i="2"/>
  <c r="J217" i="2"/>
  <c r="P202" i="2"/>
  <c r="M189" i="2"/>
  <c r="Z177" i="2"/>
  <c r="W164" i="2"/>
  <c r="C150" i="2"/>
  <c r="Z136" i="2"/>
  <c r="O120" i="2"/>
  <c r="L107" i="2"/>
  <c r="H94" i="2"/>
  <c r="E81" i="2"/>
  <c r="R69" i="2"/>
  <c r="F58" i="2"/>
  <c r="B45" i="2"/>
  <c r="Y31" i="2"/>
  <c r="E17" i="2"/>
  <c r="J285" i="17"/>
  <c r="E156" i="6"/>
  <c r="J273" i="5"/>
  <c r="N68" i="5"/>
  <c r="A207" i="3"/>
  <c r="D734" i="25"/>
  <c r="H7" i="12"/>
  <c r="N412" i="5"/>
  <c r="B259" i="5"/>
  <c r="N28" i="5"/>
  <c r="F189" i="3"/>
  <c r="Y401" i="2"/>
  <c r="R375" i="2"/>
  <c r="Q349" i="2"/>
  <c r="V317" i="2"/>
  <c r="F292" i="2"/>
  <c r="F269" i="2"/>
  <c r="P243" i="2"/>
  <c r="E219" i="2"/>
  <c r="J194" i="2"/>
  <c r="F165" i="2"/>
  <c r="T138" i="2"/>
  <c r="P115" i="2"/>
  <c r="H96" i="2"/>
  <c r="A77" i="2"/>
  <c r="R47" i="2"/>
  <c r="L21" i="2"/>
  <c r="J225" i="17"/>
  <c r="E262" i="6"/>
  <c r="N312" i="5"/>
  <c r="R107" i="5"/>
  <c r="AI219" i="3"/>
  <c r="P411" i="2"/>
  <c r="D393" i="2"/>
  <c r="F373" i="2"/>
  <c r="G350" i="2"/>
  <c r="I329" i="2"/>
  <c r="H303" i="2"/>
  <c r="C280" i="2"/>
  <c r="X240" i="2"/>
  <c r="W214" i="2"/>
  <c r="R190" i="2"/>
  <c r="U163" i="2"/>
  <c r="T137" i="2"/>
  <c r="R111" i="2"/>
  <c r="K84" i="2"/>
  <c r="V61" i="2"/>
  <c r="A37" i="2"/>
  <c r="R15" i="2"/>
  <c r="I128" i="25"/>
  <c r="B193" i="25"/>
  <c r="B179" i="22"/>
  <c r="E7" i="23"/>
  <c r="C647" i="25"/>
  <c r="C262" i="19"/>
  <c r="A210" i="17"/>
  <c r="G13" i="15"/>
  <c r="B228" i="19"/>
  <c r="H56" i="17"/>
  <c r="A52" i="12"/>
  <c r="B38" i="11"/>
  <c r="F186" i="22"/>
  <c r="K256" i="17"/>
  <c r="H45" i="15"/>
  <c r="C192" i="11"/>
  <c r="G121" i="23"/>
  <c r="O288" i="17"/>
  <c r="O32" i="17"/>
  <c r="G78" i="12"/>
  <c r="H569" i="25"/>
  <c r="F268" i="17"/>
  <c r="C8" i="12"/>
  <c r="F200" i="6"/>
  <c r="G404" i="5"/>
  <c r="C289" i="5"/>
  <c r="O186" i="5"/>
  <c r="K71" i="5"/>
  <c r="J367" i="3"/>
  <c r="F225" i="3"/>
  <c r="AF98" i="3"/>
  <c r="G281" i="19"/>
  <c r="E27" i="15"/>
  <c r="F6" i="8"/>
  <c r="D169" i="6"/>
  <c r="H49" i="6"/>
  <c r="E382" i="5"/>
  <c r="A331" i="5"/>
  <c r="I273" i="5"/>
  <c r="M228" i="5"/>
  <c r="Q183" i="5"/>
  <c r="A139" i="5"/>
  <c r="Q87" i="5"/>
  <c r="M36" i="5"/>
  <c r="I395" i="3"/>
  <c r="J332" i="3"/>
  <c r="E261" i="3"/>
  <c r="AI197" i="3"/>
  <c r="AJ118" i="3"/>
  <c r="AE55" i="3"/>
  <c r="G228" i="19"/>
  <c r="B30" i="14"/>
  <c r="B3" i="7"/>
  <c r="D404" i="5"/>
  <c r="P301" i="5"/>
  <c r="H199" i="5"/>
  <c r="P109" i="5"/>
  <c r="G7" i="5"/>
  <c r="H288" i="3"/>
  <c r="AH161" i="3"/>
  <c r="B35" i="3"/>
  <c r="B347" i="17"/>
  <c r="F112" i="12"/>
  <c r="G271" i="6"/>
  <c r="G47" i="6"/>
  <c r="H330" i="5"/>
  <c r="P240" i="5"/>
  <c r="T175" i="5"/>
  <c r="D131" i="5"/>
  <c r="T79" i="5"/>
  <c r="D35" i="5"/>
  <c r="AF385" i="3"/>
  <c r="AE330" i="3"/>
  <c r="E275" i="3"/>
  <c r="AG219" i="3"/>
  <c r="AF156" i="3"/>
  <c r="C101" i="3"/>
  <c r="AH37" i="3"/>
  <c r="A166" i="23"/>
  <c r="A54" i="15"/>
  <c r="A277" i="6"/>
  <c r="A53" i="6"/>
  <c r="F319" i="5"/>
  <c r="N229" i="5"/>
  <c r="F127" i="5"/>
  <c r="R24" i="5"/>
  <c r="F310" i="3"/>
  <c r="AI167" i="3"/>
  <c r="C41" i="3"/>
  <c r="H1" i="18"/>
  <c r="B13" i="14"/>
  <c r="G5" i="8"/>
  <c r="A28" i="6"/>
  <c r="R322" i="5"/>
  <c r="J220" i="5"/>
  <c r="F105" i="5"/>
  <c r="I393" i="3"/>
  <c r="C267" i="3"/>
  <c r="AH124" i="3"/>
  <c r="E412" i="2"/>
  <c r="M392" i="2"/>
  <c r="U372" i="2"/>
  <c r="O355" i="2"/>
  <c r="W335" i="2"/>
  <c r="E316" i="2"/>
  <c r="Y298" i="2"/>
  <c r="I274" i="2"/>
  <c r="O259" i="2"/>
  <c r="M248" i="2"/>
  <c r="W239" i="2"/>
  <c r="M232" i="2"/>
  <c r="W223" i="2"/>
  <c r="A214" i="2"/>
  <c r="E204" i="2"/>
  <c r="W191" i="2"/>
  <c r="A182" i="2"/>
  <c r="E172" i="2"/>
  <c r="I162" i="2"/>
  <c r="M152" i="2"/>
  <c r="K141" i="2"/>
  <c r="O131" i="2"/>
  <c r="M120" i="2"/>
  <c r="W111" i="2"/>
  <c r="A102" i="2"/>
  <c r="E92" i="2"/>
  <c r="O83" i="2"/>
  <c r="E76" i="2"/>
  <c r="O67" i="2"/>
  <c r="S41" i="2"/>
  <c r="Q30" i="2"/>
  <c r="O19" i="2"/>
  <c r="L8" i="2"/>
  <c r="G42" i="22"/>
  <c r="J199" i="17"/>
  <c r="A56" i="15"/>
  <c r="G153" i="11"/>
  <c r="D13" i="7"/>
  <c r="E177" i="6"/>
  <c r="E33" i="6"/>
  <c r="J375" i="5"/>
  <c r="N330" i="5"/>
  <c r="B273" i="5"/>
  <c r="F228" i="5"/>
  <c r="J183" i="5"/>
  <c r="B145" i="5"/>
  <c r="R93" i="5"/>
  <c r="N42" i="5"/>
  <c r="C403" i="3"/>
  <c r="A340" i="3"/>
  <c r="AI268" i="3"/>
  <c r="J197" i="3"/>
  <c r="E158" i="3"/>
  <c r="AJ94" i="3"/>
  <c r="F47" i="3"/>
  <c r="D7" i="3"/>
  <c r="C10" i="9"/>
  <c r="N352" i="5"/>
  <c r="F122" i="5"/>
  <c r="AD336" i="3"/>
  <c r="D115" i="3"/>
  <c r="V406" i="2"/>
  <c r="Z396" i="2"/>
  <c r="V383" i="2"/>
  <c r="S370" i="2"/>
  <c r="P357" i="2"/>
  <c r="L344" i="2"/>
  <c r="P334" i="2"/>
  <c r="V319" i="2"/>
  <c r="L303" i="2"/>
  <c r="Y291" i="2"/>
  <c r="E277" i="2"/>
  <c r="B264" i="2"/>
  <c r="H249" i="2"/>
  <c r="D236" i="2"/>
  <c r="H226" i="2"/>
  <c r="E213" i="2"/>
  <c r="R201" i="2"/>
  <c r="O188" i="2"/>
  <c r="S178" i="2"/>
  <c r="F167" i="2"/>
  <c r="T155" i="2"/>
  <c r="G144" i="2"/>
  <c r="D131" i="2"/>
  <c r="Z117" i="2"/>
  <c r="N106" i="2"/>
  <c r="J93" i="2"/>
  <c r="P78" i="2"/>
  <c r="V63" i="2"/>
  <c r="S50" i="2"/>
  <c r="P37" i="2"/>
  <c r="L24" i="2"/>
  <c r="H11" i="2"/>
  <c r="E407" i="2"/>
  <c r="T390" i="2"/>
  <c r="Q377" i="2"/>
  <c r="D366" i="2"/>
  <c r="R354" i="2"/>
  <c r="E343" i="2"/>
  <c r="R331" i="2"/>
  <c r="O318" i="2"/>
  <c r="B307" i="2"/>
  <c r="P295" i="2"/>
  <c r="C284" i="2"/>
  <c r="Z270" i="2"/>
  <c r="M259" i="2"/>
  <c r="Z247" i="2"/>
  <c r="W234" i="2"/>
  <c r="C220" i="2"/>
  <c r="B202" i="2"/>
  <c r="Q185" i="2"/>
  <c r="N172" i="2"/>
  <c r="T157" i="2"/>
  <c r="P144" i="2"/>
  <c r="M131" i="2"/>
  <c r="J118" i="2"/>
  <c r="F105" i="2"/>
  <c r="T93" i="2"/>
  <c r="G82" i="2"/>
  <c r="D69" i="2"/>
  <c r="H59" i="2"/>
  <c r="D46" i="2"/>
  <c r="R34" i="2"/>
  <c r="E23" i="2"/>
  <c r="Q11" i="2"/>
  <c r="N407" i="2"/>
  <c r="K394" i="2"/>
  <c r="H381" i="2"/>
  <c r="L371" i="2"/>
  <c r="Y359" i="2"/>
  <c r="L348" i="2"/>
  <c r="I335" i="2"/>
  <c r="M325" i="2"/>
  <c r="Z313" i="2"/>
  <c r="F299" i="2"/>
  <c r="L284" i="2"/>
  <c r="I271" i="2"/>
  <c r="F258" i="2"/>
  <c r="B245" i="2"/>
  <c r="P233" i="2"/>
  <c r="C222" i="2"/>
  <c r="I207" i="2"/>
  <c r="V195" i="2"/>
  <c r="J184" i="2"/>
  <c r="F171" i="2"/>
  <c r="L156" i="2"/>
  <c r="Z144" i="2"/>
  <c r="V131" i="2"/>
  <c r="S118" i="2"/>
  <c r="H102" i="2"/>
  <c r="E89" i="2"/>
  <c r="B76" i="2"/>
  <c r="X62" i="2"/>
  <c r="U49" i="2"/>
  <c r="R36" i="2"/>
  <c r="V26" i="2"/>
  <c r="R13" i="2"/>
  <c r="A87" i="11"/>
  <c r="B347" i="5"/>
  <c r="F142" i="5"/>
  <c r="C361" i="3"/>
  <c r="E108" i="3"/>
  <c r="J117" i="17"/>
  <c r="E120" i="6"/>
  <c r="R255" i="5"/>
  <c r="F102" i="5"/>
  <c r="H343" i="3"/>
  <c r="H90" i="3"/>
  <c r="R391" i="2"/>
  <c r="L365" i="2"/>
  <c r="I337" i="2"/>
  <c r="J314" i="2"/>
  <c r="N288" i="2"/>
  <c r="T265" i="2"/>
  <c r="E235" i="2"/>
  <c r="X208" i="2"/>
  <c r="C184" i="2"/>
  <c r="L158" i="2"/>
  <c r="P131" i="2"/>
  <c r="G102" i="2"/>
  <c r="P76" i="2"/>
  <c r="O50" i="2"/>
  <c r="B31" i="2"/>
  <c r="C243" i="25"/>
  <c r="D1" i="8"/>
  <c r="B335" i="5"/>
  <c r="F130" i="5"/>
  <c r="B311" i="3"/>
  <c r="AG57" i="3"/>
  <c r="O402" i="2"/>
  <c r="W382" i="2"/>
  <c r="P356" i="2"/>
  <c r="F332" i="2"/>
  <c r="F309" i="2"/>
  <c r="Z282" i="2"/>
  <c r="C256" i="2"/>
  <c r="W230" i="2"/>
  <c r="X207" i="2"/>
  <c r="H183" i="2"/>
  <c r="J163" i="2"/>
  <c r="P140" i="2"/>
  <c r="V117" i="2"/>
  <c r="E91" i="2"/>
  <c r="L61" i="2"/>
  <c r="D34" i="2"/>
  <c r="R8" i="2"/>
  <c r="H225" i="23"/>
  <c r="D79" i="25"/>
  <c r="F13" i="22"/>
  <c r="C74" i="22"/>
  <c r="I480" i="25"/>
  <c r="G196" i="22"/>
  <c r="A11" i="18"/>
  <c r="A258" i="17"/>
  <c r="A130" i="17"/>
  <c r="G109" i="15"/>
  <c r="D402" i="25"/>
  <c r="C151" i="22"/>
  <c r="H376" i="17"/>
  <c r="L205" i="17"/>
  <c r="D35" i="17"/>
  <c r="E185" i="12"/>
  <c r="A36" i="12"/>
  <c r="B150" i="11"/>
  <c r="B22" i="11"/>
  <c r="D104" i="25"/>
  <c r="F256" i="19"/>
  <c r="K336" i="17"/>
  <c r="K208" i="17"/>
  <c r="K80" i="17"/>
  <c r="H13" i="15"/>
  <c r="G99" i="12"/>
  <c r="H170" i="11"/>
  <c r="A5" i="10"/>
  <c r="B207" i="23"/>
  <c r="F127" i="19"/>
  <c r="O304" i="17"/>
  <c r="O176" i="17"/>
  <c r="O48" i="17"/>
  <c r="B228" i="12"/>
  <c r="D57" i="12"/>
  <c r="C129" i="11"/>
  <c r="H294" i="25"/>
  <c r="F364" i="17"/>
  <c r="F108" i="17"/>
  <c r="C136" i="12"/>
  <c r="G36" i="11"/>
  <c r="F248" i="6"/>
  <c r="F120" i="6"/>
  <c r="O410" i="5"/>
  <c r="K359" i="5"/>
  <c r="G308" i="5"/>
  <c r="C257" i="5"/>
  <c r="S205" i="5"/>
  <c r="O154" i="5"/>
  <c r="K103" i="5"/>
  <c r="G52" i="5"/>
  <c r="A407" i="3"/>
  <c r="AI343" i="3"/>
  <c r="AH280" i="3"/>
  <c r="G217" i="3"/>
  <c r="F154" i="3"/>
  <c r="AI90" i="3"/>
  <c r="H27" i="3"/>
  <c r="G153" i="19"/>
  <c r="N183" i="17"/>
  <c r="G8" i="13"/>
  <c r="G138" i="11"/>
  <c r="C15" i="7"/>
  <c r="H222" i="6"/>
  <c r="H137" i="6"/>
  <c r="H73" i="6"/>
  <c r="H9" i="6"/>
  <c r="Q391" i="5"/>
  <c r="E366" i="5"/>
  <c r="M340" i="5"/>
  <c r="A315" i="5"/>
  <c r="I289" i="5"/>
  <c r="Q263" i="5"/>
  <c r="E238" i="5"/>
  <c r="M212" i="5"/>
  <c r="A187" i="5"/>
  <c r="I161" i="5"/>
  <c r="Q135" i="5"/>
  <c r="E110" i="5"/>
  <c r="M84" i="5"/>
  <c r="A59" i="5"/>
  <c r="I33" i="5"/>
  <c r="P7" i="5"/>
  <c r="AE383" i="3"/>
  <c r="B352" i="3"/>
  <c r="AH320" i="3"/>
  <c r="C289" i="3"/>
  <c r="F257" i="3"/>
  <c r="AF225" i="3"/>
  <c r="A194" i="3"/>
  <c r="I162" i="3"/>
  <c r="AH130" i="3"/>
  <c r="B99" i="3"/>
  <c r="H67" i="3"/>
  <c r="AG35" i="3"/>
  <c r="C163" i="23"/>
  <c r="B298" i="17"/>
  <c r="B42" i="17"/>
  <c r="H49" i="12"/>
  <c r="A32" i="8"/>
  <c r="C216" i="6"/>
  <c r="C88" i="6"/>
  <c r="P397" i="5"/>
  <c r="L346" i="5"/>
  <c r="H295" i="5"/>
  <c r="D244" i="5"/>
  <c r="T192" i="5"/>
  <c r="P141" i="5"/>
  <c r="L90" i="5"/>
  <c r="H39" i="5"/>
  <c r="AI390" i="3"/>
  <c r="AJ327" i="3"/>
  <c r="J264" i="3"/>
  <c r="C201" i="3"/>
  <c r="C138" i="3"/>
  <c r="AF74" i="3"/>
  <c r="A17" i="3"/>
  <c r="B168" i="22"/>
  <c r="B251" i="17"/>
  <c r="A97" i="15"/>
  <c r="D226" i="11"/>
  <c r="E7" i="8"/>
  <c r="G191" i="6"/>
  <c r="G63" i="6"/>
  <c r="T387" i="5"/>
  <c r="P336" i="5"/>
  <c r="L285" i="5"/>
  <c r="H234" i="5"/>
  <c r="H198" i="5"/>
  <c r="P172" i="5"/>
  <c r="D147" i="5"/>
  <c r="L121" i="5"/>
  <c r="T95" i="5"/>
  <c r="H70" i="5"/>
  <c r="P44" i="5"/>
  <c r="D19" i="5"/>
  <c r="J397" i="3"/>
  <c r="A366" i="3"/>
  <c r="J334" i="3"/>
  <c r="B303" i="3"/>
  <c r="E271" i="3"/>
  <c r="AE239" i="3"/>
  <c r="AI207" i="3"/>
  <c r="H176" i="3"/>
  <c r="AH144" i="3"/>
  <c r="B113" i="3"/>
  <c r="G81" i="3"/>
  <c r="AF49" i="3"/>
  <c r="G20" i="3"/>
  <c r="E548" i="25"/>
  <c r="F9" i="19"/>
  <c r="J134" i="17"/>
  <c r="H163" i="12"/>
  <c r="A67" i="11"/>
  <c r="A261" i="6"/>
  <c r="A133" i="6"/>
  <c r="A5" i="6"/>
  <c r="B364" i="5"/>
  <c r="R312" i="5"/>
  <c r="N261" i="5"/>
  <c r="J210" i="5"/>
  <c r="F159" i="5"/>
  <c r="B108" i="5"/>
  <c r="R56" i="5"/>
  <c r="AE412" i="3"/>
  <c r="J349" i="3"/>
  <c r="AE286" i="3"/>
  <c r="C223" i="3"/>
  <c r="AJ159" i="3"/>
  <c r="AD96" i="3"/>
  <c r="D33" i="3"/>
  <c r="H150" i="25"/>
  <c r="J352" i="17"/>
  <c r="J96" i="17"/>
  <c r="F118" i="12"/>
  <c r="D16" i="11"/>
  <c r="A236" i="6"/>
  <c r="A108" i="6"/>
  <c r="B406" i="5"/>
  <c r="R354" i="5"/>
  <c r="N303" i="5"/>
  <c r="J252" i="5"/>
  <c r="F201" i="5"/>
  <c r="B150" i="5"/>
  <c r="R98" i="5"/>
  <c r="N47" i="5"/>
  <c r="G401" i="3"/>
  <c r="F338" i="3"/>
  <c r="C275" i="3"/>
  <c r="AF211" i="3"/>
  <c r="AE148" i="3"/>
  <c r="E85" i="3"/>
  <c r="AI22" i="3"/>
  <c r="M408" i="2"/>
  <c r="Q398" i="2"/>
  <c r="U388" i="2"/>
  <c r="Y378" i="2"/>
  <c r="C369" i="2"/>
  <c r="G359" i="2"/>
  <c r="K349" i="2"/>
  <c r="O339" i="2"/>
  <c r="S329" i="2"/>
  <c r="W319" i="2"/>
  <c r="A310" i="2"/>
  <c r="E300" i="2"/>
  <c r="I290" i="2"/>
  <c r="M280" i="2"/>
  <c r="Q270" i="2"/>
  <c r="K261" i="2"/>
  <c r="M256" i="2"/>
  <c r="O251" i="2"/>
  <c r="Q246" i="2"/>
  <c r="S241" i="2"/>
  <c r="U236" i="2"/>
  <c r="W231" i="2"/>
  <c r="Y226" i="2"/>
  <c r="A222" i="2"/>
  <c r="C217" i="2"/>
  <c r="E212" i="2"/>
  <c r="G207" i="2"/>
  <c r="I202" i="2"/>
  <c r="K197" i="2"/>
  <c r="M192" i="2"/>
  <c r="O187" i="2"/>
  <c r="Q182" i="2"/>
  <c r="S177" i="2"/>
  <c r="U172" i="2"/>
  <c r="W167" i="2"/>
  <c r="Y162" i="2"/>
  <c r="A158" i="2"/>
  <c r="C153" i="2"/>
  <c r="E148" i="2"/>
  <c r="G143" i="2"/>
  <c r="I138" i="2"/>
  <c r="K133" i="2"/>
  <c r="M128" i="2"/>
  <c r="O123" i="2"/>
  <c r="Q118" i="2"/>
  <c r="S113" i="2"/>
  <c r="U108" i="2"/>
  <c r="W103" i="2"/>
  <c r="Y98" i="2"/>
  <c r="A94" i="2"/>
  <c r="C89" i="2"/>
  <c r="E84" i="2"/>
  <c r="G79" i="2"/>
  <c r="I74" i="2"/>
  <c r="K69" i="2"/>
  <c r="M64" i="2"/>
  <c r="O59" i="2"/>
  <c r="Q54" i="2"/>
  <c r="S49" i="2"/>
  <c r="U44" i="2"/>
  <c r="W39" i="2"/>
  <c r="Y34" i="2"/>
  <c r="A30" i="2"/>
  <c r="C25" i="2"/>
  <c r="E20" i="2"/>
  <c r="G15" i="2"/>
  <c r="H10" i="2"/>
  <c r="I705" i="25"/>
  <c r="F64" i="23"/>
  <c r="G28" i="19"/>
  <c r="J279" i="17"/>
  <c r="J151" i="17"/>
  <c r="J23" i="17"/>
  <c r="H191" i="12"/>
  <c r="C21" i="12"/>
  <c r="G89" i="11"/>
  <c r="C19" i="8"/>
  <c r="E265" i="6"/>
  <c r="E201" i="6"/>
  <c r="E137" i="6"/>
  <c r="E73" i="6"/>
  <c r="E9" i="6"/>
  <c r="J391" i="5"/>
  <c r="R365" i="5"/>
  <c r="F340" i="5"/>
  <c r="N314" i="5"/>
  <c r="B289" i="5"/>
  <c r="J263" i="5"/>
  <c r="R237" i="5"/>
  <c r="F212" i="5"/>
  <c r="N186" i="5"/>
  <c r="B161" i="5"/>
  <c r="J135" i="5"/>
  <c r="R109" i="5"/>
  <c r="F84" i="5"/>
  <c r="N58" i="5"/>
  <c r="B33" i="5"/>
  <c r="I7" i="5"/>
  <c r="F383" i="3"/>
  <c r="AG351" i="3"/>
  <c r="I320" i="3"/>
  <c r="AH288" i="3"/>
  <c r="A257" i="3"/>
  <c r="G225" i="3"/>
  <c r="AF193" i="3"/>
  <c r="D162" i="3"/>
  <c r="I130" i="3"/>
  <c r="AG98" i="3"/>
  <c r="C67" i="3"/>
  <c r="H35" i="3"/>
  <c r="D13" i="3"/>
  <c r="J377" i="17"/>
  <c r="F162" i="12"/>
  <c r="E258" i="6"/>
  <c r="E2" i="6"/>
  <c r="F314" i="5"/>
  <c r="R211" i="5"/>
  <c r="J109" i="5"/>
  <c r="A7" i="5"/>
  <c r="F289" i="3"/>
  <c r="AF162" i="3"/>
  <c r="AJ35" i="3"/>
  <c r="H409" i="2"/>
  <c r="S402" i="2"/>
  <c r="D396" i="2"/>
  <c r="P389" i="2"/>
  <c r="A383" i="2"/>
  <c r="L376" i="2"/>
  <c r="X369" i="2"/>
  <c r="I363" i="2"/>
  <c r="T356" i="2"/>
  <c r="F350" i="2"/>
  <c r="Q343" i="2"/>
  <c r="B337" i="2"/>
  <c r="N330" i="2"/>
  <c r="Y323" i="2"/>
  <c r="J317" i="2"/>
  <c r="V310" i="2"/>
  <c r="G304" i="2"/>
  <c r="R297" i="2"/>
  <c r="D291" i="2"/>
  <c r="O284" i="2"/>
  <c r="Z277" i="2"/>
  <c r="L271" i="2"/>
  <c r="W264" i="2"/>
  <c r="H258" i="2"/>
  <c r="T251" i="2"/>
  <c r="E245" i="2"/>
  <c r="P238" i="2"/>
  <c r="B232" i="2"/>
  <c r="M225" i="2"/>
  <c r="X218" i="2"/>
  <c r="J212" i="2"/>
  <c r="U205" i="2"/>
  <c r="F199" i="2"/>
  <c r="R192" i="2"/>
  <c r="C186" i="2"/>
  <c r="N179" i="2"/>
  <c r="Z172" i="2"/>
  <c r="K166" i="2"/>
  <c r="V159" i="2"/>
  <c r="H153" i="2"/>
  <c r="S146" i="2"/>
  <c r="D140" i="2"/>
  <c r="P133" i="2"/>
  <c r="A127" i="2"/>
  <c r="L120" i="2"/>
  <c r="X113" i="2"/>
  <c r="I107" i="2"/>
  <c r="T100" i="2"/>
  <c r="F94" i="2"/>
  <c r="Q87" i="2"/>
  <c r="B81" i="2"/>
  <c r="N74" i="2"/>
  <c r="Y67" i="2"/>
  <c r="J61" i="2"/>
  <c r="V54" i="2"/>
  <c r="G48" i="2"/>
  <c r="R41" i="2"/>
  <c r="D35" i="2"/>
  <c r="O28" i="2"/>
  <c r="Z21" i="2"/>
  <c r="L15" i="2"/>
  <c r="V8" i="2"/>
  <c r="Q409" i="2"/>
  <c r="B403" i="2"/>
  <c r="N396" i="2"/>
  <c r="Y389" i="2"/>
  <c r="J383" i="2"/>
  <c r="V376" i="2"/>
  <c r="G370" i="2"/>
  <c r="R363" i="2"/>
  <c r="D357" i="2"/>
  <c r="O350" i="2"/>
  <c r="Z343" i="2"/>
  <c r="L337" i="2"/>
  <c r="W330" i="2"/>
  <c r="H324" i="2"/>
  <c r="T317" i="2"/>
  <c r="E311" i="2"/>
  <c r="P304" i="2"/>
  <c r="B298" i="2"/>
  <c r="M291" i="2"/>
  <c r="X284" i="2"/>
  <c r="J278" i="2"/>
  <c r="U271" i="2"/>
  <c r="F265" i="2"/>
  <c r="R258" i="2"/>
  <c r="C252" i="2"/>
  <c r="N245" i="2"/>
  <c r="Z238" i="2"/>
  <c r="K232" i="2"/>
  <c r="V225" i="2"/>
  <c r="H219" i="2"/>
  <c r="S212" i="2"/>
  <c r="D206" i="2"/>
  <c r="P199" i="2"/>
  <c r="A193" i="2"/>
  <c r="L186" i="2"/>
  <c r="X179" i="2"/>
  <c r="I173" i="2"/>
  <c r="T166" i="2"/>
  <c r="F160" i="2"/>
  <c r="Q153" i="2"/>
  <c r="B147" i="2"/>
  <c r="N140" i="2"/>
  <c r="Y133" i="2"/>
  <c r="J127" i="2"/>
  <c r="V120" i="2"/>
  <c r="G114" i="2"/>
  <c r="R107" i="2"/>
  <c r="D101" i="2"/>
  <c r="O94" i="2"/>
  <c r="Z87" i="2"/>
  <c r="L81" i="2"/>
  <c r="W74" i="2"/>
  <c r="H68" i="2"/>
  <c r="T61" i="2"/>
  <c r="E55" i="2"/>
  <c r="P48" i="2"/>
  <c r="B42" i="2"/>
  <c r="M35" i="2"/>
  <c r="X28" i="2"/>
  <c r="J22" i="2"/>
  <c r="U15" i="2"/>
  <c r="E9" i="2"/>
  <c r="Z409" i="2"/>
  <c r="L403" i="2"/>
  <c r="W396" i="2"/>
  <c r="H390" i="2"/>
  <c r="T383" i="2"/>
  <c r="E377" i="2"/>
  <c r="P370" i="2"/>
  <c r="B364" i="2"/>
  <c r="M357" i="2"/>
  <c r="X350" i="2"/>
  <c r="J344" i="2"/>
  <c r="U337" i="2"/>
  <c r="F331" i="2"/>
  <c r="R324" i="2"/>
  <c r="C318" i="2"/>
  <c r="N311" i="2"/>
  <c r="Z304" i="2"/>
  <c r="K298" i="2"/>
  <c r="V291" i="2"/>
  <c r="H285" i="2"/>
  <c r="S278" i="2"/>
  <c r="D272" i="2"/>
  <c r="P265" i="2"/>
  <c r="A259" i="2"/>
  <c r="L252" i="2"/>
  <c r="X245" i="2"/>
  <c r="I239" i="2"/>
  <c r="T232" i="2"/>
  <c r="F226" i="2"/>
  <c r="Q219" i="2"/>
  <c r="B213" i="2"/>
  <c r="N206" i="2"/>
  <c r="Y199" i="2"/>
  <c r="J193" i="2"/>
  <c r="V186" i="2"/>
  <c r="G180" i="2"/>
  <c r="R173" i="2"/>
  <c r="D167" i="2"/>
  <c r="O160" i="2"/>
  <c r="Z153" i="2"/>
  <c r="L147" i="2"/>
  <c r="W140" i="2"/>
  <c r="H134" i="2"/>
  <c r="T127" i="2"/>
  <c r="E121" i="2"/>
  <c r="P114" i="2"/>
  <c r="B108" i="2"/>
  <c r="M101" i="2"/>
  <c r="X94" i="2"/>
  <c r="J88" i="2"/>
  <c r="U81" i="2"/>
  <c r="F75" i="2"/>
  <c r="R68" i="2"/>
  <c r="C62" i="2"/>
  <c r="N55" i="2"/>
  <c r="Z48" i="2"/>
  <c r="K42" i="2"/>
  <c r="V35" i="2"/>
  <c r="H29" i="2"/>
  <c r="S22" i="2"/>
  <c r="D16" i="2"/>
  <c r="O9" i="2"/>
  <c r="G274" i="19"/>
  <c r="B23" i="14"/>
  <c r="D10" i="7"/>
  <c r="E52" i="6"/>
  <c r="F334" i="5"/>
  <c r="R231" i="5"/>
  <c r="J129" i="5"/>
  <c r="B27" i="5"/>
  <c r="A314" i="3"/>
  <c r="G187" i="3"/>
  <c r="AF60" i="3"/>
  <c r="G178" i="19"/>
  <c r="B7" i="14"/>
  <c r="E280" i="6"/>
  <c r="E24" i="6"/>
  <c r="R319" i="5"/>
  <c r="J217" i="5"/>
  <c r="B115" i="5"/>
  <c r="M12" i="5"/>
  <c r="E296" i="3"/>
  <c r="AE169" i="3"/>
  <c r="AI42" i="3"/>
  <c r="X399" i="2"/>
  <c r="T386" i="2"/>
  <c r="V373" i="2"/>
  <c r="N360" i="2"/>
  <c r="P347" i="2"/>
  <c r="K332" i="2"/>
  <c r="B319" i="2"/>
  <c r="D306" i="2"/>
  <c r="F293" i="2"/>
  <c r="X279" i="2"/>
  <c r="E267" i="2"/>
  <c r="L254" i="2"/>
  <c r="H240" i="2"/>
  <c r="T226" i="2"/>
  <c r="V213" i="2"/>
  <c r="N201" i="2"/>
  <c r="A189" i="2"/>
  <c r="N176" i="2"/>
  <c r="E163" i="2"/>
  <c r="L150" i="2"/>
  <c r="S136" i="2"/>
  <c r="J123" i="2"/>
  <c r="G110" i="2"/>
  <c r="I97" i="2"/>
  <c r="A85" i="2"/>
  <c r="R71" i="2"/>
  <c r="J58" i="2"/>
  <c r="Q45" i="2"/>
  <c r="S32" i="2"/>
  <c r="J19" i="2"/>
  <c r="F11" i="26"/>
  <c r="J145" i="17"/>
  <c r="G113" i="11"/>
  <c r="E158" i="6"/>
  <c r="J373" i="5"/>
  <c r="B271" i="5"/>
  <c r="N168" i="5"/>
  <c r="F66" i="5"/>
  <c r="C358" i="3"/>
  <c r="AH231" i="3"/>
  <c r="E105" i="3"/>
  <c r="F412" i="2"/>
  <c r="F404" i="2"/>
  <c r="H391" i="2"/>
  <c r="Y377" i="2"/>
  <c r="V364" i="2"/>
  <c r="M351" i="2"/>
  <c r="K340" i="2"/>
  <c r="H327" i="2"/>
  <c r="D314" i="2"/>
  <c r="F301" i="2"/>
  <c r="R287" i="2"/>
  <c r="J274" i="2"/>
  <c r="F261" i="2"/>
  <c r="H247" i="2"/>
  <c r="U235" i="2"/>
  <c r="W222" i="2"/>
  <c r="N209" i="2"/>
  <c r="Z194" i="2"/>
  <c r="L181" i="2"/>
  <c r="N168" i="2"/>
  <c r="T154" i="2"/>
  <c r="G142" i="2"/>
  <c r="I129" i="2"/>
  <c r="F116" i="2"/>
  <c r="W102" i="2"/>
  <c r="N89" i="2"/>
  <c r="U75" i="2"/>
  <c r="B63" i="2"/>
  <c r="T49" i="2"/>
  <c r="Z34" i="2"/>
  <c r="H23" i="2"/>
  <c r="I10" i="2"/>
  <c r="D543" i="25"/>
  <c r="K360" i="17"/>
  <c r="K72" i="17"/>
  <c r="D46" i="12"/>
  <c r="A541" i="25"/>
  <c r="A6" i="19"/>
  <c r="O168" i="17"/>
  <c r="D217" i="12"/>
  <c r="C161" i="11"/>
  <c r="E53" i="19"/>
  <c r="E36" i="15"/>
  <c r="E11" i="7"/>
  <c r="F80" i="6"/>
  <c r="G356" i="5"/>
  <c r="S253" i="5"/>
  <c r="G164" i="5"/>
  <c r="S61" i="5"/>
  <c r="AE355" i="3"/>
  <c r="D245" i="3"/>
  <c r="H134" i="3"/>
  <c r="H262" i="25"/>
  <c r="N103" i="17"/>
  <c r="A32" i="11"/>
  <c r="H174" i="6"/>
  <c r="H21" i="6"/>
  <c r="I377" i="5"/>
  <c r="E326" i="5"/>
  <c r="E294" i="5"/>
  <c r="E262" i="5"/>
  <c r="A211" i="5"/>
  <c r="E166" i="5"/>
  <c r="A115" i="5"/>
  <c r="Q63" i="5"/>
  <c r="A19" i="5"/>
  <c r="AI373" i="3"/>
  <c r="AI310" i="3"/>
  <c r="I247" i="3"/>
  <c r="C192" i="3"/>
  <c r="AH128" i="3"/>
  <c r="G73" i="3"/>
  <c r="E161" i="25"/>
  <c r="B154" i="17"/>
  <c r="H113" i="12"/>
  <c r="C272" i="6"/>
  <c r="H407" i="5"/>
  <c r="T304" i="5"/>
  <c r="H215" i="5"/>
  <c r="D100" i="5"/>
  <c r="AG402" i="3"/>
  <c r="H292" i="3"/>
  <c r="A150" i="3"/>
  <c r="AG23" i="3"/>
  <c r="B363" i="17"/>
  <c r="H133" i="12"/>
  <c r="G215" i="6"/>
  <c r="L397" i="5"/>
  <c r="H282" i="5"/>
  <c r="P196" i="5"/>
  <c r="L145" i="5"/>
  <c r="T87" i="5"/>
  <c r="P36" i="5"/>
  <c r="AF387" i="3"/>
  <c r="AD332" i="3"/>
  <c r="E269" i="3"/>
  <c r="AJ197" i="3"/>
  <c r="AI126" i="3"/>
  <c r="AF55" i="3"/>
  <c r="G396" i="25"/>
  <c r="J54" i="17"/>
  <c r="G36" i="8"/>
  <c r="A93" i="6"/>
  <c r="N373" i="5"/>
  <c r="B284" i="5"/>
  <c r="N181" i="5"/>
  <c r="B92" i="5"/>
  <c r="A393" i="3"/>
  <c r="AE266" i="3"/>
  <c r="D140" i="3"/>
  <c r="B18" i="3"/>
  <c r="J272" i="17"/>
  <c r="H11" i="12"/>
  <c r="A228" i="6"/>
  <c r="J364" i="5"/>
  <c r="R210" i="5"/>
  <c r="R82" i="5"/>
  <c r="AE381" i="3"/>
  <c r="AG318" i="3"/>
  <c r="F255" i="3"/>
  <c r="B192" i="3"/>
  <c r="AG128" i="3"/>
  <c r="G65" i="3"/>
  <c r="F12" i="3"/>
  <c r="K405" i="2"/>
  <c r="O395" i="2"/>
  <c r="S385" i="2"/>
  <c r="W375" i="2"/>
  <c r="A366" i="2"/>
  <c r="E356" i="2"/>
  <c r="W343" i="2"/>
  <c r="A334" i="2"/>
  <c r="E324" i="2"/>
  <c r="W311" i="2"/>
  <c r="O299" i="2"/>
  <c r="W279" i="2"/>
  <c r="G257" i="2"/>
  <c r="Q248" i="2"/>
  <c r="I236" i="2"/>
  <c r="S227" i="2"/>
  <c r="Q216" i="2"/>
  <c r="O205" i="2"/>
  <c r="G193" i="2"/>
  <c r="E182" i="2"/>
  <c r="C171" i="2"/>
  <c r="S163" i="2"/>
  <c r="E150" i="2"/>
  <c r="O141" i="2"/>
  <c r="M130" i="2"/>
  <c r="E118" i="2"/>
  <c r="C107" i="2"/>
  <c r="G97" i="2"/>
  <c r="K87" i="2"/>
  <c r="U78" i="2"/>
  <c r="Y68" i="2"/>
  <c r="C59" i="2"/>
  <c r="G49" i="2"/>
  <c r="E38" i="2"/>
  <c r="I28" i="2"/>
  <c r="M18" i="2"/>
  <c r="J7" i="2"/>
  <c r="G218" i="19"/>
  <c r="J171" i="17"/>
  <c r="F218" i="12"/>
  <c r="G73" i="11"/>
  <c r="E243" i="6"/>
  <c r="E83" i="6"/>
  <c r="J395" i="5"/>
  <c r="N350" i="5"/>
  <c r="J299" i="5"/>
  <c r="R241" i="5"/>
  <c r="N190" i="5"/>
  <c r="J139" i="5"/>
  <c r="F88" i="5"/>
  <c r="J43" i="5"/>
  <c r="D396" i="3"/>
  <c r="D333" i="3"/>
  <c r="AI269" i="3"/>
  <c r="J198" i="3"/>
  <c r="I135" i="3"/>
  <c r="B72" i="3"/>
  <c r="AF24" i="3"/>
  <c r="J201" i="17"/>
  <c r="E234" i="6"/>
  <c r="N304" i="5"/>
  <c r="F74" i="5"/>
  <c r="AF245" i="3"/>
  <c r="H410" i="2"/>
  <c r="V398" i="2"/>
  <c r="K382" i="2"/>
  <c r="H369" i="2"/>
  <c r="N354" i="2"/>
  <c r="T339" i="2"/>
  <c r="P326" i="2"/>
  <c r="T316" i="2"/>
  <c r="Q303" i="2"/>
  <c r="W288" i="2"/>
  <c r="T275" i="2"/>
  <c r="P262" i="2"/>
  <c r="T252" i="2"/>
  <c r="F246" i="2"/>
  <c r="Q239" i="2"/>
  <c r="B233" i="2"/>
  <c r="W224" i="2"/>
  <c r="A215" i="2"/>
  <c r="X201" i="2"/>
  <c r="K190" i="2"/>
  <c r="H177" i="2"/>
  <c r="D164" i="2"/>
  <c r="H154" i="2"/>
  <c r="E141" i="2"/>
  <c r="R129" i="2"/>
  <c r="O116" i="2"/>
  <c r="U101" i="2"/>
  <c r="R88" i="2"/>
  <c r="V78" i="2"/>
  <c r="R65" i="2"/>
  <c r="F54" i="2"/>
  <c r="S42" i="2"/>
  <c r="P29" i="2"/>
  <c r="C18" i="2"/>
  <c r="A409" i="2"/>
  <c r="X395" i="2"/>
  <c r="T382" i="2"/>
  <c r="Q369" i="2"/>
  <c r="F353" i="2"/>
  <c r="C340" i="2"/>
  <c r="I325" i="2"/>
  <c r="O310" i="2"/>
  <c r="U295" i="2"/>
  <c r="A281" i="2"/>
  <c r="G266" i="2"/>
  <c r="M251" i="2"/>
  <c r="S236" i="2"/>
  <c r="P223" i="2"/>
  <c r="L210" i="2"/>
  <c r="R195" i="2"/>
  <c r="O182" i="2"/>
  <c r="L169" i="2"/>
  <c r="R154" i="2"/>
  <c r="E143" i="2"/>
  <c r="R131" i="2"/>
  <c r="F120" i="2"/>
  <c r="B107" i="2"/>
  <c r="Y93" i="2"/>
  <c r="V80" i="2"/>
  <c r="R67" i="2"/>
  <c r="H51" i="2"/>
  <c r="U39" i="2"/>
  <c r="R26" i="2"/>
  <c r="N13" i="2"/>
  <c r="T407" i="2"/>
  <c r="P394" i="2"/>
  <c r="V379" i="2"/>
  <c r="S366" i="2"/>
  <c r="W356" i="2"/>
  <c r="C342" i="2"/>
  <c r="R325" i="2"/>
  <c r="O312" i="2"/>
  <c r="U297" i="2"/>
  <c r="R284" i="2"/>
  <c r="E273" i="2"/>
  <c r="B260" i="2"/>
  <c r="X246" i="2"/>
  <c r="N230" i="2"/>
  <c r="A219" i="2"/>
  <c r="N207" i="2"/>
  <c r="K194" i="2"/>
  <c r="Q179" i="2"/>
  <c r="N166" i="2"/>
  <c r="A155" i="2"/>
  <c r="X141" i="2"/>
  <c r="K130" i="2"/>
  <c r="X118" i="2"/>
  <c r="U105" i="2"/>
  <c r="R92" i="2"/>
  <c r="N79" i="2"/>
  <c r="T64" i="2"/>
  <c r="Z49" i="2"/>
  <c r="W36" i="2"/>
  <c r="T23" i="2"/>
  <c r="X13" i="2"/>
  <c r="G82" i="19"/>
  <c r="C26" i="8"/>
  <c r="F350" i="5"/>
  <c r="J145" i="5"/>
  <c r="AF333" i="3"/>
  <c r="E112" i="3"/>
  <c r="H5" i="17"/>
  <c r="J361" i="5"/>
  <c r="N156" i="5"/>
  <c r="H347" i="3"/>
  <c r="H94" i="3"/>
  <c r="C392" i="2"/>
  <c r="D369" i="2"/>
  <c r="T337" i="2"/>
  <c r="T314" i="2"/>
  <c r="X288" i="2"/>
  <c r="J259" i="2"/>
  <c r="N232" i="2"/>
  <c r="O202" i="2"/>
  <c r="J178" i="2"/>
  <c r="U155" i="2"/>
  <c r="S128" i="2"/>
  <c r="T89" i="2"/>
  <c r="K60" i="2"/>
  <c r="B39" i="2"/>
  <c r="I11" i="2"/>
  <c r="F130" i="12"/>
  <c r="J389" i="5"/>
  <c r="N184" i="5"/>
  <c r="H409" i="3"/>
  <c r="G188" i="3"/>
  <c r="H408" i="2"/>
  <c r="Z379" i="2"/>
  <c r="Z346" i="2"/>
  <c r="T322" i="2"/>
  <c r="A293" i="2"/>
  <c r="O266" i="2"/>
  <c r="G246" i="2"/>
  <c r="X224" i="2"/>
  <c r="A197" i="2"/>
  <c r="B167" i="2"/>
  <c r="A141" i="2"/>
  <c r="Z114" i="2"/>
  <c r="C88" i="2"/>
  <c r="O58" i="2"/>
  <c r="I25" i="2"/>
  <c r="I341" i="25"/>
  <c r="A306" i="17"/>
  <c r="A50" i="17"/>
  <c r="E170" i="23"/>
  <c r="H312" i="17"/>
  <c r="L13" i="17"/>
  <c r="A20" i="12"/>
  <c r="B6" i="11"/>
  <c r="F64" i="19"/>
  <c r="K192" i="17"/>
  <c r="A11" i="14"/>
  <c r="E149" i="11"/>
  <c r="B99" i="24"/>
  <c r="O320" i="17"/>
  <c r="O64" i="17"/>
  <c r="B36" i="12"/>
  <c r="F12" i="23"/>
  <c r="E4" i="15"/>
  <c r="E3" i="7"/>
  <c r="F40" i="6"/>
  <c r="K327" i="5"/>
  <c r="G212" i="5"/>
  <c r="O122" i="5"/>
  <c r="C33" i="5"/>
  <c r="H320" i="3"/>
  <c r="H209" i="3"/>
  <c r="AJ82" i="3"/>
  <c r="G38" i="19"/>
  <c r="F195" i="12"/>
  <c r="C4" i="7"/>
  <c r="H113" i="6"/>
  <c r="Q407" i="5"/>
  <c r="E350" i="5"/>
  <c r="I305" i="5"/>
  <c r="Q247" i="5"/>
  <c r="M196" i="5"/>
  <c r="M132" i="5"/>
  <c r="I81" i="5"/>
  <c r="E30" i="5"/>
  <c r="AJ371" i="3"/>
  <c r="AJ308" i="3"/>
  <c r="H253" i="3"/>
  <c r="C190" i="3"/>
  <c r="AG142" i="3"/>
  <c r="G79" i="3"/>
  <c r="G543" i="25"/>
  <c r="B138" i="17"/>
  <c r="D78" i="11"/>
  <c r="C168" i="6"/>
  <c r="H391" i="5"/>
  <c r="T288" i="5"/>
  <c r="P173" i="5"/>
  <c r="H71" i="5"/>
  <c r="E367" i="3"/>
  <c r="AI240" i="3"/>
  <c r="F114" i="3"/>
  <c r="F812" i="25"/>
  <c r="B155" i="17"/>
  <c r="A13" i="11"/>
  <c r="G111" i="6"/>
  <c r="D343" i="5"/>
  <c r="T227" i="5"/>
  <c r="L169" i="5"/>
  <c r="T111" i="5"/>
  <c r="H54" i="5"/>
  <c r="F409" i="3"/>
  <c r="F346" i="3"/>
  <c r="E267" i="3"/>
  <c r="AJ195" i="3"/>
  <c r="AJ124" i="3"/>
  <c r="J61" i="3"/>
  <c r="G10" i="3"/>
  <c r="J294" i="17"/>
  <c r="H35" i="12"/>
  <c r="A245" i="6"/>
  <c r="B396" i="5"/>
  <c r="J306" i="5"/>
  <c r="F191" i="5"/>
  <c r="R88" i="5"/>
  <c r="B389" i="3"/>
  <c r="AE278" i="3"/>
  <c r="C152" i="3"/>
  <c r="E25" i="3"/>
  <c r="J320" i="17"/>
  <c r="D144" i="11"/>
  <c r="A188" i="6"/>
  <c r="R386" i="5"/>
  <c r="J284" i="5"/>
  <c r="B182" i="5"/>
  <c r="J92" i="5"/>
  <c r="D409" i="3"/>
  <c r="H344" i="5"/>
  <c r="H248" i="5"/>
  <c r="P182" i="5"/>
  <c r="D133" i="5"/>
  <c r="D85" i="5"/>
  <c r="D29" i="5"/>
  <c r="F378" i="3"/>
  <c r="G319" i="3"/>
  <c r="AI257" i="3"/>
  <c r="H198" i="3"/>
  <c r="G139" i="3"/>
  <c r="AJ77" i="3"/>
  <c r="AE12" i="3"/>
  <c r="J266" i="17"/>
  <c r="A1" i="12"/>
  <c r="A231" i="6"/>
  <c r="A47" i="6"/>
  <c r="R332" i="5"/>
  <c r="R236" i="5"/>
  <c r="R140" i="5"/>
  <c r="N73" i="5"/>
  <c r="N41" i="5"/>
  <c r="AJ397" i="3"/>
  <c r="AH338" i="3"/>
  <c r="AE275" i="3"/>
  <c r="D216" i="3"/>
  <c r="B157" i="3"/>
  <c r="J97" i="3"/>
  <c r="D38" i="3"/>
  <c r="A293" i="25"/>
  <c r="J356" i="17"/>
  <c r="J132" i="17"/>
  <c r="H187" i="12"/>
  <c r="D64" i="11"/>
  <c r="A238" i="6"/>
  <c r="A118" i="6"/>
  <c r="F413" i="5"/>
  <c r="R374" i="5"/>
  <c r="R326" i="5"/>
  <c r="N275" i="5"/>
  <c r="J224" i="5"/>
  <c r="F173" i="5"/>
  <c r="R118" i="5"/>
  <c r="R70" i="5"/>
  <c r="B26" i="5"/>
  <c r="AD382" i="3"/>
  <c r="AG315" i="3"/>
  <c r="I240" i="3"/>
  <c r="D181" i="3"/>
  <c r="AI117" i="3"/>
  <c r="G62" i="3"/>
  <c r="AH12" i="3"/>
  <c r="O405" i="2"/>
  <c r="C395" i="2"/>
  <c r="Q384" i="2"/>
  <c r="E374" i="2"/>
  <c r="Y364" i="2"/>
  <c r="I356" i="2"/>
  <c r="M346" i="2"/>
  <c r="G337" i="2"/>
  <c r="A328" i="2"/>
  <c r="K319" i="2"/>
  <c r="E310" i="2"/>
  <c r="O301" i="2"/>
  <c r="I292" i="2"/>
  <c r="S283" i="2"/>
  <c r="M274" i="2"/>
  <c r="G265" i="2"/>
  <c r="B849" i="25"/>
  <c r="H161" i="23"/>
  <c r="A548" i="25"/>
  <c r="I50" i="25"/>
  <c r="E149" i="25"/>
  <c r="E281" i="19"/>
  <c r="E235" i="25"/>
  <c r="F31" i="22"/>
  <c r="D76" i="19"/>
  <c r="I442" i="25"/>
  <c r="D80" i="24"/>
  <c r="D175" i="22"/>
  <c r="C182" i="19"/>
  <c r="A3" i="18"/>
  <c r="A318" i="17"/>
  <c r="A254" i="17"/>
  <c r="A190" i="17"/>
  <c r="A126" i="17"/>
  <c r="A62" i="17"/>
  <c r="G101" i="15"/>
  <c r="H3" i="14"/>
  <c r="D368" i="25"/>
  <c r="B12" i="24"/>
  <c r="H129" i="22"/>
  <c r="B148" i="19"/>
  <c r="D371" i="17"/>
  <c r="L285" i="17"/>
  <c r="H200" i="17"/>
  <c r="D115" i="17"/>
  <c r="L29" i="17"/>
  <c r="F29" i="15"/>
  <c r="E177" i="12"/>
  <c r="A96" i="12"/>
  <c r="A32" i="12"/>
  <c r="B210" i="11"/>
  <c r="B146" i="11"/>
  <c r="B82" i="11"/>
  <c r="B18" i="11"/>
  <c r="D581" i="25"/>
  <c r="I75" i="25"/>
  <c r="G13" i="23"/>
  <c r="F240" i="19"/>
  <c r="E14" i="19"/>
  <c r="K332" i="17"/>
  <c r="K268" i="17"/>
  <c r="K204" i="17"/>
  <c r="K140" i="17"/>
  <c r="K76" i="17"/>
  <c r="K12" i="17"/>
  <c r="H5" i="15"/>
  <c r="G179" i="12"/>
  <c r="D94" i="12"/>
  <c r="B9" i="12"/>
  <c r="E165" i="11"/>
  <c r="C80" i="11"/>
  <c r="D49" i="33"/>
  <c r="G301" i="25"/>
  <c r="G185" i="23"/>
  <c r="C81" i="22"/>
  <c r="F111" i="19"/>
  <c r="O364" i="17"/>
  <c r="O300" i="17"/>
  <c r="O236" i="17"/>
  <c r="O172" i="17"/>
  <c r="O108" i="17"/>
  <c r="O44" i="17"/>
  <c r="D69" i="15"/>
  <c r="G222" i="12"/>
  <c r="D137" i="12"/>
  <c r="B52" i="12"/>
  <c r="C209" i="11"/>
  <c r="H123" i="11"/>
  <c r="E38" i="11"/>
  <c r="I237" i="25"/>
  <c r="G38" i="22"/>
  <c r="F356" i="17"/>
  <c r="F228" i="17"/>
  <c r="F100" i="17"/>
  <c r="E52" i="15"/>
  <c r="F125" i="12"/>
  <c r="G196" i="11"/>
  <c r="A26" i="11"/>
  <c r="E15" i="7"/>
  <c r="F244" i="6"/>
  <c r="F180" i="6"/>
  <c r="F116" i="6"/>
  <c r="F52" i="6"/>
  <c r="C409" i="5"/>
  <c r="K383" i="5"/>
  <c r="S357" i="5"/>
  <c r="G332" i="5"/>
  <c r="O306" i="5"/>
  <c r="C281" i="5"/>
  <c r="K255" i="5"/>
  <c r="S229" i="5"/>
  <c r="G204" i="5"/>
  <c r="O178" i="5"/>
  <c r="C153" i="5"/>
  <c r="K127" i="5"/>
  <c r="S101" i="5"/>
  <c r="G76" i="5"/>
  <c r="O50" i="5"/>
  <c r="C25" i="5"/>
  <c r="B405" i="3"/>
  <c r="J373" i="3"/>
  <c r="AI341" i="3"/>
  <c r="I310" i="3"/>
  <c r="AH278" i="3"/>
  <c r="C247" i="3"/>
  <c r="G215" i="3"/>
  <c r="AI183" i="3"/>
  <c r="F152" i="3"/>
  <c r="J120" i="3"/>
  <c r="AI88" i="3"/>
  <c r="E57" i="3"/>
  <c r="H25" i="3"/>
  <c r="F196" i="23"/>
  <c r="G121" i="19"/>
  <c r="N303" i="17"/>
  <c r="N175" i="17"/>
  <c r="N47" i="17"/>
  <c r="F227" i="12"/>
  <c r="H56" i="12"/>
  <c r="A128" i="11"/>
  <c r="B36" i="8"/>
  <c r="C12" i="7"/>
  <c r="H262" i="6"/>
  <c r="D220" i="6"/>
  <c r="D177" i="6"/>
  <c r="H135" i="6"/>
  <c r="H103" i="6"/>
  <c r="H71" i="6"/>
  <c r="H39" i="6"/>
  <c r="H7" i="6"/>
  <c r="Q403" i="5"/>
  <c r="A391" i="5"/>
  <c r="E378" i="5"/>
  <c r="I365" i="5"/>
  <c r="M352" i="5"/>
  <c r="Q339" i="5"/>
  <c r="A327" i="5"/>
  <c r="E314" i="5"/>
  <c r="I301" i="5"/>
  <c r="M288" i="5"/>
  <c r="Q275" i="5"/>
  <c r="A263" i="5"/>
  <c r="E250" i="5"/>
  <c r="I237" i="5"/>
  <c r="M224" i="5"/>
  <c r="Q211" i="5"/>
  <c r="A199" i="5"/>
  <c r="E186" i="5"/>
  <c r="I173" i="5"/>
  <c r="M160" i="5"/>
  <c r="Q147" i="5"/>
  <c r="A135" i="5"/>
  <c r="E122" i="5"/>
  <c r="I109" i="5"/>
  <c r="M96" i="5"/>
  <c r="Q83" i="5"/>
  <c r="A71" i="5"/>
  <c r="E58" i="5"/>
  <c r="I45" i="5"/>
  <c r="M32" i="5"/>
  <c r="E26" i="5"/>
  <c r="Q19" i="5"/>
  <c r="H13" i="5"/>
  <c r="T6" i="5"/>
  <c r="H406" i="3"/>
  <c r="I398" i="3"/>
  <c r="J390" i="3"/>
  <c r="AE382" i="3"/>
  <c r="AH374" i="3"/>
  <c r="AJ366" i="3"/>
  <c r="AJ358" i="3"/>
  <c r="B351" i="3"/>
  <c r="E343" i="3"/>
  <c r="I335" i="3"/>
  <c r="AE327" i="3"/>
  <c r="AH319" i="3"/>
  <c r="AI311" i="3"/>
  <c r="A304" i="3"/>
  <c r="B296" i="3"/>
  <c r="C288" i="3"/>
  <c r="D280" i="3"/>
  <c r="D272" i="3"/>
  <c r="E264" i="3"/>
  <c r="F256" i="3"/>
  <c r="I248" i="3"/>
  <c r="J240" i="3"/>
  <c r="AE232" i="3"/>
  <c r="AF224" i="3"/>
  <c r="AG216" i="3"/>
  <c r="AH208" i="3"/>
  <c r="AH200" i="3"/>
  <c r="B193" i="3"/>
  <c r="E185" i="3"/>
  <c r="G177" i="3"/>
  <c r="H169" i="3"/>
  <c r="I161" i="3"/>
  <c r="AF153" i="3"/>
  <c r="AG145" i="3"/>
  <c r="AH137" i="3"/>
  <c r="AH129" i="3"/>
  <c r="AI121" i="3"/>
  <c r="A114" i="3"/>
  <c r="B106" i="3"/>
  <c r="B98" i="3"/>
  <c r="E90" i="3"/>
  <c r="F82" i="3"/>
  <c r="G74" i="3"/>
  <c r="H66" i="3"/>
  <c r="J58" i="3"/>
  <c r="AE50" i="3"/>
  <c r="AF42" i="3"/>
  <c r="AG34" i="3"/>
  <c r="AH26" i="3"/>
  <c r="C855" i="25"/>
  <c r="D218" i="25"/>
  <c r="F120" i="23"/>
  <c r="D25" i="22"/>
  <c r="G68" i="19"/>
  <c r="B354" i="17"/>
  <c r="B290" i="17"/>
  <c r="B226" i="17"/>
  <c r="B162" i="17"/>
  <c r="B98" i="17"/>
  <c r="B34" i="17"/>
  <c r="A47" i="15"/>
  <c r="H209" i="12"/>
  <c r="F124" i="12"/>
  <c r="C39" i="12"/>
  <c r="G195" i="11"/>
  <c r="D110" i="11"/>
  <c r="A25" i="11"/>
  <c r="A28" i="8"/>
  <c r="B15" i="7"/>
  <c r="C276" i="6"/>
  <c r="C244" i="6"/>
  <c r="C212" i="6"/>
  <c r="C180" i="6"/>
  <c r="C148" i="6"/>
  <c r="C116" i="6"/>
  <c r="C84" i="6"/>
  <c r="C52" i="6"/>
  <c r="C20" i="6"/>
  <c r="T408" i="5"/>
  <c r="D396" i="5"/>
  <c r="H383" i="5"/>
  <c r="L370" i="5"/>
  <c r="P357" i="5"/>
  <c r="T344" i="5"/>
  <c r="D332" i="5"/>
  <c r="H319" i="5"/>
  <c r="L306" i="5"/>
  <c r="P293" i="5"/>
  <c r="T280" i="5"/>
  <c r="D268" i="5"/>
  <c r="H255" i="5"/>
  <c r="L242" i="5"/>
  <c r="P229" i="5"/>
  <c r="T216" i="5"/>
  <c r="D204" i="5"/>
  <c r="H191" i="5"/>
  <c r="L178" i="5"/>
  <c r="P165" i="5"/>
  <c r="T152" i="5"/>
  <c r="D140" i="5"/>
  <c r="H127" i="5"/>
  <c r="L114" i="5"/>
  <c r="P101" i="5"/>
  <c r="T88" i="5"/>
  <c r="D76" i="5"/>
  <c r="H63" i="5"/>
  <c r="L50" i="5"/>
  <c r="P37" i="5"/>
  <c r="T24" i="5"/>
  <c r="C12" i="5"/>
  <c r="AG404" i="3"/>
  <c r="AJ388" i="3"/>
  <c r="E373" i="3"/>
  <c r="F357" i="3"/>
  <c r="J341" i="3"/>
  <c r="A326" i="3"/>
  <c r="D310" i="3"/>
  <c r="G294" i="3"/>
  <c r="I278" i="3"/>
  <c r="J262" i="3"/>
  <c r="AH246" i="3"/>
  <c r="AJ230" i="3"/>
  <c r="B215" i="3"/>
  <c r="C199" i="3"/>
  <c r="J183" i="3"/>
  <c r="AG167" i="3"/>
  <c r="A152" i="3"/>
  <c r="C136" i="3"/>
  <c r="E120" i="3"/>
  <c r="G104" i="3"/>
  <c r="AD88" i="3"/>
  <c r="AF72" i="3"/>
  <c r="AJ56" i="3"/>
  <c r="A41" i="3"/>
  <c r="C25" i="3"/>
  <c r="A16" i="3"/>
  <c r="A8" i="3"/>
  <c r="G367" i="25"/>
  <c r="D13" i="24"/>
  <c r="D125" i="22"/>
  <c r="G144" i="19"/>
  <c r="B371" i="17"/>
  <c r="B307" i="17"/>
  <c r="B243" i="17"/>
  <c r="B179" i="17"/>
  <c r="B115" i="17"/>
  <c r="B51" i="17"/>
  <c r="A81" i="15"/>
  <c r="H229" i="12"/>
  <c r="F144" i="12"/>
  <c r="C59" i="12"/>
  <c r="G215" i="11"/>
  <c r="D130" i="11"/>
  <c r="A45" i="11"/>
  <c r="E35" i="8"/>
  <c r="E3" i="8"/>
  <c r="G283" i="6"/>
  <c r="G251" i="6"/>
  <c r="G219" i="6"/>
  <c r="G187" i="6"/>
  <c r="G155" i="6"/>
  <c r="G123" i="6"/>
  <c r="G91" i="6"/>
  <c r="G59" i="6"/>
  <c r="G27" i="6"/>
  <c r="T411" i="5"/>
  <c r="D399" i="5"/>
  <c r="H386" i="5"/>
  <c r="L373" i="5"/>
  <c r="P360" i="5"/>
  <c r="T347" i="5"/>
  <c r="D335" i="5"/>
  <c r="H322" i="5"/>
  <c r="L309" i="5"/>
  <c r="P296" i="5"/>
  <c r="T283" i="5"/>
  <c r="D271" i="5"/>
  <c r="H258" i="5"/>
  <c r="L245" i="5"/>
  <c r="P232" i="5"/>
  <c r="P222" i="5"/>
  <c r="T213" i="5"/>
  <c r="L205" i="5"/>
  <c r="L197" i="5"/>
  <c r="D191" i="5"/>
  <c r="P184" i="5"/>
  <c r="H178" i="5"/>
  <c r="T171" i="5"/>
  <c r="L165" i="5"/>
  <c r="D159" i="5"/>
  <c r="P152" i="5"/>
  <c r="H146" i="5"/>
  <c r="T139" i="5"/>
  <c r="L133" i="5"/>
  <c r="D127" i="5"/>
  <c r="P120" i="5"/>
  <c r="H114" i="5"/>
  <c r="T107" i="5"/>
  <c r="L101" i="5"/>
  <c r="D95" i="5"/>
  <c r="P88" i="5"/>
  <c r="H82" i="5"/>
  <c r="T75" i="5"/>
  <c r="L69" i="5"/>
  <c r="D63" i="5"/>
  <c r="P56" i="5"/>
  <c r="H50" i="5"/>
  <c r="T43" i="5"/>
  <c r="L37" i="5"/>
  <c r="D31" i="5"/>
  <c r="P24" i="5"/>
  <c r="H18" i="5"/>
  <c r="S11" i="5"/>
  <c r="F412" i="3"/>
  <c r="I404" i="3"/>
  <c r="J396" i="3"/>
  <c r="AF388" i="3"/>
  <c r="AG380" i="3"/>
  <c r="A373" i="3"/>
  <c r="A365" i="3"/>
  <c r="B357" i="3"/>
  <c r="D349" i="3"/>
  <c r="F341" i="3"/>
  <c r="J333" i="3"/>
  <c r="AG325" i="3"/>
  <c r="AI317" i="3"/>
  <c r="AJ309" i="3"/>
  <c r="B302" i="3"/>
  <c r="C294" i="3"/>
  <c r="E286" i="3"/>
  <c r="E278" i="3"/>
  <c r="E270" i="3"/>
  <c r="F262" i="3"/>
  <c r="H254" i="3"/>
  <c r="J246" i="3"/>
  <c r="AE238" i="3"/>
  <c r="AF230" i="3"/>
  <c r="AG222" i="3"/>
  <c r="AH214" i="3"/>
  <c r="AI206" i="3"/>
  <c r="AI198" i="3"/>
  <c r="D191" i="3"/>
  <c r="F183" i="3"/>
  <c r="I175" i="3"/>
  <c r="I167" i="3"/>
  <c r="AD159" i="3"/>
  <c r="AG151" i="3"/>
  <c r="AH143" i="3"/>
  <c r="AI135" i="3"/>
  <c r="AI127" i="3"/>
  <c r="A120" i="3"/>
  <c r="C112" i="3"/>
  <c r="C104" i="3"/>
  <c r="E96" i="3"/>
  <c r="G88" i="3"/>
  <c r="G80" i="3"/>
  <c r="H72" i="3"/>
  <c r="I64" i="3"/>
  <c r="AF56" i="3"/>
  <c r="AF48" i="3"/>
  <c r="AG40" i="3"/>
  <c r="AH32" i="3"/>
  <c r="AJ24" i="3"/>
  <c r="AI19" i="3"/>
  <c r="AI15" i="3"/>
  <c r="AI11" i="3"/>
  <c r="AI7" i="3"/>
  <c r="F472" i="25"/>
  <c r="D105" i="24"/>
  <c r="G186" i="22"/>
  <c r="G198" i="19"/>
  <c r="G8" i="18"/>
  <c r="J318" i="17"/>
  <c r="J254" i="17"/>
  <c r="J190" i="17"/>
  <c r="J126" i="17"/>
  <c r="J62" i="17"/>
  <c r="A102" i="15"/>
  <c r="C13" i="13"/>
  <c r="C153" i="12"/>
  <c r="H67" i="12"/>
  <c r="A227" i="11"/>
  <c r="G141" i="11"/>
  <c r="D56" i="11"/>
  <c r="G1" i="9"/>
  <c r="G8" i="8"/>
  <c r="A289" i="6"/>
  <c r="A257" i="6"/>
  <c r="A225" i="6"/>
  <c r="A193" i="6"/>
  <c r="A161" i="6"/>
  <c r="A129" i="6"/>
  <c r="A97" i="6"/>
  <c r="A65" i="6"/>
  <c r="A33" i="6"/>
  <c r="N413" i="5"/>
  <c r="R400" i="5"/>
  <c r="B388" i="5"/>
  <c r="F375" i="5"/>
  <c r="J362" i="5"/>
  <c r="N349" i="5"/>
  <c r="R336" i="5"/>
  <c r="B324" i="5"/>
  <c r="F311" i="5"/>
  <c r="J298" i="5"/>
  <c r="N285" i="5"/>
  <c r="R272" i="5"/>
  <c r="B260" i="5"/>
  <c r="F247" i="5"/>
  <c r="J234" i="5"/>
  <c r="N221" i="5"/>
  <c r="R208" i="5"/>
  <c r="B196" i="5"/>
  <c r="F183" i="5"/>
  <c r="J170" i="5"/>
  <c r="N157" i="5"/>
  <c r="R144" i="5"/>
  <c r="B132" i="5"/>
  <c r="F119" i="5"/>
  <c r="J106" i="5"/>
  <c r="N93" i="5"/>
  <c r="R80" i="5"/>
  <c r="B68" i="5"/>
  <c r="F55" i="5"/>
  <c r="J42" i="5"/>
  <c r="N29" i="5"/>
  <c r="R16" i="5"/>
  <c r="AF410" i="3"/>
  <c r="AJ394" i="3"/>
  <c r="D379" i="3"/>
  <c r="G363" i="3"/>
  <c r="AE347" i="3"/>
  <c r="A332" i="3"/>
  <c r="E316" i="3"/>
  <c r="I300" i="3"/>
  <c r="AE284" i="3"/>
  <c r="AE268" i="3"/>
  <c r="AI252" i="3"/>
  <c r="B237" i="3"/>
  <c r="C221" i="3"/>
  <c r="E205" i="3"/>
  <c r="J189" i="3"/>
  <c r="AI173" i="3"/>
  <c r="A158" i="3"/>
  <c r="D142" i="3"/>
  <c r="F126" i="3"/>
  <c r="I110" i="3"/>
  <c r="AF94" i="3"/>
  <c r="AH78" i="3"/>
  <c r="AI62" i="3"/>
  <c r="B47" i="3"/>
  <c r="D31" i="3"/>
  <c r="B19" i="3"/>
  <c r="B11" i="3"/>
  <c r="D606" i="25"/>
  <c r="I93" i="25"/>
  <c r="C27" i="23"/>
  <c r="G270" i="19"/>
  <c r="E31" i="19"/>
  <c r="J344" i="17"/>
  <c r="J280" i="17"/>
  <c r="J216" i="17"/>
  <c r="J152" i="17"/>
  <c r="J88" i="17"/>
  <c r="J24" i="17"/>
  <c r="A26" i="15"/>
  <c r="C193" i="12"/>
  <c r="H107" i="12"/>
  <c r="F22" i="12"/>
  <c r="D176" i="11"/>
  <c r="A91" i="11"/>
  <c r="G5" i="11"/>
  <c r="G17" i="8"/>
  <c r="H3" i="7"/>
  <c r="A264" i="6"/>
  <c r="A232" i="6"/>
  <c r="A200" i="6"/>
  <c r="A168" i="6"/>
  <c r="A136" i="6"/>
  <c r="A104" i="6"/>
  <c r="A72" i="6"/>
  <c r="A40" i="6"/>
  <c r="A8" i="6"/>
  <c r="J404" i="5"/>
  <c r="N391" i="5"/>
  <c r="R378" i="5"/>
  <c r="B366" i="5"/>
  <c r="F353" i="5"/>
  <c r="J340" i="5"/>
  <c r="N327" i="5"/>
  <c r="R314" i="5"/>
  <c r="B302" i="5"/>
  <c r="F289" i="5"/>
  <c r="J276" i="5"/>
  <c r="N263" i="5"/>
  <c r="R250" i="5"/>
  <c r="B238" i="5"/>
  <c r="F225" i="5"/>
  <c r="J212" i="5"/>
  <c r="N199" i="5"/>
  <c r="R186" i="5"/>
  <c r="B174" i="5"/>
  <c r="F161" i="5"/>
  <c r="J148" i="5"/>
  <c r="N135" i="5"/>
  <c r="R122" i="5"/>
  <c r="B110" i="5"/>
  <c r="F97" i="5"/>
  <c r="J84" i="5"/>
  <c r="N71" i="5"/>
  <c r="R58" i="5"/>
  <c r="B46" i="5"/>
  <c r="F33" i="5"/>
  <c r="J20" i="5"/>
  <c r="M7" i="5"/>
  <c r="H399" i="3"/>
  <c r="J383" i="3"/>
  <c r="AI367" i="3"/>
  <c r="A352" i="3"/>
  <c r="G336" i="3"/>
  <c r="AG320" i="3"/>
  <c r="AJ304" i="3"/>
  <c r="B289" i="3"/>
  <c r="C273" i="3"/>
  <c r="E257" i="3"/>
  <c r="I241" i="3"/>
  <c r="AE225" i="3"/>
  <c r="AG209" i="3"/>
  <c r="AJ193" i="3"/>
  <c r="F178" i="3"/>
  <c r="H162" i="3"/>
  <c r="AF146" i="3"/>
  <c r="AG130" i="3"/>
  <c r="AJ114" i="3"/>
  <c r="A99" i="3"/>
  <c r="E83" i="3"/>
  <c r="G67" i="3"/>
  <c r="J51" i="3"/>
  <c r="AF35" i="3"/>
  <c r="J21" i="3"/>
  <c r="F13" i="3"/>
  <c r="B6" i="3"/>
  <c r="Q410" i="2"/>
  <c r="E408" i="2"/>
  <c r="S405" i="2"/>
  <c r="G403" i="2"/>
  <c r="U400" i="2"/>
  <c r="I398" i="2"/>
  <c r="W395" i="2"/>
  <c r="K393" i="2"/>
  <c r="Y390" i="2"/>
  <c r="M388" i="2"/>
  <c r="A386" i="2"/>
  <c r="O383" i="2"/>
  <c r="C381" i="2"/>
  <c r="Q378" i="2"/>
  <c r="E376" i="2"/>
  <c r="S373" i="2"/>
  <c r="G371" i="2"/>
  <c r="U368" i="2"/>
  <c r="I366" i="2"/>
  <c r="W363" i="2"/>
  <c r="K361" i="2"/>
  <c r="Y358" i="2"/>
  <c r="M356" i="2"/>
  <c r="A354" i="2"/>
  <c r="O351" i="2"/>
  <c r="C349" i="2"/>
  <c r="Q346" i="2"/>
  <c r="E344" i="2"/>
  <c r="S341" i="2"/>
  <c r="G339" i="2"/>
  <c r="U336" i="2"/>
  <c r="I334" i="2"/>
  <c r="W331" i="2"/>
  <c r="K329" i="2"/>
  <c r="Y326" i="2"/>
  <c r="M324" i="2"/>
  <c r="A322" i="2"/>
  <c r="O319" i="2"/>
  <c r="C317" i="2"/>
  <c r="Q314" i="2"/>
  <c r="E312" i="2"/>
  <c r="S309" i="2"/>
  <c r="G307" i="2"/>
  <c r="U304" i="2"/>
  <c r="I302" i="2"/>
  <c r="W299" i="2"/>
  <c r="K297" i="2"/>
  <c r="Y294" i="2"/>
  <c r="M292" i="2"/>
  <c r="A290" i="2"/>
  <c r="O287" i="2"/>
  <c r="C285" i="2"/>
  <c r="Q282" i="2"/>
  <c r="E280" i="2"/>
  <c r="S277" i="2"/>
  <c r="G275" i="2"/>
  <c r="U272" i="2"/>
  <c r="I270" i="2"/>
  <c r="W267" i="2"/>
  <c r="K265" i="2"/>
  <c r="Y262" i="2"/>
  <c r="M260" i="2"/>
  <c r="A258" i="2"/>
  <c r="O255" i="2"/>
  <c r="C253" i="2"/>
  <c r="Q250" i="2"/>
  <c r="E248" i="2"/>
  <c r="S245" i="2"/>
  <c r="G243" i="2"/>
  <c r="U240" i="2"/>
  <c r="I238" i="2"/>
  <c r="W235" i="2"/>
  <c r="K233" i="2"/>
  <c r="Y230" i="2"/>
  <c r="M228" i="2"/>
  <c r="A226" i="2"/>
  <c r="O223" i="2"/>
  <c r="C221" i="2"/>
  <c r="Q218" i="2"/>
  <c r="E216" i="2"/>
  <c r="S213" i="2"/>
  <c r="G211" i="2"/>
  <c r="U208" i="2"/>
  <c r="I206" i="2"/>
  <c r="W203" i="2"/>
  <c r="K201" i="2"/>
  <c r="Y198" i="2"/>
  <c r="M196" i="2"/>
  <c r="A194" i="2"/>
  <c r="O191" i="2"/>
  <c r="C189" i="2"/>
  <c r="Q186" i="2"/>
  <c r="E184" i="2"/>
  <c r="S181" i="2"/>
  <c r="G179" i="2"/>
  <c r="U176" i="2"/>
  <c r="I174" i="2"/>
  <c r="W171" i="2"/>
  <c r="K169" i="2"/>
  <c r="Y166" i="2"/>
  <c r="M164" i="2"/>
  <c r="A162" i="2"/>
  <c r="O159" i="2"/>
  <c r="C157" i="2"/>
  <c r="Q154" i="2"/>
  <c r="E152" i="2"/>
  <c r="S149" i="2"/>
  <c r="G147" i="2"/>
  <c r="U144" i="2"/>
  <c r="I142" i="2"/>
  <c r="W139" i="2"/>
  <c r="K137" i="2"/>
  <c r="Y134" i="2"/>
  <c r="M132" i="2"/>
  <c r="A130" i="2"/>
  <c r="O127" i="2"/>
  <c r="C125" i="2"/>
  <c r="Q122" i="2"/>
  <c r="E120" i="2"/>
  <c r="S117" i="2"/>
  <c r="G115" i="2"/>
  <c r="U112" i="2"/>
  <c r="I110" i="2"/>
  <c r="W107" i="2"/>
  <c r="K105" i="2"/>
  <c r="Y102" i="2"/>
  <c r="M100" i="2"/>
  <c r="A98" i="2"/>
  <c r="O95" i="2"/>
  <c r="C93" i="2"/>
  <c r="Q90" i="2"/>
  <c r="E88" i="2"/>
  <c r="S85" i="2"/>
  <c r="G83" i="2"/>
  <c r="U80" i="2"/>
  <c r="I78" i="2"/>
  <c r="W75" i="2"/>
  <c r="K73" i="2"/>
  <c r="Y70" i="2"/>
  <c r="M68" i="2"/>
  <c r="A66" i="2"/>
  <c r="O63" i="2"/>
  <c r="C61" i="2"/>
  <c r="Q58" i="2"/>
  <c r="E56" i="2"/>
  <c r="S53" i="2"/>
  <c r="G51" i="2"/>
  <c r="U48" i="2"/>
  <c r="I46" i="2"/>
  <c r="W43" i="2"/>
  <c r="K41" i="2"/>
  <c r="Y38" i="2"/>
  <c r="M36" i="2"/>
  <c r="A34" i="2"/>
  <c r="O31" i="2"/>
  <c r="C29" i="2"/>
  <c r="Q26" i="2"/>
  <c r="E24" i="2"/>
  <c r="S21" i="2"/>
  <c r="G19" i="2"/>
  <c r="U16" i="2"/>
  <c r="I14" i="2"/>
  <c r="V11" i="2"/>
  <c r="J9" i="2"/>
  <c r="X6" i="2"/>
  <c r="B444" i="25"/>
  <c r="D81" i="24"/>
  <c r="G170" i="22"/>
  <c r="G170" i="19"/>
  <c r="G2" i="18"/>
  <c r="J319" i="17"/>
  <c r="J255" i="17"/>
  <c r="J191" i="17"/>
  <c r="J127" i="17"/>
  <c r="J63" i="17"/>
  <c r="A104" i="15"/>
  <c r="B3" i="14"/>
  <c r="H159" i="12"/>
  <c r="F74" i="12"/>
  <c r="D228" i="11"/>
  <c r="A143" i="11"/>
  <c r="G57" i="11"/>
  <c r="C39" i="8"/>
  <c r="C7" i="8"/>
  <c r="E285" i="6"/>
  <c r="E253" i="6"/>
  <c r="E221" i="6"/>
  <c r="E189" i="6"/>
  <c r="E157" i="6"/>
  <c r="E125" i="6"/>
  <c r="E93" i="6"/>
  <c r="E61" i="6"/>
  <c r="E29" i="6"/>
  <c r="F412" i="5"/>
  <c r="J399" i="5"/>
  <c r="N386" i="5"/>
  <c r="R373" i="5"/>
  <c r="B361" i="5"/>
  <c r="F348" i="5"/>
  <c r="J335" i="5"/>
  <c r="N322" i="5"/>
  <c r="R309" i="5"/>
  <c r="B297" i="5"/>
  <c r="F284" i="5"/>
  <c r="J271" i="5"/>
  <c r="N258" i="5"/>
  <c r="R245" i="5"/>
  <c r="B233" i="5"/>
  <c r="F220" i="5"/>
  <c r="J207" i="5"/>
  <c r="N194" i="5"/>
  <c r="R181" i="5"/>
  <c r="B169" i="5"/>
  <c r="F156" i="5"/>
  <c r="J143" i="5"/>
  <c r="N130" i="5"/>
  <c r="R117" i="5"/>
  <c r="B105" i="5"/>
  <c r="F92" i="5"/>
  <c r="J79" i="5"/>
  <c r="N66" i="5"/>
  <c r="R53" i="5"/>
  <c r="B41" i="5"/>
  <c r="F28" i="5"/>
  <c r="J15" i="5"/>
  <c r="AJ408" i="3"/>
  <c r="E393" i="3"/>
  <c r="I377" i="3"/>
  <c r="AE361" i="3"/>
  <c r="AJ345" i="3"/>
  <c r="F330" i="3"/>
  <c r="I314" i="3"/>
  <c r="AG298" i="3"/>
  <c r="AI282" i="3"/>
  <c r="AI266" i="3"/>
  <c r="C251" i="3"/>
  <c r="F235" i="3"/>
  <c r="H219" i="3"/>
  <c r="I203" i="3"/>
  <c r="AI187" i="3"/>
  <c r="C172" i="3"/>
  <c r="F156" i="3"/>
  <c r="H140" i="3"/>
  <c r="J124" i="3"/>
  <c r="AG108" i="3"/>
  <c r="AJ92" i="3"/>
  <c r="B77" i="3"/>
  <c r="D61" i="3"/>
  <c r="F45" i="3"/>
  <c r="I29" i="3"/>
  <c r="D18" i="3"/>
  <c r="D10" i="3"/>
  <c r="C11" i="23"/>
  <c r="J281" i="17"/>
  <c r="J25" i="17"/>
  <c r="F34" i="12"/>
  <c r="C32" i="8"/>
  <c r="E210" i="6"/>
  <c r="E82" i="6"/>
  <c r="J397" i="5"/>
  <c r="F346" i="5"/>
  <c r="B295" i="5"/>
  <c r="R243" i="5"/>
  <c r="N192" i="5"/>
  <c r="J141" i="5"/>
  <c r="F90" i="5"/>
  <c r="B39" i="5"/>
  <c r="AG391" i="3"/>
  <c r="AH328" i="3"/>
  <c r="H265" i="3"/>
  <c r="A202" i="3"/>
  <c r="A139" i="3"/>
  <c r="J75" i="3"/>
  <c r="H17" i="3"/>
  <c r="I411" i="2"/>
  <c r="B408" i="2"/>
  <c r="T404" i="2"/>
  <c r="M401" i="2"/>
  <c r="F398" i="2"/>
  <c r="X394" i="2"/>
  <c r="Q391" i="2"/>
  <c r="J388" i="2"/>
  <c r="B385" i="2"/>
  <c r="U381" i="2"/>
  <c r="N378" i="2"/>
  <c r="F375" i="2"/>
  <c r="Y371" i="2"/>
  <c r="R368" i="2"/>
  <c r="J365" i="2"/>
  <c r="C362" i="2"/>
  <c r="V358" i="2"/>
  <c r="N355" i="2"/>
  <c r="G352" i="2"/>
  <c r="Z348" i="2"/>
  <c r="R345" i="2"/>
  <c r="K342" i="2"/>
  <c r="D339" i="2"/>
  <c r="V335" i="2"/>
  <c r="O332" i="2"/>
  <c r="H329" i="2"/>
  <c r="Z325" i="2"/>
  <c r="S322" i="2"/>
  <c r="L319" i="2"/>
  <c r="D316" i="2"/>
  <c r="W312" i="2"/>
  <c r="P309" i="2"/>
  <c r="H306" i="2"/>
  <c r="A303" i="2"/>
  <c r="T299" i="2"/>
  <c r="L296" i="2"/>
  <c r="E293" i="2"/>
  <c r="X289" i="2"/>
  <c r="P286" i="2"/>
  <c r="I283" i="2"/>
  <c r="B280" i="2"/>
  <c r="T276" i="2"/>
  <c r="M273" i="2"/>
  <c r="F270" i="2"/>
  <c r="X266" i="2"/>
  <c r="Q263" i="2"/>
  <c r="J260" i="2"/>
  <c r="B257" i="2"/>
  <c r="U253" i="2"/>
  <c r="N250" i="2"/>
  <c r="F247" i="2"/>
  <c r="Y243" i="2"/>
  <c r="R240" i="2"/>
  <c r="J237" i="2"/>
  <c r="C234" i="2"/>
  <c r="V230" i="2"/>
  <c r="N227" i="2"/>
  <c r="G224" i="2"/>
  <c r="Z220" i="2"/>
  <c r="R217" i="2"/>
  <c r="K214" i="2"/>
  <c r="D211" i="2"/>
  <c r="V207" i="2"/>
  <c r="O204" i="2"/>
  <c r="H201" i="2"/>
  <c r="Z197" i="2"/>
  <c r="S194" i="2"/>
  <c r="L191" i="2"/>
  <c r="D188" i="2"/>
  <c r="W184" i="2"/>
  <c r="P181" i="2"/>
  <c r="H178" i="2"/>
  <c r="A175" i="2"/>
  <c r="T171" i="2"/>
  <c r="L168" i="2"/>
  <c r="E165" i="2"/>
  <c r="X161" i="2"/>
  <c r="P158" i="2"/>
  <c r="I155" i="2"/>
  <c r="B152" i="2"/>
  <c r="T148" i="2"/>
  <c r="M145" i="2"/>
  <c r="F142" i="2"/>
  <c r="X138" i="2"/>
  <c r="Q135" i="2"/>
  <c r="J132" i="2"/>
  <c r="B129" i="2"/>
  <c r="U125" i="2"/>
  <c r="N122" i="2"/>
  <c r="F119" i="2"/>
  <c r="Y115" i="2"/>
  <c r="R112" i="2"/>
  <c r="J109" i="2"/>
  <c r="C106" i="2"/>
  <c r="V102" i="2"/>
  <c r="N99" i="2"/>
  <c r="G96" i="2"/>
  <c r="Z92" i="2"/>
  <c r="R89" i="2"/>
  <c r="K86" i="2"/>
  <c r="D83" i="2"/>
  <c r="V79" i="2"/>
  <c r="O76" i="2"/>
  <c r="H73" i="2"/>
  <c r="Z69" i="2"/>
  <c r="S66" i="2"/>
  <c r="L63" i="2"/>
  <c r="D60" i="2"/>
  <c r="W56" i="2"/>
  <c r="P53" i="2"/>
  <c r="H50" i="2"/>
  <c r="A47" i="2"/>
  <c r="T43" i="2"/>
  <c r="L40" i="2"/>
  <c r="E37" i="2"/>
  <c r="X33" i="2"/>
  <c r="P30" i="2"/>
  <c r="I27" i="2"/>
  <c r="B24" i="2"/>
  <c r="T20" i="2"/>
  <c r="M17" i="2"/>
  <c r="F14" i="2"/>
  <c r="W10" i="2"/>
  <c r="P7" i="2"/>
  <c r="R411" i="2"/>
  <c r="K408" i="2"/>
  <c r="D405" i="2"/>
  <c r="V401" i="2"/>
  <c r="O398" i="2"/>
  <c r="H395" i="2"/>
  <c r="Z391" i="2"/>
  <c r="S388" i="2"/>
  <c r="L385" i="2"/>
  <c r="D382" i="2"/>
  <c r="W378" i="2"/>
  <c r="P375" i="2"/>
  <c r="H372" i="2"/>
  <c r="A369" i="2"/>
  <c r="T365" i="2"/>
  <c r="L362" i="2"/>
  <c r="E359" i="2"/>
  <c r="X355" i="2"/>
  <c r="P352" i="2"/>
  <c r="I349" i="2"/>
  <c r="B346" i="2"/>
  <c r="T342" i="2"/>
  <c r="M339" i="2"/>
  <c r="F336" i="2"/>
  <c r="X332" i="2"/>
  <c r="Q329" i="2"/>
  <c r="J326" i="2"/>
  <c r="B323" i="2"/>
  <c r="U319" i="2"/>
  <c r="N316" i="2"/>
  <c r="F313" i="2"/>
  <c r="Y309" i="2"/>
  <c r="R306" i="2"/>
  <c r="J303" i="2"/>
  <c r="C300" i="2"/>
  <c r="V296" i="2"/>
  <c r="N293" i="2"/>
  <c r="G290" i="2"/>
  <c r="Z286" i="2"/>
  <c r="R283" i="2"/>
  <c r="K280" i="2"/>
  <c r="D277" i="2"/>
  <c r="V273" i="2"/>
  <c r="O270" i="2"/>
  <c r="H267" i="2"/>
  <c r="Z263" i="2"/>
  <c r="S260" i="2"/>
  <c r="L257" i="2"/>
  <c r="D254" i="2"/>
  <c r="W250" i="2"/>
  <c r="P247" i="2"/>
  <c r="H244" i="2"/>
  <c r="A241" i="2"/>
  <c r="T237" i="2"/>
  <c r="L234" i="2"/>
  <c r="E231" i="2"/>
  <c r="X227" i="2"/>
  <c r="P224" i="2"/>
  <c r="I221" i="2"/>
  <c r="B218" i="2"/>
  <c r="T214" i="2"/>
  <c r="M211" i="2"/>
  <c r="F208" i="2"/>
  <c r="X204" i="2"/>
  <c r="Q201" i="2"/>
  <c r="J198" i="2"/>
  <c r="B195" i="2"/>
  <c r="U191" i="2"/>
  <c r="N188" i="2"/>
  <c r="F185" i="2"/>
  <c r="Y181" i="2"/>
  <c r="R178" i="2"/>
  <c r="J175" i="2"/>
  <c r="C172" i="2"/>
  <c r="V168" i="2"/>
  <c r="N165" i="2"/>
  <c r="G162" i="2"/>
  <c r="Z158" i="2"/>
  <c r="R155" i="2"/>
  <c r="K152" i="2"/>
  <c r="D149" i="2"/>
  <c r="V145" i="2"/>
  <c r="O142" i="2"/>
  <c r="H139" i="2"/>
  <c r="Z135" i="2"/>
  <c r="S132" i="2"/>
  <c r="L129" i="2"/>
  <c r="D126" i="2"/>
  <c r="W122" i="2"/>
  <c r="P119" i="2"/>
  <c r="H116" i="2"/>
  <c r="A113" i="2"/>
  <c r="T109" i="2"/>
  <c r="L106" i="2"/>
  <c r="E103" i="2"/>
  <c r="X99" i="2"/>
  <c r="P96" i="2"/>
  <c r="I93" i="2"/>
  <c r="B90" i="2"/>
  <c r="T86" i="2"/>
  <c r="M83" i="2"/>
  <c r="F80" i="2"/>
  <c r="X76" i="2"/>
  <c r="Q73" i="2"/>
  <c r="J70" i="2"/>
  <c r="B67" i="2"/>
  <c r="U63" i="2"/>
  <c r="N60" i="2"/>
  <c r="F57" i="2"/>
  <c r="Y53" i="2"/>
  <c r="R50" i="2"/>
  <c r="J47" i="2"/>
  <c r="C44" i="2"/>
  <c r="V40" i="2"/>
  <c r="N37" i="2"/>
  <c r="G34" i="2"/>
  <c r="Z30" i="2"/>
  <c r="R27" i="2"/>
  <c r="K24" i="2"/>
  <c r="D21" i="2"/>
  <c r="V17" i="2"/>
  <c r="O14" i="2"/>
  <c r="G11" i="2"/>
  <c r="Y7" i="2"/>
  <c r="B412" i="2"/>
  <c r="T408" i="2"/>
  <c r="M405" i="2"/>
  <c r="F402" i="2"/>
  <c r="X398" i="2"/>
  <c r="Q395" i="2"/>
  <c r="J392" i="2"/>
  <c r="B389" i="2"/>
  <c r="U385" i="2"/>
  <c r="N382" i="2"/>
  <c r="F379" i="2"/>
  <c r="Y375" i="2"/>
  <c r="R372" i="2"/>
  <c r="J369" i="2"/>
  <c r="C366" i="2"/>
  <c r="V362" i="2"/>
  <c r="N359" i="2"/>
  <c r="G356" i="2"/>
  <c r="Z352" i="2"/>
  <c r="R349" i="2"/>
  <c r="K346" i="2"/>
  <c r="D343" i="2"/>
  <c r="V339" i="2"/>
  <c r="O336" i="2"/>
  <c r="H333" i="2"/>
  <c r="Z329" i="2"/>
  <c r="S326" i="2"/>
  <c r="L323" i="2"/>
  <c r="D320" i="2"/>
  <c r="W316" i="2"/>
  <c r="P313" i="2"/>
  <c r="H310" i="2"/>
  <c r="A307" i="2"/>
  <c r="T303" i="2"/>
  <c r="L300" i="2"/>
  <c r="E297" i="2"/>
  <c r="X293" i="2"/>
  <c r="P290" i="2"/>
  <c r="I287" i="2"/>
  <c r="B284" i="2"/>
  <c r="T280" i="2"/>
  <c r="M277" i="2"/>
  <c r="F274" i="2"/>
  <c r="X270" i="2"/>
  <c r="Q267" i="2"/>
  <c r="J264" i="2"/>
  <c r="B261" i="2"/>
  <c r="U257" i="2"/>
  <c r="N254" i="2"/>
  <c r="F251" i="2"/>
  <c r="Y247" i="2"/>
  <c r="R244" i="2"/>
  <c r="J241" i="2"/>
  <c r="C238" i="2"/>
  <c r="V234" i="2"/>
  <c r="N231" i="2"/>
  <c r="G228" i="2"/>
  <c r="Z224" i="2"/>
  <c r="R221" i="2"/>
  <c r="K218" i="2"/>
  <c r="D215" i="2"/>
  <c r="V211" i="2"/>
  <c r="O208" i="2"/>
  <c r="H205" i="2"/>
  <c r="Z201" i="2"/>
  <c r="S198" i="2"/>
  <c r="L195" i="2"/>
  <c r="D192" i="2"/>
  <c r="W188" i="2"/>
  <c r="P185" i="2"/>
  <c r="H182" i="2"/>
  <c r="A179" i="2"/>
  <c r="T175" i="2"/>
  <c r="L172" i="2"/>
  <c r="E169" i="2"/>
  <c r="X165" i="2"/>
  <c r="P162" i="2"/>
  <c r="I159" i="2"/>
  <c r="B156" i="2"/>
  <c r="T152" i="2"/>
  <c r="M149" i="2"/>
  <c r="F146" i="2"/>
  <c r="X142" i="2"/>
  <c r="Q139" i="2"/>
  <c r="J136" i="2"/>
  <c r="B133" i="2"/>
  <c r="U129" i="2"/>
  <c r="N126" i="2"/>
  <c r="F123" i="2"/>
  <c r="Y119" i="2"/>
  <c r="R116" i="2"/>
  <c r="J113" i="2"/>
  <c r="C110" i="2"/>
  <c r="V106" i="2"/>
  <c r="N103" i="2"/>
  <c r="G100" i="2"/>
  <c r="Z96" i="2"/>
  <c r="R93" i="2"/>
  <c r="K90" i="2"/>
  <c r="D87" i="2"/>
  <c r="V83" i="2"/>
  <c r="O80" i="2"/>
  <c r="H77" i="2"/>
  <c r="Z73" i="2"/>
  <c r="S70" i="2"/>
  <c r="L67" i="2"/>
  <c r="D64" i="2"/>
  <c r="W60" i="2"/>
  <c r="P57" i="2"/>
  <c r="H54" i="2"/>
  <c r="A51" i="2"/>
  <c r="T47" i="2"/>
  <c r="L44" i="2"/>
  <c r="E41" i="2"/>
  <c r="X37" i="2"/>
  <c r="P34" i="2"/>
  <c r="I31" i="2"/>
  <c r="B28" i="2"/>
  <c r="T24" i="2"/>
  <c r="M21" i="2"/>
  <c r="F18" i="2"/>
  <c r="X14" i="2"/>
  <c r="P11" i="2"/>
  <c r="I8" i="2"/>
  <c r="F328" i="25"/>
  <c r="J365" i="17"/>
  <c r="J109" i="17"/>
  <c r="F146" i="12"/>
  <c r="D44" i="11"/>
  <c r="E260" i="6"/>
  <c r="E132" i="6"/>
  <c r="E4" i="6"/>
  <c r="F366" i="5"/>
  <c r="B315" i="5"/>
  <c r="R263" i="5"/>
  <c r="N212" i="5"/>
  <c r="J161" i="5"/>
  <c r="F110" i="5"/>
  <c r="B59" i="5"/>
  <c r="Q7" i="5"/>
  <c r="E353" i="3"/>
  <c r="F290" i="3"/>
  <c r="AI226" i="3"/>
  <c r="AF163" i="3"/>
  <c r="E100" i="3"/>
  <c r="AJ36" i="3"/>
  <c r="G271" i="25"/>
  <c r="J341" i="17"/>
  <c r="J85" i="17"/>
  <c r="F114" i="12"/>
  <c r="D12" i="11"/>
  <c r="E232" i="6"/>
  <c r="E104" i="6"/>
  <c r="B403" i="5"/>
  <c r="R351" i="5"/>
  <c r="N300" i="5"/>
  <c r="J249" i="5"/>
  <c r="F198" i="5"/>
  <c r="B147" i="5"/>
  <c r="R95" i="5"/>
  <c r="N44" i="5"/>
  <c r="AF398" i="3"/>
  <c r="AE335" i="3"/>
  <c r="G272" i="3"/>
  <c r="A209" i="3"/>
  <c r="AJ145" i="3"/>
  <c r="I82" i="3"/>
  <c r="B21" i="3"/>
  <c r="Z403" i="2"/>
  <c r="Q397" i="2"/>
  <c r="R390" i="2"/>
  <c r="H384" i="2"/>
  <c r="N377" i="2"/>
  <c r="J371" i="2"/>
  <c r="P364" i="2"/>
  <c r="B358" i="2"/>
  <c r="R351" i="2"/>
  <c r="B343" i="2"/>
  <c r="N336" i="2"/>
  <c r="Y329" i="2"/>
  <c r="J323" i="2"/>
  <c r="P316" i="2"/>
  <c r="G310" i="2"/>
  <c r="M303" i="2"/>
  <c r="I297" i="2"/>
  <c r="T290" i="2"/>
  <c r="F284" i="2"/>
  <c r="Q277" i="2"/>
  <c r="H271" i="2"/>
  <c r="X264" i="2"/>
  <c r="J258" i="2"/>
  <c r="Z251" i="2"/>
  <c r="L245" i="2"/>
  <c r="Q237" i="2"/>
  <c r="B231" i="2"/>
  <c r="H224" i="2"/>
  <c r="Y217" i="2"/>
  <c r="E211" i="2"/>
  <c r="K204" i="2"/>
  <c r="H199" i="2"/>
  <c r="D193" i="2"/>
  <c r="O186" i="2"/>
  <c r="K180" i="2"/>
  <c r="V173" i="2"/>
  <c r="H167" i="2"/>
  <c r="X160" i="2"/>
  <c r="O154" i="2"/>
  <c r="Z147" i="2"/>
  <c r="V140" i="2"/>
  <c r="B134" i="2"/>
  <c r="M127" i="2"/>
  <c r="X120" i="2"/>
  <c r="J114" i="2"/>
  <c r="U107" i="2"/>
  <c r="L101" i="2"/>
  <c r="B95" i="2"/>
  <c r="N88" i="2"/>
  <c r="O82" i="2"/>
  <c r="Z75" i="2"/>
  <c r="F69" i="2"/>
  <c r="L62" i="2"/>
  <c r="C56" i="2"/>
  <c r="N49" i="2"/>
  <c r="E43" i="2"/>
  <c r="B38" i="2"/>
  <c r="G30" i="2"/>
  <c r="M23" i="2"/>
  <c r="S16" i="2"/>
  <c r="C10" i="2"/>
  <c r="G15" i="25"/>
  <c r="J305" i="17"/>
  <c r="J49" i="17"/>
  <c r="F66" i="12"/>
  <c r="A5" i="9"/>
  <c r="E238" i="6"/>
  <c r="E110" i="6"/>
  <c r="J405" i="5"/>
  <c r="F354" i="5"/>
  <c r="B303" i="5"/>
  <c r="R251" i="5"/>
  <c r="N200" i="5"/>
  <c r="J149" i="5"/>
  <c r="F98" i="5"/>
  <c r="B47" i="5"/>
  <c r="AF397" i="3"/>
  <c r="AF334" i="3"/>
  <c r="G271" i="3"/>
  <c r="A208" i="3"/>
  <c r="AJ144" i="3"/>
  <c r="I81" i="3"/>
  <c r="H20" i="3"/>
  <c r="Z410" i="2"/>
  <c r="R407" i="2"/>
  <c r="T401" i="2"/>
  <c r="Z394" i="2"/>
  <c r="V388" i="2"/>
  <c r="G382" i="2"/>
  <c r="M375" i="2"/>
  <c r="X368" i="2"/>
  <c r="J362" i="2"/>
  <c r="U355" i="2"/>
  <c r="A349" i="2"/>
  <c r="C344" i="2"/>
  <c r="Y337" i="2"/>
  <c r="J331" i="2"/>
  <c r="V324" i="2"/>
  <c r="L318" i="2"/>
  <c r="R311" i="2"/>
  <c r="I305" i="2"/>
  <c r="O298" i="2"/>
  <c r="U291" i="2"/>
  <c r="F285" i="2"/>
  <c r="R278" i="2"/>
  <c r="X271" i="2"/>
  <c r="D265" i="2"/>
  <c r="O258" i="2"/>
  <c r="U251" i="2"/>
  <c r="A245" i="2"/>
  <c r="R239" i="2"/>
  <c r="D233" i="2"/>
  <c r="Z226" i="2"/>
  <c r="F220" i="2"/>
  <c r="Q213" i="2"/>
  <c r="H207" i="2"/>
  <c r="M199" i="2"/>
  <c r="N192" i="2"/>
  <c r="T185" i="2"/>
  <c r="Z178" i="2"/>
  <c r="P172" i="2"/>
  <c r="V165" i="2"/>
  <c r="B159" i="2"/>
  <c r="H152" i="2"/>
  <c r="T145" i="2"/>
  <c r="U139" i="2"/>
  <c r="L133" i="2"/>
  <c r="W126" i="2"/>
  <c r="H120" i="2"/>
  <c r="T113" i="2"/>
  <c r="E107" i="2"/>
  <c r="K100" i="2"/>
  <c r="Q93" i="2"/>
  <c r="W86" i="2"/>
  <c r="C80" i="2"/>
  <c r="T73" i="2"/>
  <c r="E67" i="2"/>
  <c r="P60" i="2"/>
  <c r="J50" i="2"/>
  <c r="T33" i="2"/>
  <c r="L14" i="2"/>
  <c r="A36" i="33"/>
  <c r="E288" i="25"/>
  <c r="E53" i="22"/>
  <c r="F329" i="25"/>
  <c r="A34" i="24"/>
  <c r="H10" i="24"/>
  <c r="A83" i="19"/>
  <c r="G126" i="23"/>
  <c r="D159" i="19"/>
  <c r="C807" i="25"/>
  <c r="D194" i="25"/>
  <c r="A148" i="23"/>
  <c r="D43" i="22"/>
  <c r="C83" i="19"/>
  <c r="E365" i="17"/>
  <c r="E301" i="17"/>
  <c r="E229" i="17"/>
  <c r="E173" i="17"/>
  <c r="E101" i="17"/>
  <c r="E45" i="17"/>
  <c r="C68" i="15"/>
  <c r="J19" i="26"/>
  <c r="B306" i="25"/>
  <c r="G187" i="23"/>
  <c r="C83" i="22"/>
  <c r="B113" i="19"/>
  <c r="H359" i="17"/>
  <c r="D274" i="17"/>
  <c r="D178" i="17"/>
  <c r="L92" i="17"/>
  <c r="C8" i="17"/>
  <c r="C26" i="14"/>
  <c r="E135" i="12"/>
  <c r="E79" i="12"/>
  <c r="E23" i="12"/>
  <c r="F185" i="11"/>
  <c r="F121" i="11"/>
  <c r="F49" i="11"/>
  <c r="D66" i="33"/>
  <c r="A243" i="25"/>
  <c r="B139" i="23"/>
  <c r="F34" i="22"/>
  <c r="F110" i="19"/>
  <c r="C364" i="17"/>
  <c r="C292" i="17"/>
  <c r="C228" i="17"/>
  <c r="C164" i="17"/>
  <c r="C92" i="17"/>
  <c r="C36" i="17"/>
  <c r="H36" i="15"/>
  <c r="D1" i="13"/>
  <c r="G189" i="12"/>
  <c r="G125" i="12"/>
  <c r="D40" i="12"/>
  <c r="H196" i="11"/>
  <c r="E111" i="11"/>
  <c r="C26" i="11"/>
  <c r="E422" i="25"/>
  <c r="G225" i="23"/>
  <c r="F173" i="19"/>
  <c r="G380" i="17"/>
  <c r="G316" i="17"/>
  <c r="G244" i="17"/>
  <c r="G164" i="17"/>
  <c r="G100" i="17"/>
  <c r="G28" i="17"/>
  <c r="D36" i="15"/>
  <c r="G200" i="12"/>
  <c r="G104" i="12"/>
  <c r="D19" i="12"/>
  <c r="H165" i="11"/>
  <c r="E80" i="11"/>
  <c r="B880" i="25"/>
  <c r="C135" i="23"/>
  <c r="G75" i="19"/>
  <c r="F275" i="17"/>
  <c r="F131" i="17"/>
  <c r="E114" i="15"/>
  <c r="H166" i="12"/>
  <c r="F17" i="12"/>
  <c r="D67" i="11"/>
  <c r="D4" i="8"/>
  <c r="B252" i="6"/>
  <c r="B180" i="6"/>
  <c r="B116" i="6"/>
  <c r="B44" i="6"/>
  <c r="K402" i="5"/>
  <c r="C380" i="5"/>
  <c r="K354" i="5"/>
  <c r="S328" i="5"/>
  <c r="G303" i="5"/>
  <c r="O277" i="5"/>
  <c r="S248" i="5"/>
  <c r="C220" i="5"/>
  <c r="K194" i="5"/>
  <c r="S168" i="5"/>
  <c r="G143" i="5"/>
  <c r="K114" i="5"/>
  <c r="S88" i="5"/>
  <c r="K66" i="5"/>
  <c r="S40" i="5"/>
  <c r="G15" i="5"/>
  <c r="AJ392" i="3"/>
  <c r="F361" i="3"/>
  <c r="B326" i="3"/>
  <c r="H294" i="3"/>
  <c r="AF258" i="3"/>
  <c r="B223" i="3"/>
  <c r="J187" i="3"/>
  <c r="B152" i="3"/>
  <c r="F120" i="3"/>
  <c r="AE88" i="3"/>
  <c r="AI60" i="3"/>
  <c r="D25" i="3"/>
  <c r="C191" i="23"/>
  <c r="G117" i="19"/>
  <c r="N286" i="17"/>
  <c r="N142" i="17"/>
  <c r="N14" i="17"/>
  <c r="F183" i="12"/>
  <c r="D233" i="11"/>
  <c r="D41" i="11"/>
  <c r="B14" i="8"/>
  <c r="D278" i="6"/>
  <c r="D235" i="6"/>
  <c r="D198" i="6"/>
  <c r="D150" i="6"/>
  <c r="D107" i="6"/>
  <c r="D75" i="6"/>
  <c r="D47" i="6"/>
  <c r="D11" i="6"/>
  <c r="E405" i="5"/>
  <c r="Q390" i="5"/>
  <c r="A378" i="5"/>
  <c r="Q366" i="5"/>
  <c r="I352" i="5"/>
  <c r="A338" i="5"/>
  <c r="E325" i="5"/>
  <c r="A314" i="5"/>
  <c r="Q302" i="5"/>
  <c r="I288" i="5"/>
  <c r="M275" i="5"/>
  <c r="Q262" i="5"/>
  <c r="A250" i="5"/>
  <c r="E237" i="5"/>
  <c r="I224" i="5"/>
  <c r="I208" i="5"/>
  <c r="M195" i="5"/>
  <c r="E181" i="5"/>
  <c r="I168" i="5"/>
  <c r="M155" i="5"/>
  <c r="Q142" i="5"/>
  <c r="I128" i="5"/>
  <c r="M115" i="5"/>
  <c r="I104" i="5"/>
  <c r="M91" i="5"/>
  <c r="Q78" i="5"/>
  <c r="M67" i="5"/>
  <c r="I56" i="5"/>
  <c r="A42" i="5"/>
  <c r="E29" i="5"/>
  <c r="I16" i="5"/>
  <c r="A412" i="3"/>
  <c r="E398" i="3"/>
  <c r="H382" i="3"/>
  <c r="AF366" i="3"/>
  <c r="AI348" i="3"/>
  <c r="E333" i="3"/>
  <c r="J317" i="3"/>
  <c r="AG301" i="3"/>
  <c r="AJ281" i="3"/>
  <c r="AJ273" i="3"/>
  <c r="A266" i="3"/>
  <c r="B256" i="3"/>
  <c r="E246" i="3"/>
  <c r="G232" i="3"/>
  <c r="I214" i="3"/>
  <c r="AE196" i="3"/>
  <c r="A181" i="3"/>
  <c r="E165" i="3"/>
  <c r="H149" i="3"/>
  <c r="J131" i="3"/>
  <c r="AF115" i="3"/>
  <c r="AH101" i="3"/>
  <c r="B86" i="3"/>
  <c r="D70" i="3"/>
  <c r="G56" i="3"/>
  <c r="AE20" i="3"/>
  <c r="B184" i="22"/>
  <c r="G7" i="18"/>
  <c r="B240" i="17"/>
  <c r="B96" i="17"/>
  <c r="A11" i="15"/>
  <c r="F100" i="12"/>
  <c r="G171" i="11"/>
  <c r="H5" i="10"/>
  <c r="B6" i="7"/>
  <c r="C235" i="6"/>
  <c r="C171" i="6"/>
  <c r="C99" i="6"/>
  <c r="C27" i="6"/>
  <c r="T398" i="5"/>
  <c r="H373" i="5"/>
  <c r="L344" i="5"/>
  <c r="T318" i="5"/>
  <c r="T286" i="5"/>
  <c r="H261" i="5"/>
  <c r="H229" i="5"/>
  <c r="L200" i="5"/>
  <c r="H165" i="5"/>
  <c r="P139" i="5"/>
  <c r="T110" i="5"/>
  <c r="T78" i="5"/>
  <c r="D50" i="5"/>
  <c r="L24" i="5"/>
  <c r="E404" i="3"/>
  <c r="AG368" i="3"/>
  <c r="B341" i="3"/>
  <c r="AF309" i="3"/>
  <c r="A278" i="3"/>
  <c r="E250" i="3"/>
  <c r="J218" i="3"/>
  <c r="A187" i="3"/>
  <c r="J147" i="3"/>
  <c r="AI107" i="3"/>
  <c r="D76" i="3"/>
  <c r="J40" i="3"/>
  <c r="AG11" i="3"/>
  <c r="I125" i="25"/>
  <c r="G264" i="19"/>
  <c r="B305" i="17"/>
  <c r="B177" i="17"/>
  <c r="B33" i="17"/>
  <c r="H205" i="12"/>
  <c r="H13" i="12"/>
  <c r="A85" i="11"/>
  <c r="E18" i="8"/>
  <c r="G250" i="6"/>
  <c r="G178" i="6"/>
  <c r="G106" i="6"/>
  <c r="G34" i="6"/>
  <c r="P398" i="5"/>
  <c r="P366" i="5"/>
  <c r="P334" i="5"/>
  <c r="P302" i="5"/>
  <c r="T273" i="5"/>
  <c r="L251" i="5"/>
  <c r="H226" i="5"/>
  <c r="D207" i="5"/>
  <c r="P190" i="5"/>
  <c r="T177" i="5"/>
  <c r="L163" i="5"/>
  <c r="P150" i="5"/>
  <c r="T137" i="5"/>
  <c r="D125" i="5"/>
  <c r="H112" i="5"/>
  <c r="L99" i="5"/>
  <c r="L83" i="5"/>
  <c r="P70" i="5"/>
  <c r="D61" i="5"/>
  <c r="L51" i="5"/>
  <c r="D37" i="5"/>
  <c r="H24" i="5"/>
  <c r="C13" i="5"/>
  <c r="A406" i="3"/>
  <c r="C390" i="3"/>
  <c r="I372" i="3"/>
  <c r="J356" i="3"/>
  <c r="AJ338" i="3"/>
  <c r="G321" i="3"/>
  <c r="J305" i="3"/>
  <c r="AF287" i="3"/>
  <c r="AG271" i="3"/>
  <c r="AI255" i="3"/>
  <c r="C238" i="3"/>
  <c r="E220" i="3"/>
  <c r="G206" i="3"/>
  <c r="AF188" i="3"/>
  <c r="A171" i="3"/>
  <c r="E153" i="3"/>
  <c r="G135" i="3"/>
  <c r="I117" i="3"/>
  <c r="AE101" i="3"/>
  <c r="AI87" i="3"/>
  <c r="AJ71" i="3"/>
  <c r="D54" i="3"/>
  <c r="E42" i="3"/>
  <c r="F34" i="3"/>
  <c r="A22" i="3"/>
  <c r="AE13" i="3"/>
  <c r="E805" i="25"/>
  <c r="C187" i="23"/>
  <c r="B58" i="19"/>
  <c r="J282" i="17"/>
  <c r="J154" i="17"/>
  <c r="I10" i="17"/>
  <c r="C169" i="12"/>
  <c r="H19" i="12"/>
  <c r="G157" i="11"/>
  <c r="D72" i="11"/>
  <c r="C8" i="9"/>
  <c r="A111" i="6"/>
  <c r="A39" i="6"/>
  <c r="F403" i="5"/>
  <c r="J374" i="5"/>
  <c r="R348" i="5"/>
  <c r="F323" i="5"/>
  <c r="J294" i="5"/>
  <c r="R268" i="5"/>
  <c r="B240" i="5"/>
  <c r="J214" i="5"/>
  <c r="R188" i="5"/>
  <c r="B160" i="5"/>
  <c r="F131" i="5"/>
  <c r="J102" i="5"/>
  <c r="N57" i="5"/>
  <c r="N25" i="5"/>
  <c r="AI401" i="3"/>
  <c r="G366" i="3"/>
  <c r="AJ334" i="3"/>
  <c r="H303" i="3"/>
  <c r="AE271" i="3"/>
  <c r="A240" i="3"/>
  <c r="E204" i="3"/>
  <c r="AI168" i="3"/>
  <c r="E137" i="3"/>
  <c r="I101" i="3"/>
  <c r="AI65" i="3"/>
  <c r="D34" i="3"/>
  <c r="J12" i="3"/>
  <c r="C179" i="25"/>
  <c r="E2" i="21"/>
  <c r="J372" i="17"/>
  <c r="J228" i="17"/>
  <c r="J84" i="17"/>
  <c r="B21" i="14"/>
  <c r="C81" i="12"/>
  <c r="G149" i="11"/>
  <c r="G21" i="11"/>
  <c r="H17" i="7"/>
  <c r="A246" i="6"/>
  <c r="A174" i="6"/>
  <c r="A110" i="6"/>
  <c r="A38" i="6"/>
  <c r="N403" i="5"/>
  <c r="B362" i="5"/>
  <c r="J336" i="5"/>
  <c r="R310" i="5"/>
  <c r="F285" i="5"/>
  <c r="N259" i="5"/>
  <c r="B234" i="5"/>
  <c r="J208" i="5"/>
  <c r="R182" i="5"/>
  <c r="F157" i="5"/>
  <c r="R134" i="5"/>
  <c r="B106" i="5"/>
  <c r="J80" i="5"/>
  <c r="N51" i="5"/>
  <c r="R22" i="5"/>
  <c r="H398" i="3"/>
  <c r="AI362" i="3"/>
  <c r="H335" i="3"/>
  <c r="AJ307" i="3"/>
  <c r="C280" i="3"/>
  <c r="G252" i="3"/>
  <c r="AE220" i="3"/>
  <c r="D185" i="3"/>
  <c r="AE153" i="3"/>
  <c r="AH121" i="3"/>
  <c r="E82" i="3"/>
  <c r="J50" i="3"/>
  <c r="AH18" i="3"/>
  <c r="I412" i="2"/>
  <c r="K407" i="2"/>
  <c r="M402" i="2"/>
  <c r="O397" i="2"/>
  <c r="G393" i="2"/>
  <c r="Y388" i="2"/>
  <c r="A384" i="2"/>
  <c r="C379" i="2"/>
  <c r="U374" i="2"/>
  <c r="G369" i="2"/>
  <c r="I364" i="2"/>
  <c r="E358" i="2"/>
  <c r="G353" i="2"/>
  <c r="I348" i="2"/>
  <c r="K343" i="2"/>
  <c r="W337" i="2"/>
  <c r="Y332" i="2"/>
  <c r="K327" i="2"/>
  <c r="G321" i="2"/>
  <c r="I316" i="2"/>
  <c r="U310" i="2"/>
  <c r="W305" i="2"/>
  <c r="S299" i="2"/>
  <c r="E294" i="2"/>
  <c r="A288" i="2"/>
  <c r="C283" i="2"/>
  <c r="O277" i="2"/>
  <c r="A272" i="2"/>
  <c r="C267" i="2"/>
  <c r="E262" i="2"/>
  <c r="B15" i="25"/>
  <c r="C136" i="25"/>
  <c r="G93" i="22"/>
  <c r="F159" i="22"/>
  <c r="G556" i="25"/>
  <c r="F2" i="23"/>
  <c r="D9" i="19"/>
  <c r="A266" i="17"/>
  <c r="A138" i="17"/>
  <c r="L9" i="17"/>
  <c r="C478" i="25"/>
  <c r="H193" i="22"/>
  <c r="D10" i="18"/>
  <c r="H216" i="17"/>
  <c r="L45" i="17"/>
  <c r="E201" i="12"/>
  <c r="A44" i="12"/>
  <c r="B158" i="11"/>
  <c r="B30" i="11"/>
  <c r="C161" i="25"/>
  <c r="E2" i="20"/>
  <c r="K344" i="17"/>
  <c r="K216" i="17"/>
  <c r="K88" i="17"/>
  <c r="H29" i="15"/>
  <c r="D110" i="12"/>
  <c r="E181" i="11"/>
  <c r="H10" i="11"/>
  <c r="B35" i="24"/>
  <c r="F159" i="19"/>
  <c r="O312" i="17"/>
  <c r="O184" i="17"/>
  <c r="O56" i="17"/>
  <c r="F10" i="13"/>
  <c r="B68" i="12"/>
  <c r="H139" i="11"/>
  <c r="A418" i="25"/>
  <c r="F380" i="17"/>
  <c r="F124" i="17"/>
  <c r="F157" i="12"/>
  <c r="A58" i="11"/>
  <c r="F256" i="6"/>
  <c r="F128" i="6"/>
  <c r="S413" i="5"/>
  <c r="O362" i="5"/>
  <c r="K311" i="5"/>
  <c r="G260" i="5"/>
  <c r="C209" i="5"/>
  <c r="S157" i="5"/>
  <c r="O106" i="5"/>
  <c r="K55" i="5"/>
  <c r="AI410" i="3"/>
  <c r="AH347" i="3"/>
  <c r="AH284" i="3"/>
  <c r="F221" i="3"/>
  <c r="D158" i="3"/>
  <c r="AI94" i="3"/>
  <c r="G31" i="3"/>
  <c r="G217" i="19"/>
  <c r="N199" i="17"/>
  <c r="F24" i="14"/>
  <c r="A160" i="11"/>
  <c r="C1" i="8"/>
  <c r="D228" i="6"/>
  <c r="H142" i="6"/>
  <c r="H77" i="6"/>
  <c r="H13" i="6"/>
  <c r="I393" i="5"/>
  <c r="Q367" i="5"/>
  <c r="E342" i="5"/>
  <c r="M316" i="5"/>
  <c r="A291" i="5"/>
  <c r="I265" i="5"/>
  <c r="Q239" i="5"/>
  <c r="E214" i="5"/>
  <c r="M188" i="5"/>
  <c r="A163" i="5"/>
  <c r="I137" i="5"/>
  <c r="Q111" i="5"/>
  <c r="E86" i="5"/>
  <c r="M60" i="5"/>
  <c r="A35" i="5"/>
  <c r="H9" i="5"/>
  <c r="AE385" i="3"/>
  <c r="A354" i="3"/>
  <c r="AG322" i="3"/>
  <c r="C291" i="3"/>
  <c r="F259" i="3"/>
  <c r="AF227" i="3"/>
  <c r="AI195" i="3"/>
  <c r="I164" i="3"/>
  <c r="AH132" i="3"/>
  <c r="B101" i="3"/>
  <c r="H69" i="3"/>
  <c r="AG37" i="3"/>
  <c r="D37" i="24"/>
  <c r="B314" i="17"/>
  <c r="B58" i="17"/>
  <c r="C71" i="12"/>
  <c r="A1" i="9"/>
  <c r="C224" i="6"/>
  <c r="C96" i="6"/>
  <c r="T400" i="5"/>
  <c r="P349" i="5"/>
  <c r="L298" i="5"/>
  <c r="H247" i="5"/>
  <c r="D196" i="5"/>
  <c r="T144" i="5"/>
  <c r="P93" i="5"/>
  <c r="L42" i="5"/>
  <c r="AH394" i="3"/>
  <c r="AI331" i="3"/>
  <c r="I268" i="3"/>
  <c r="C205" i="3"/>
  <c r="B142" i="3"/>
  <c r="AF78" i="3"/>
  <c r="A19" i="3"/>
  <c r="C19" i="23"/>
  <c r="B267" i="17"/>
  <c r="B11" i="17"/>
  <c r="H5" i="12"/>
  <c r="E15" i="8"/>
  <c r="G199" i="6"/>
  <c r="G71" i="6"/>
  <c r="D391" i="5"/>
  <c r="T339" i="5"/>
  <c r="P288" i="5"/>
  <c r="L237" i="5"/>
  <c r="H200" i="5"/>
  <c r="H174" i="5"/>
  <c r="P148" i="5"/>
  <c r="D123" i="5"/>
  <c r="L97" i="5"/>
  <c r="T71" i="5"/>
  <c r="H46" i="5"/>
  <c r="P20" i="5"/>
  <c r="J399" i="3"/>
  <c r="A368" i="3"/>
  <c r="I336" i="3"/>
  <c r="B305" i="3"/>
  <c r="E273" i="3"/>
  <c r="AE241" i="3"/>
  <c r="AI209" i="3"/>
  <c r="H178" i="3"/>
  <c r="AH146" i="3"/>
  <c r="B115" i="3"/>
  <c r="G83" i="3"/>
  <c r="AF51" i="3"/>
  <c r="AF21" i="3"/>
  <c r="F748" i="25"/>
  <c r="E47" i="19"/>
  <c r="J150" i="17"/>
  <c r="C185" i="12"/>
  <c r="D88" i="11"/>
  <c r="A269" i="6"/>
  <c r="A141" i="6"/>
  <c r="A13" i="6"/>
  <c r="F367" i="5"/>
  <c r="B316" i="5"/>
  <c r="R264" i="5"/>
  <c r="N213" i="5"/>
  <c r="J162" i="5"/>
  <c r="F111" i="5"/>
  <c r="B60" i="5"/>
  <c r="Q8" i="5"/>
  <c r="I353" i="3"/>
  <c r="J290" i="3"/>
  <c r="C227" i="3"/>
  <c r="AJ163" i="3"/>
  <c r="I100" i="3"/>
  <c r="D37" i="3"/>
  <c r="F264" i="25"/>
  <c r="J368" i="17"/>
  <c r="J112" i="17"/>
  <c r="H139" i="12"/>
  <c r="G37" i="11"/>
  <c r="A244" i="6"/>
  <c r="A116" i="6"/>
  <c r="F409" i="5"/>
  <c r="B358" i="5"/>
  <c r="R306" i="5"/>
  <c r="N255" i="5"/>
  <c r="J204" i="5"/>
  <c r="F153" i="5"/>
  <c r="B102" i="5"/>
  <c r="R50" i="5"/>
  <c r="G405" i="3"/>
  <c r="D342" i="3"/>
  <c r="C279" i="3"/>
  <c r="AF215" i="3"/>
  <c r="AE152" i="3"/>
  <c r="D89" i="3"/>
  <c r="AG25" i="3"/>
  <c r="C409" i="2"/>
  <c r="G399" i="2"/>
  <c r="K389" i="2"/>
  <c r="O379" i="2"/>
  <c r="S369" i="2"/>
  <c r="W359" i="2"/>
  <c r="A350" i="2"/>
  <c r="E340" i="2"/>
  <c r="I330" i="2"/>
  <c r="M320" i="2"/>
  <c r="Q310" i="2"/>
  <c r="U300" i="2"/>
  <c r="Y290" i="2"/>
  <c r="C281" i="2"/>
  <c r="G271" i="2"/>
  <c r="O261" i="2"/>
  <c r="Q256" i="2"/>
  <c r="S251" i="2"/>
  <c r="U246" i="2"/>
  <c r="W241" i="2"/>
  <c r="Y236" i="2"/>
  <c r="A232" i="2"/>
  <c r="C227" i="2"/>
  <c r="E222" i="2"/>
  <c r="G217" i="2"/>
  <c r="I212" i="2"/>
  <c r="K207" i="2"/>
  <c r="M202" i="2"/>
  <c r="O197" i="2"/>
  <c r="Q192" i="2"/>
  <c r="S187" i="2"/>
  <c r="U182" i="2"/>
  <c r="W177" i="2"/>
  <c r="Y172" i="2"/>
  <c r="A168" i="2"/>
  <c r="C163" i="2"/>
  <c r="E158" i="2"/>
  <c r="G153" i="2"/>
  <c r="I148" i="2"/>
  <c r="K143" i="2"/>
  <c r="M138" i="2"/>
  <c r="O133" i="2"/>
  <c r="Q128" i="2"/>
  <c r="S123" i="2"/>
  <c r="U118" i="2"/>
  <c r="W113" i="2"/>
  <c r="Y108" i="2"/>
  <c r="A104" i="2"/>
  <c r="C99" i="2"/>
  <c r="E94" i="2"/>
  <c r="G89" i="2"/>
  <c r="I84" i="2"/>
  <c r="K79" i="2"/>
  <c r="M74" i="2"/>
  <c r="O69" i="2"/>
  <c r="Q64" i="2"/>
  <c r="S59" i="2"/>
  <c r="U54" i="2"/>
  <c r="W49" i="2"/>
  <c r="Y44" i="2"/>
  <c r="A40" i="2"/>
  <c r="C35" i="2"/>
  <c r="E30" i="2"/>
  <c r="G25" i="2"/>
  <c r="I20" i="2"/>
  <c r="K15" i="2"/>
  <c r="L10" i="2"/>
  <c r="H762" i="25"/>
  <c r="A86" i="23"/>
  <c r="E39" i="19"/>
  <c r="J283" i="17"/>
  <c r="J155" i="17"/>
  <c r="J27" i="17"/>
  <c r="C197" i="12"/>
  <c r="F26" i="12"/>
  <c r="A95" i="11"/>
  <c r="C21" i="8"/>
  <c r="E267" i="6"/>
  <c r="E203" i="6"/>
  <c r="E139" i="6"/>
  <c r="E75" i="6"/>
  <c r="E11" i="6"/>
  <c r="F392" i="5"/>
  <c r="N366" i="5"/>
  <c r="B341" i="5"/>
  <c r="J315" i="5"/>
  <c r="R289" i="5"/>
  <c r="F264" i="5"/>
  <c r="N238" i="5"/>
  <c r="B213" i="5"/>
  <c r="J187" i="5"/>
  <c r="R161" i="5"/>
  <c r="F136" i="5"/>
  <c r="N110" i="5"/>
  <c r="B85" i="5"/>
  <c r="J59" i="5"/>
  <c r="R33" i="5"/>
  <c r="E8" i="5"/>
  <c r="F384" i="3"/>
  <c r="AG352" i="3"/>
  <c r="I321" i="3"/>
  <c r="AH289" i="3"/>
  <c r="A258" i="3"/>
  <c r="G226" i="3"/>
  <c r="AE194" i="3"/>
  <c r="D163" i="3"/>
  <c r="I131" i="3"/>
  <c r="AG99" i="3"/>
  <c r="C68" i="3"/>
  <c r="H36" i="3"/>
  <c r="AF13" i="3"/>
  <c r="G6" i="18"/>
  <c r="H183" i="12"/>
  <c r="E266" i="6"/>
  <c r="E10" i="6"/>
  <c r="J317" i="5"/>
  <c r="B215" i="5"/>
  <c r="N112" i="5"/>
  <c r="E10" i="5"/>
  <c r="F293" i="3"/>
  <c r="AE166" i="3"/>
  <c r="AJ39" i="3"/>
  <c r="M409" i="2"/>
  <c r="X402" i="2"/>
  <c r="J396" i="2"/>
  <c r="U389" i="2"/>
  <c r="F383" i="2"/>
  <c r="R376" i="2"/>
  <c r="C370" i="2"/>
  <c r="N363" i="2"/>
  <c r="Z356" i="2"/>
  <c r="K350" i="2"/>
  <c r="V343" i="2"/>
  <c r="H337" i="2"/>
  <c r="S330" i="2"/>
  <c r="D324" i="2"/>
  <c r="P317" i="2"/>
  <c r="A311" i="2"/>
  <c r="L304" i="2"/>
  <c r="X297" i="2"/>
  <c r="I291" i="2"/>
  <c r="T284" i="2"/>
  <c r="F278" i="2"/>
  <c r="Q271" i="2"/>
  <c r="B265" i="2"/>
  <c r="N258" i="2"/>
  <c r="Y251" i="2"/>
  <c r="J245" i="2"/>
  <c r="V238" i="2"/>
  <c r="G232" i="2"/>
  <c r="R225" i="2"/>
  <c r="D219" i="2"/>
  <c r="O212" i="2"/>
  <c r="Z205" i="2"/>
  <c r="L199" i="2"/>
  <c r="W192" i="2"/>
  <c r="H186" i="2"/>
  <c r="T179" i="2"/>
  <c r="E173" i="2"/>
  <c r="P166" i="2"/>
  <c r="B160" i="2"/>
  <c r="M153" i="2"/>
  <c r="X146" i="2"/>
  <c r="J140" i="2"/>
  <c r="U133" i="2"/>
  <c r="F127" i="2"/>
  <c r="R120" i="2"/>
  <c r="C114" i="2"/>
  <c r="N107" i="2"/>
  <c r="Z100" i="2"/>
  <c r="K94" i="2"/>
  <c r="V87" i="2"/>
  <c r="H81" i="2"/>
  <c r="S74" i="2"/>
  <c r="D68" i="2"/>
  <c r="P61" i="2"/>
  <c r="A55" i="2"/>
  <c r="L48" i="2"/>
  <c r="X41" i="2"/>
  <c r="I35" i="2"/>
  <c r="T28" i="2"/>
  <c r="F22" i="2"/>
  <c r="Q15" i="2"/>
  <c r="A9" i="2"/>
  <c r="V409" i="2"/>
  <c r="H403" i="2"/>
  <c r="S396" i="2"/>
  <c r="D390" i="2"/>
  <c r="P383" i="2"/>
  <c r="A377" i="2"/>
  <c r="L370" i="2"/>
  <c r="X363" i="2"/>
  <c r="I357" i="2"/>
  <c r="T350" i="2"/>
  <c r="F344" i="2"/>
  <c r="Q337" i="2"/>
  <c r="B331" i="2"/>
  <c r="N324" i="2"/>
  <c r="Y317" i="2"/>
  <c r="J311" i="2"/>
  <c r="V304" i="2"/>
  <c r="G298" i="2"/>
  <c r="R291" i="2"/>
  <c r="D285" i="2"/>
  <c r="O278" i="2"/>
  <c r="Z271" i="2"/>
  <c r="L265" i="2"/>
  <c r="W258" i="2"/>
  <c r="H252" i="2"/>
  <c r="T245" i="2"/>
  <c r="E239" i="2"/>
  <c r="P232" i="2"/>
  <c r="B226" i="2"/>
  <c r="M219" i="2"/>
  <c r="X212" i="2"/>
  <c r="J206" i="2"/>
  <c r="U199" i="2"/>
  <c r="F193" i="2"/>
  <c r="R186" i="2"/>
  <c r="C180" i="2"/>
  <c r="N173" i="2"/>
  <c r="Z166" i="2"/>
  <c r="K160" i="2"/>
  <c r="V153" i="2"/>
  <c r="H147" i="2"/>
  <c r="S140" i="2"/>
  <c r="D134" i="2"/>
  <c r="P127" i="2"/>
  <c r="A121" i="2"/>
  <c r="L114" i="2"/>
  <c r="X107" i="2"/>
  <c r="I101" i="2"/>
  <c r="T94" i="2"/>
  <c r="F88" i="2"/>
  <c r="Q81" i="2"/>
  <c r="B75" i="2"/>
  <c r="N68" i="2"/>
  <c r="Y61" i="2"/>
  <c r="J55" i="2"/>
  <c r="V48" i="2"/>
  <c r="G42" i="2"/>
  <c r="R35" i="2"/>
  <c r="D29" i="2"/>
  <c r="O22" i="2"/>
  <c r="Z15" i="2"/>
  <c r="K9" i="2"/>
  <c r="F410" i="2"/>
  <c r="Q403" i="2"/>
  <c r="B397" i="2"/>
  <c r="N390" i="2"/>
  <c r="Y383" i="2"/>
  <c r="J377" i="2"/>
  <c r="V370" i="2"/>
  <c r="G364" i="2"/>
  <c r="R357" i="2"/>
  <c r="D351" i="2"/>
  <c r="O344" i="2"/>
  <c r="Z337" i="2"/>
  <c r="L331" i="2"/>
  <c r="W324" i="2"/>
  <c r="H318" i="2"/>
  <c r="T311" i="2"/>
  <c r="E305" i="2"/>
  <c r="P298" i="2"/>
  <c r="B292" i="2"/>
  <c r="M285" i="2"/>
  <c r="X278" i="2"/>
  <c r="J272" i="2"/>
  <c r="U265" i="2"/>
  <c r="F259" i="2"/>
  <c r="R252" i="2"/>
  <c r="C246" i="2"/>
  <c r="N239" i="2"/>
  <c r="Z232" i="2"/>
  <c r="K226" i="2"/>
  <c r="V219" i="2"/>
  <c r="H213" i="2"/>
  <c r="S206" i="2"/>
  <c r="D200" i="2"/>
  <c r="P193" i="2"/>
  <c r="A187" i="2"/>
  <c r="L180" i="2"/>
  <c r="X173" i="2"/>
  <c r="I167" i="2"/>
  <c r="T160" i="2"/>
  <c r="F154" i="2"/>
  <c r="Q147" i="2"/>
  <c r="B141" i="2"/>
  <c r="N134" i="2"/>
  <c r="Y127" i="2"/>
  <c r="J121" i="2"/>
  <c r="V114" i="2"/>
  <c r="G108" i="2"/>
  <c r="R101" i="2"/>
  <c r="D95" i="2"/>
  <c r="O88" i="2"/>
  <c r="Z81" i="2"/>
  <c r="L75" i="2"/>
  <c r="W68" i="2"/>
  <c r="H62" i="2"/>
  <c r="T55" i="2"/>
  <c r="E49" i="2"/>
  <c r="P42" i="2"/>
  <c r="B36" i="2"/>
  <c r="M29" i="2"/>
  <c r="X22" i="2"/>
  <c r="J16" i="2"/>
  <c r="T9" i="2"/>
  <c r="D53" i="22"/>
  <c r="A28" i="15"/>
  <c r="D18" i="7"/>
  <c r="E60" i="6"/>
  <c r="J337" i="5"/>
  <c r="B235" i="5"/>
  <c r="N132" i="5"/>
  <c r="F30" i="5"/>
  <c r="A318" i="3"/>
  <c r="F191" i="3"/>
  <c r="AE64" i="3"/>
  <c r="G242" i="19"/>
  <c r="A12" i="15"/>
  <c r="E288" i="6"/>
  <c r="E32" i="6"/>
  <c r="B323" i="5"/>
  <c r="N220" i="5"/>
  <c r="F118" i="5"/>
  <c r="R15" i="5"/>
  <c r="E300" i="3"/>
  <c r="AE173" i="3"/>
  <c r="AH46" i="3"/>
  <c r="H400" i="2"/>
  <c r="E387" i="2"/>
  <c r="G374" i="2"/>
  <c r="X360" i="2"/>
  <c r="Z347" i="2"/>
  <c r="V332" i="2"/>
  <c r="M319" i="2"/>
  <c r="O306" i="2"/>
  <c r="Q293" i="2"/>
  <c r="N280" i="2"/>
  <c r="P267" i="2"/>
  <c r="W254" i="2"/>
  <c r="S240" i="2"/>
  <c r="E227" i="2"/>
  <c r="G214" i="2"/>
  <c r="T201" i="2"/>
  <c r="F189" i="2"/>
  <c r="X176" i="2"/>
  <c r="P163" i="2"/>
  <c r="W150" i="2"/>
  <c r="D137" i="2"/>
  <c r="U123" i="2"/>
  <c r="R110" i="2"/>
  <c r="T97" i="2"/>
  <c r="L85" i="2"/>
  <c r="X71" i="2"/>
  <c r="T58" i="2"/>
  <c r="B46" i="2"/>
  <c r="D33" i="2"/>
  <c r="U19" i="2"/>
  <c r="F6" i="2"/>
  <c r="J161" i="17"/>
  <c r="A135" i="11"/>
  <c r="E166" i="6"/>
  <c r="N376" i="5"/>
  <c r="F274" i="5"/>
  <c r="R171" i="5"/>
  <c r="J69" i="5"/>
  <c r="C362" i="3"/>
  <c r="AH235" i="3"/>
  <c r="E109" i="3"/>
  <c r="K412" i="2"/>
  <c r="P404" i="2"/>
  <c r="M391" i="2"/>
  <c r="J378" i="2"/>
  <c r="F365" i="2"/>
  <c r="X351" i="2"/>
  <c r="P340" i="2"/>
  <c r="R327" i="2"/>
  <c r="O314" i="2"/>
  <c r="Q301" i="2"/>
  <c r="X287" i="2"/>
  <c r="T274" i="2"/>
  <c r="Q261" i="2"/>
  <c r="R247" i="2"/>
  <c r="F236" i="2"/>
  <c r="H223" i="2"/>
  <c r="Y209" i="2"/>
  <c r="J195" i="2"/>
  <c r="V181" i="2"/>
  <c r="X168" i="2"/>
  <c r="E155" i="2"/>
  <c r="L142" i="2"/>
  <c r="T129" i="2"/>
  <c r="P116" i="2"/>
  <c r="H103" i="2"/>
  <c r="Y89" i="2"/>
  <c r="K76" i="2"/>
  <c r="M63" i="2"/>
  <c r="Y49" i="2"/>
  <c r="J35" i="2"/>
  <c r="R23" i="2"/>
  <c r="S10" i="2"/>
  <c r="G242" i="25"/>
  <c r="A250" i="25"/>
  <c r="F27" i="23"/>
  <c r="G92" i="23"/>
  <c r="A761" i="25"/>
  <c r="A88" i="23"/>
  <c r="B47" i="19"/>
  <c r="A282" i="17"/>
  <c r="A154" i="17"/>
  <c r="A26" i="17"/>
  <c r="C643" i="25"/>
  <c r="E42" i="23"/>
  <c r="C24" i="19"/>
  <c r="L237" i="17"/>
  <c r="D67" i="17"/>
  <c r="H2" i="13"/>
  <c r="A28" i="12"/>
  <c r="B142" i="11"/>
  <c r="N48" i="26"/>
  <c r="F224" i="19"/>
  <c r="K232" i="17"/>
  <c r="H61" i="15"/>
  <c r="G3" i="12"/>
  <c r="C273" i="25"/>
  <c r="O360" i="17"/>
  <c r="O72" i="17"/>
  <c r="G46" i="12"/>
  <c r="A181" i="25"/>
  <c r="F28" i="17"/>
  <c r="H24" i="8"/>
  <c r="F48" i="6"/>
  <c r="S317" i="5"/>
  <c r="O202" i="5"/>
  <c r="G100" i="5"/>
  <c r="B403" i="3"/>
  <c r="AI260" i="3"/>
  <c r="J118" i="3"/>
  <c r="A154" i="23"/>
  <c r="N39" i="17"/>
  <c r="B33" i="8"/>
  <c r="D196" i="6"/>
  <c r="H69" i="6"/>
  <c r="E390" i="5"/>
  <c r="M332" i="5"/>
  <c r="A243" i="5"/>
  <c r="I185" i="5"/>
  <c r="E134" i="5"/>
  <c r="A83" i="5"/>
  <c r="I25" i="5"/>
  <c r="AJ365" i="3"/>
  <c r="A303" i="3"/>
  <c r="J239" i="3"/>
  <c r="H168" i="3"/>
  <c r="C97" i="3"/>
  <c r="AG33" i="3"/>
  <c r="B282" i="17"/>
  <c r="B11" i="7"/>
  <c r="C80" i="6"/>
  <c r="H343" i="5"/>
  <c r="D228" i="5"/>
  <c r="L138" i="5"/>
  <c r="D36" i="5"/>
  <c r="B324" i="3"/>
  <c r="D197" i="3"/>
  <c r="AF70" i="3"/>
  <c r="G82" i="22"/>
  <c r="C219" i="12"/>
  <c r="F18" i="7"/>
  <c r="G55" i="6"/>
  <c r="L333" i="5"/>
  <c r="T243" i="5"/>
  <c r="L177" i="5"/>
  <c r="P132" i="5"/>
  <c r="L81" i="5"/>
  <c r="H30" i="5"/>
  <c r="AH379" i="3"/>
  <c r="A309" i="3"/>
  <c r="AD245" i="3"/>
  <c r="D190" i="3"/>
  <c r="AI134" i="3"/>
  <c r="H71" i="3"/>
  <c r="G19" i="3"/>
  <c r="B144" i="22"/>
  <c r="A86" i="15"/>
  <c r="G4" i="8"/>
  <c r="A61" i="6"/>
  <c r="R296" i="5"/>
  <c r="J194" i="5"/>
  <c r="F79" i="5"/>
  <c r="E377" i="3"/>
  <c r="AI250" i="3"/>
  <c r="F124" i="3"/>
  <c r="B10" i="3"/>
  <c r="J144" i="17"/>
  <c r="G165" i="11"/>
  <c r="A132" i="6"/>
  <c r="R402" i="5"/>
  <c r="F313" i="5"/>
  <c r="F249" i="5"/>
  <c r="R146" i="5"/>
  <c r="B70" i="5"/>
  <c r="I346" i="2"/>
  <c r="E292" i="2"/>
  <c r="Y274" i="2"/>
  <c r="S259" i="2"/>
  <c r="W249" i="2"/>
  <c r="G241" i="2"/>
  <c r="K231" i="2"/>
  <c r="U222" i="2"/>
  <c r="Y212" i="2"/>
  <c r="I204" i="2"/>
  <c r="S195" i="2"/>
  <c r="I188" i="2"/>
  <c r="M178" i="2"/>
  <c r="W169" i="2"/>
  <c r="U158" i="2"/>
  <c r="K151" i="2"/>
  <c r="I140" i="2"/>
  <c r="Y132" i="2"/>
  <c r="C123" i="2"/>
  <c r="S115" i="2"/>
  <c r="W105" i="2"/>
  <c r="A96" i="2"/>
  <c r="Y84" i="2"/>
  <c r="C75" i="2"/>
  <c r="G65" i="2"/>
  <c r="K55" i="2"/>
  <c r="O45" i="2"/>
  <c r="Y36" i="2"/>
  <c r="C27" i="2"/>
  <c r="G17" i="2"/>
  <c r="P8" i="2"/>
  <c r="B64" i="22"/>
  <c r="J267" i="17"/>
  <c r="J11" i="17"/>
  <c r="H47" i="12"/>
  <c r="A9" i="9"/>
  <c r="E227" i="6"/>
  <c r="E131" i="6"/>
  <c r="E3" i="6"/>
  <c r="B357" i="5"/>
  <c r="R305" i="5"/>
  <c r="B261" i="5"/>
  <c r="R209" i="5"/>
  <c r="F152" i="5"/>
  <c r="J107" i="5"/>
  <c r="R49" i="5"/>
  <c r="C404" i="3"/>
  <c r="AJ340" i="3"/>
  <c r="AI277" i="3"/>
  <c r="G222" i="3"/>
  <c r="E159" i="3"/>
  <c r="AI95" i="3"/>
  <c r="AF19" i="3"/>
  <c r="A20" i="15"/>
  <c r="E42" i="6"/>
  <c r="R227" i="5"/>
  <c r="N48" i="5"/>
  <c r="AJ213" i="3"/>
  <c r="G24" i="3"/>
  <c r="C402" i="2"/>
  <c r="Z388" i="2"/>
  <c r="M377" i="2"/>
  <c r="Z365" i="2"/>
  <c r="W352" i="2"/>
  <c r="J341" i="2"/>
  <c r="G328" i="2"/>
  <c r="V311" i="2"/>
  <c r="J300" i="2"/>
  <c r="F287" i="2"/>
  <c r="C274" i="2"/>
  <c r="I259" i="2"/>
  <c r="R216" i="2"/>
  <c r="N203" i="2"/>
  <c r="D187" i="2"/>
  <c r="Q175" i="2"/>
  <c r="W160" i="2"/>
  <c r="C146" i="2"/>
  <c r="I131" i="2"/>
  <c r="F118" i="2"/>
  <c r="S106" i="2"/>
  <c r="F95" i="2"/>
  <c r="E77" i="2"/>
  <c r="B64" i="2"/>
  <c r="Q47" i="2"/>
  <c r="N34" i="2"/>
  <c r="T19" i="2"/>
  <c r="F8" i="2"/>
  <c r="C404" i="2"/>
  <c r="Z390" i="2"/>
  <c r="V377" i="2"/>
  <c r="J366" i="2"/>
  <c r="W354" i="2"/>
  <c r="T341" i="2"/>
  <c r="P328" i="2"/>
  <c r="T318" i="2"/>
  <c r="Q305" i="2"/>
  <c r="D294" i="2"/>
  <c r="R282" i="2"/>
  <c r="E271" i="2"/>
  <c r="R259" i="2"/>
  <c r="O246" i="2"/>
  <c r="B235" i="2"/>
  <c r="Y221" i="2"/>
  <c r="V208" i="2"/>
  <c r="I197" i="2"/>
  <c r="F184" i="2"/>
  <c r="B171" i="2"/>
  <c r="P159" i="2"/>
  <c r="V144" i="2"/>
  <c r="B130" i="2"/>
  <c r="H115" i="2"/>
  <c r="D102" i="2"/>
  <c r="A89" i="2"/>
  <c r="X75" i="2"/>
  <c r="K64" i="2"/>
  <c r="X52" i="2"/>
  <c r="D38" i="2"/>
  <c r="A25" i="2"/>
  <c r="W11" i="2"/>
  <c r="C406" i="2"/>
  <c r="Z392" i="2"/>
  <c r="M381" i="2"/>
  <c r="J368" i="2"/>
  <c r="Y351" i="2"/>
  <c r="L340" i="2"/>
  <c r="P330" i="2"/>
  <c r="M317" i="2"/>
  <c r="Z305" i="2"/>
  <c r="W292" i="2"/>
  <c r="T279" i="2"/>
  <c r="Z264" i="2"/>
  <c r="V251" i="2"/>
  <c r="J240" i="2"/>
  <c r="W228" i="2"/>
  <c r="C214" i="2"/>
  <c r="I199" i="2"/>
  <c r="F186" i="2"/>
  <c r="S174" i="2"/>
  <c r="P161" i="2"/>
  <c r="V146" i="2"/>
  <c r="B132" i="2"/>
  <c r="H117" i="2"/>
  <c r="D104" i="2"/>
  <c r="A91" i="2"/>
  <c r="X77" i="2"/>
  <c r="K66" i="2"/>
  <c r="X54" i="2"/>
  <c r="U41" i="2"/>
  <c r="R28" i="2"/>
  <c r="F12" i="2"/>
  <c r="F210" i="12"/>
  <c r="E28" i="6"/>
  <c r="F222" i="5"/>
  <c r="J17" i="5"/>
  <c r="AJ143" i="3"/>
  <c r="F15" i="19"/>
  <c r="C14" i="8"/>
  <c r="B387" i="5"/>
  <c r="R207" i="5"/>
  <c r="AJ378" i="3"/>
  <c r="B126" i="3"/>
  <c r="P395" i="2"/>
  <c r="V365" i="2"/>
  <c r="F341" i="2"/>
  <c r="M311" i="2"/>
  <c r="L285" i="2"/>
  <c r="R262" i="2"/>
  <c r="P235" i="2"/>
  <c r="P212" i="2"/>
  <c r="U187" i="2"/>
  <c r="W158" i="2"/>
  <c r="F132" i="2"/>
  <c r="N112" i="2"/>
  <c r="A93" i="2"/>
  <c r="L70" i="2"/>
  <c r="D41" i="2"/>
  <c r="R14" i="2"/>
  <c r="A36" i="15"/>
  <c r="E134" i="6"/>
  <c r="J261" i="5"/>
  <c r="N56" i="5"/>
  <c r="AH156" i="3"/>
  <c r="Y409" i="2"/>
  <c r="O386" i="2"/>
  <c r="W366" i="2"/>
  <c r="S344" i="2"/>
  <c r="R319" i="2"/>
  <c r="H296" i="2"/>
  <c r="D273" i="2"/>
  <c r="O234" i="2"/>
  <c r="H208" i="2"/>
  <c r="R183" i="2"/>
  <c r="A157" i="2"/>
  <c r="J131" i="2"/>
  <c r="X104" i="2"/>
  <c r="B78" i="2"/>
  <c r="B55" i="2"/>
  <c r="R31" i="2"/>
  <c r="C9" i="2"/>
  <c r="E206" i="22"/>
  <c r="E72" i="24"/>
  <c r="E185" i="19"/>
  <c r="D235" i="19"/>
  <c r="D114" i="25"/>
  <c r="G25" i="19"/>
  <c r="A178" i="17"/>
  <c r="A554" i="25"/>
  <c r="C8" i="19"/>
  <c r="F69" i="15"/>
  <c r="B230" i="11"/>
  <c r="H854" i="25"/>
  <c r="F192" i="19"/>
  <c r="K160" i="17"/>
  <c r="D206" i="12"/>
  <c r="C64" i="11"/>
  <c r="C20" i="22"/>
  <c r="O224" i="17"/>
  <c r="D45" i="15"/>
  <c r="H235" i="11"/>
  <c r="C67" i="25"/>
  <c r="F140" i="17"/>
  <c r="D79" i="11"/>
  <c r="F136" i="6"/>
  <c r="O378" i="5"/>
  <c r="K263" i="5"/>
  <c r="C161" i="5"/>
  <c r="S45" i="5"/>
  <c r="B336" i="3"/>
  <c r="AE193" i="3"/>
  <c r="B67" i="3"/>
  <c r="N343" i="17"/>
  <c r="C110" i="12"/>
  <c r="D276" i="6"/>
  <c r="H129" i="6"/>
  <c r="H17" i="6"/>
  <c r="I369" i="5"/>
  <c r="E318" i="5"/>
  <c r="M260" i="5"/>
  <c r="Q215" i="5"/>
  <c r="A171" i="5"/>
  <c r="E126" i="5"/>
  <c r="A75" i="5"/>
  <c r="Q23" i="5"/>
  <c r="AG379" i="3"/>
  <c r="AH316" i="3"/>
  <c r="J245" i="3"/>
  <c r="E182" i="3"/>
  <c r="B103" i="3"/>
  <c r="AG39" i="3"/>
  <c r="B330" i="17"/>
  <c r="F92" i="12"/>
  <c r="C232" i="6"/>
  <c r="L378" i="5"/>
  <c r="D276" i="5"/>
  <c r="L186" i="5"/>
  <c r="D84" i="5"/>
  <c r="AJ382" i="3"/>
  <c r="AE256" i="3"/>
  <c r="C130" i="3"/>
  <c r="A13" i="3"/>
  <c r="B219" i="17"/>
  <c r="G183" i="11"/>
  <c r="G207" i="6"/>
  <c r="D407" i="5"/>
  <c r="L317" i="5"/>
  <c r="L219" i="5"/>
  <c r="D163" i="5"/>
  <c r="H118" i="5"/>
  <c r="L73" i="5"/>
  <c r="H22" i="5"/>
  <c r="A370" i="3"/>
  <c r="AI314" i="3"/>
  <c r="G259" i="3"/>
  <c r="AI203" i="3"/>
  <c r="AG148" i="3"/>
  <c r="F93" i="3"/>
  <c r="AJ22" i="3"/>
  <c r="G102" i="19"/>
  <c r="C121" i="12"/>
  <c r="A213" i="6"/>
  <c r="R408" i="5"/>
  <c r="N293" i="5"/>
  <c r="B204" i="5"/>
  <c r="N101" i="5"/>
  <c r="AI404" i="3"/>
  <c r="AF262" i="3"/>
  <c r="E136" i="3"/>
  <c r="B16" i="3"/>
  <c r="J256" i="17"/>
  <c r="C161" i="12"/>
  <c r="A252" i="6"/>
  <c r="N399" i="5"/>
  <c r="F297" i="5"/>
  <c r="R194" i="5"/>
  <c r="N79" i="5"/>
  <c r="AI361" i="3"/>
  <c r="J235" i="3"/>
  <c r="D93" i="3"/>
  <c r="G407" i="2"/>
  <c r="O387" i="2"/>
  <c r="W367" i="2"/>
  <c r="C353" i="2"/>
  <c r="Y330" i="2"/>
  <c r="G311" i="2"/>
  <c r="A294" i="2"/>
  <c r="K269" i="2"/>
  <c r="C257" i="2"/>
  <c r="A246" i="2"/>
  <c r="Q238" i="2"/>
  <c r="A230" i="2"/>
  <c r="K221" i="2"/>
  <c r="O211" i="2"/>
  <c r="S201" i="2"/>
  <c r="K189" i="2"/>
  <c r="O179" i="2"/>
  <c r="S169" i="2"/>
  <c r="W159" i="2"/>
  <c r="A150" i="2"/>
  <c r="Y138" i="2"/>
  <c r="W127" i="2"/>
  <c r="A118" i="2"/>
  <c r="K109" i="2"/>
  <c r="O99" i="2"/>
  <c r="S89" i="2"/>
  <c r="C81" i="2"/>
  <c r="S73" i="2"/>
  <c r="C65" i="2"/>
  <c r="A38" i="2"/>
  <c r="E28" i="2"/>
  <c r="W15" i="2"/>
  <c r="G26" i="26"/>
  <c r="G74" i="19"/>
  <c r="J135" i="17"/>
  <c r="C213" i="12"/>
  <c r="D68" i="11"/>
  <c r="E273" i="6"/>
  <c r="E129" i="6"/>
  <c r="R413" i="5"/>
  <c r="B369" i="5"/>
  <c r="R317" i="5"/>
  <c r="F260" i="5"/>
  <c r="R221" i="5"/>
  <c r="N170" i="5"/>
  <c r="F132" i="5"/>
  <c r="B81" i="5"/>
  <c r="F36" i="5"/>
  <c r="F387" i="3"/>
  <c r="H324" i="3"/>
  <c r="C253" i="3"/>
  <c r="AH189" i="3"/>
  <c r="H142" i="3"/>
  <c r="A87" i="3"/>
  <c r="H31" i="3"/>
  <c r="G130" i="19"/>
  <c r="E226" i="6"/>
  <c r="J301" i="5"/>
  <c r="B71" i="5"/>
  <c r="G273" i="3"/>
  <c r="AH51" i="3"/>
  <c r="E405" i="2"/>
  <c r="R393" i="2"/>
  <c r="O380" i="2"/>
  <c r="L367" i="2"/>
  <c r="H354" i="2"/>
  <c r="V342" i="2"/>
  <c r="I331" i="2"/>
  <c r="X314" i="2"/>
  <c r="U301" i="2"/>
  <c r="R288" i="2"/>
  <c r="X273" i="2"/>
  <c r="T260" i="2"/>
  <c r="Z245" i="2"/>
  <c r="N234" i="2"/>
  <c r="A223" i="2"/>
  <c r="X209" i="2"/>
  <c r="K198" i="2"/>
  <c r="X186" i="2"/>
  <c r="L175" i="2"/>
  <c r="Y163" i="2"/>
  <c r="L152" i="2"/>
  <c r="Z140" i="2"/>
  <c r="V127" i="2"/>
  <c r="J116" i="2"/>
  <c r="F103" i="2"/>
  <c r="C90" i="2"/>
  <c r="R73" i="2"/>
  <c r="O60" i="2"/>
  <c r="L47" i="2"/>
  <c r="H34" i="2"/>
  <c r="E21" i="2"/>
  <c r="A8" i="2"/>
  <c r="X403" i="2"/>
  <c r="M387" i="2"/>
  <c r="J374" i="2"/>
  <c r="N364" i="2"/>
  <c r="J351" i="2"/>
  <c r="N341" i="2"/>
  <c r="K328" i="2"/>
  <c r="H315" i="2"/>
  <c r="L305" i="2"/>
  <c r="H292" i="2"/>
  <c r="V280" i="2"/>
  <c r="I269" i="2"/>
  <c r="F256" i="2"/>
  <c r="S244" i="2"/>
  <c r="P231" i="2"/>
  <c r="E215" i="2"/>
  <c r="D197" i="2"/>
  <c r="J182" i="2"/>
  <c r="F169" i="2"/>
  <c r="L154" i="2"/>
  <c r="I141" i="2"/>
  <c r="F128" i="2"/>
  <c r="B115" i="2"/>
  <c r="Y101" i="2"/>
  <c r="L90" i="2"/>
  <c r="Z78" i="2"/>
  <c r="V65" i="2"/>
  <c r="Z55" i="2"/>
  <c r="W42" i="2"/>
  <c r="J31" i="2"/>
  <c r="N21" i="2"/>
  <c r="J8" i="2"/>
  <c r="X405" i="2"/>
  <c r="D391" i="2"/>
  <c r="Q379" i="2"/>
  <c r="D368" i="2"/>
  <c r="H358" i="2"/>
  <c r="E345" i="2"/>
  <c r="B332" i="2"/>
  <c r="F322" i="2"/>
  <c r="S310" i="2"/>
  <c r="Y295" i="2"/>
  <c r="E281" i="2"/>
  <c r="B268" i="2"/>
  <c r="X254" i="2"/>
  <c r="L243" i="2"/>
  <c r="H230" i="2"/>
  <c r="V218" i="2"/>
  <c r="B204" i="2"/>
  <c r="O192" i="2"/>
  <c r="B181" i="2"/>
  <c r="Y167" i="2"/>
  <c r="E153" i="2"/>
  <c r="R141" i="2"/>
  <c r="O128" i="2"/>
  <c r="L115" i="2"/>
  <c r="A99" i="2"/>
  <c r="N87" i="2"/>
  <c r="T72" i="2"/>
  <c r="Q59" i="2"/>
  <c r="N46" i="2"/>
  <c r="J33" i="2"/>
  <c r="N23" i="2"/>
  <c r="J10" i="2"/>
  <c r="E212" i="6"/>
  <c r="R295" i="5"/>
  <c r="B91" i="5"/>
  <c r="E298" i="3"/>
  <c r="AH44" i="3"/>
  <c r="C157" i="12"/>
  <c r="J409" i="5"/>
  <c r="N204" i="5"/>
  <c r="B51" i="5"/>
  <c r="G280" i="3"/>
  <c r="A27" i="3"/>
  <c r="D385" i="2"/>
  <c r="W358" i="2"/>
  <c r="T330" i="2"/>
  <c r="U307" i="2"/>
  <c r="N281" i="2"/>
  <c r="Z258" i="2"/>
  <c r="K228" i="2"/>
  <c r="J202" i="2"/>
  <c r="R174" i="2"/>
  <c r="C152" i="2"/>
  <c r="A125" i="2"/>
  <c r="X95" i="2"/>
  <c r="O66" i="2"/>
  <c r="B47" i="2"/>
  <c r="H24" i="2"/>
  <c r="J337" i="17"/>
  <c r="E190" i="6"/>
  <c r="R283" i="5"/>
  <c r="B79" i="5"/>
  <c r="AF247" i="3"/>
  <c r="H8" i="3"/>
  <c r="B399" i="2"/>
  <c r="N376" i="2"/>
  <c r="V349" i="2"/>
  <c r="X328" i="2"/>
  <c r="W302" i="2"/>
  <c r="Z275" i="2"/>
  <c r="D249" i="2"/>
  <c r="N224" i="2"/>
  <c r="H200" i="2"/>
  <c r="U179" i="2"/>
  <c r="K156" i="2"/>
  <c r="G134" i="2"/>
  <c r="H111" i="2"/>
  <c r="Z83" i="2"/>
  <c r="R54" i="2"/>
  <c r="F28" i="2"/>
  <c r="E7" i="34"/>
  <c r="B16" i="43"/>
  <c r="C831" i="25"/>
  <c r="B3" i="33"/>
  <c r="D172" i="19"/>
  <c r="B228" i="25"/>
  <c r="H26" i="22"/>
  <c r="A354" i="17"/>
  <c r="A226" i="17"/>
  <c r="A98" i="17"/>
  <c r="G45" i="15"/>
  <c r="C169" i="25"/>
  <c r="H2" i="21"/>
  <c r="L333" i="17"/>
  <c r="D163" i="17"/>
  <c r="F101" i="15"/>
  <c r="A132" i="12"/>
  <c r="A4" i="12"/>
  <c r="B118" i="11"/>
  <c r="D5" i="9"/>
  <c r="G205" i="23"/>
  <c r="F128" i="19"/>
  <c r="K304" i="17"/>
  <c r="K176" i="17"/>
  <c r="K48" i="17"/>
  <c r="G227" i="12"/>
  <c r="B57" i="12"/>
  <c r="C128" i="11"/>
  <c r="G623" i="25"/>
  <c r="E36" i="23"/>
  <c r="A22" i="19"/>
  <c r="O272" i="17"/>
  <c r="O144" i="17"/>
  <c r="O16" i="17"/>
  <c r="D185" i="12"/>
  <c r="G14" i="12"/>
  <c r="E86" i="11"/>
  <c r="C183" i="23"/>
  <c r="F300" i="17"/>
  <c r="F44" i="17"/>
  <c r="H50" i="12"/>
  <c r="H32" i="8"/>
  <c r="F216" i="6"/>
  <c r="F88" i="6"/>
  <c r="S397" i="5"/>
  <c r="O346" i="5"/>
  <c r="K295" i="5"/>
  <c r="G244" i="5"/>
  <c r="C193" i="5"/>
  <c r="S141" i="5"/>
  <c r="O90" i="5"/>
  <c r="K39" i="5"/>
  <c r="D391" i="3"/>
  <c r="E328" i="3"/>
  <c r="AI264" i="3"/>
  <c r="H201" i="3"/>
  <c r="H138" i="3"/>
  <c r="A75" i="3"/>
  <c r="F376" i="25"/>
  <c r="N375" i="17"/>
  <c r="N119" i="17"/>
  <c r="H152" i="12"/>
  <c r="D53" i="11"/>
  <c r="H286" i="6"/>
  <c r="D201" i="6"/>
  <c r="H121" i="6"/>
  <c r="H57" i="6"/>
  <c r="A411" i="5"/>
  <c r="I385" i="5"/>
  <c r="Q359" i="5"/>
  <c r="E334" i="5"/>
  <c r="M308" i="5"/>
  <c r="A283" i="5"/>
  <c r="I257" i="5"/>
  <c r="Q231" i="5"/>
  <c r="E206" i="5"/>
  <c r="M180" i="5"/>
  <c r="A155" i="5"/>
  <c r="I129" i="5"/>
  <c r="Q103" i="5"/>
  <c r="E78" i="5"/>
  <c r="M52" i="5"/>
  <c r="A27" i="5"/>
  <c r="G407" i="3"/>
  <c r="AH375" i="3"/>
  <c r="E344" i="3"/>
  <c r="AI312" i="3"/>
  <c r="D281" i="3"/>
  <c r="I249" i="3"/>
  <c r="AG217" i="3"/>
  <c r="D186" i="3"/>
  <c r="AE154" i="3"/>
  <c r="AI122" i="3"/>
  <c r="E91" i="3"/>
  <c r="I59" i="3"/>
  <c r="AH27" i="3"/>
  <c r="G66" i="22"/>
  <c r="B234" i="17"/>
  <c r="A63" i="15"/>
  <c r="D206" i="11"/>
  <c r="B19" i="7"/>
  <c r="C184" i="6"/>
  <c r="C56" i="6"/>
  <c r="T384" i="5"/>
  <c r="P333" i="5"/>
  <c r="L282" i="5"/>
  <c r="H231" i="5"/>
  <c r="D180" i="5"/>
  <c r="T128" i="5"/>
  <c r="P77" i="5"/>
  <c r="L26" i="5"/>
  <c r="C375" i="3"/>
  <c r="D312" i="3"/>
  <c r="AH248" i="3"/>
  <c r="J185" i="3"/>
  <c r="D122" i="3"/>
  <c r="AH58" i="3"/>
  <c r="A9" i="3"/>
  <c r="G176" i="19"/>
  <c r="B187" i="17"/>
  <c r="C12" i="13"/>
  <c r="A141" i="11"/>
  <c r="G287" i="6"/>
  <c r="G159" i="6"/>
  <c r="G31" i="6"/>
  <c r="D375" i="5"/>
  <c r="T323" i="5"/>
  <c r="P272" i="5"/>
  <c r="L223" i="5"/>
  <c r="T191" i="5"/>
  <c r="H166" i="5"/>
  <c r="P140" i="5"/>
  <c r="D115" i="5"/>
  <c r="L89" i="5"/>
  <c r="T63" i="5"/>
  <c r="H38" i="5"/>
  <c r="O12" i="5"/>
  <c r="AE389" i="3"/>
  <c r="A358" i="3"/>
  <c r="AG326" i="3"/>
  <c r="C295" i="3"/>
  <c r="F263" i="3"/>
  <c r="AF231" i="3"/>
  <c r="AI199" i="3"/>
  <c r="I168" i="3"/>
  <c r="AI136" i="3"/>
  <c r="C105" i="3"/>
  <c r="H73" i="3"/>
  <c r="AG41" i="3"/>
  <c r="G16" i="3"/>
  <c r="C51" i="25"/>
  <c r="J326" i="17"/>
  <c r="J70" i="17"/>
  <c r="F78" i="12"/>
  <c r="F5" i="9"/>
  <c r="A229" i="6"/>
  <c r="A101" i="6"/>
  <c r="J402" i="5"/>
  <c r="F351" i="5"/>
  <c r="B300" i="5"/>
  <c r="R248" i="5"/>
  <c r="N197" i="5"/>
  <c r="J146" i="5"/>
  <c r="F95" i="5"/>
  <c r="B44" i="5"/>
  <c r="AJ396" i="3"/>
  <c r="AJ333" i="3"/>
  <c r="AE270" i="3"/>
  <c r="E207" i="3"/>
  <c r="D144" i="3"/>
  <c r="AG80" i="3"/>
  <c r="B20" i="3"/>
  <c r="A70" i="23"/>
  <c r="J288" i="17"/>
  <c r="J32" i="17"/>
  <c r="C33" i="12"/>
  <c r="G21" i="8"/>
  <c r="A204" i="6"/>
  <c r="A76" i="6"/>
  <c r="F393" i="5"/>
  <c r="B342" i="5"/>
  <c r="R290" i="5"/>
  <c r="N239" i="5"/>
  <c r="J188" i="5"/>
  <c r="F137" i="5"/>
  <c r="B86" i="5"/>
  <c r="R34" i="5"/>
  <c r="J385" i="3"/>
  <c r="AF322" i="3"/>
  <c r="E259" i="3"/>
  <c r="AH195" i="3"/>
  <c r="AG132" i="3"/>
  <c r="G69" i="3"/>
  <c r="F14" i="3"/>
  <c r="A406" i="2"/>
  <c r="E396" i="2"/>
  <c r="I386" i="2"/>
  <c r="M376" i="2"/>
  <c r="Q366" i="2"/>
  <c r="U356" i="2"/>
  <c r="Y346" i="2"/>
  <c r="C337" i="2"/>
  <c r="G327" i="2"/>
  <c r="K317" i="2"/>
  <c r="O307" i="2"/>
  <c r="S297" i="2"/>
  <c r="W287" i="2"/>
  <c r="A278" i="2"/>
  <c r="E268" i="2"/>
  <c r="E260" i="2"/>
  <c r="G255" i="2"/>
  <c r="I250" i="2"/>
  <c r="K245" i="2"/>
  <c r="M240" i="2"/>
  <c r="O235" i="2"/>
  <c r="Q230" i="2"/>
  <c r="S225" i="2"/>
  <c r="U220" i="2"/>
  <c r="W215" i="2"/>
  <c r="Y210" i="2"/>
  <c r="A206" i="2"/>
  <c r="C201" i="2"/>
  <c r="E196" i="2"/>
  <c r="G191" i="2"/>
  <c r="I186" i="2"/>
  <c r="K181" i="2"/>
  <c r="M176" i="2"/>
  <c r="O171" i="2"/>
  <c r="Q166" i="2"/>
  <c r="S161" i="2"/>
  <c r="U156" i="2"/>
  <c r="W151" i="2"/>
  <c r="Y146" i="2"/>
  <c r="A142" i="2"/>
  <c r="C137" i="2"/>
  <c r="E132" i="2"/>
  <c r="G127" i="2"/>
  <c r="I122" i="2"/>
  <c r="K117" i="2"/>
  <c r="M112" i="2"/>
  <c r="O107" i="2"/>
  <c r="Q102" i="2"/>
  <c r="S97" i="2"/>
  <c r="U92" i="2"/>
  <c r="W87" i="2"/>
  <c r="Y82" i="2"/>
  <c r="A78" i="2"/>
  <c r="C73" i="2"/>
  <c r="E68" i="2"/>
  <c r="G63" i="2"/>
  <c r="I58" i="2"/>
  <c r="K53" i="2"/>
  <c r="M48" i="2"/>
  <c r="O43" i="2"/>
  <c r="Q38" i="2"/>
  <c r="S33" i="2"/>
  <c r="U28" i="2"/>
  <c r="W23" i="2"/>
  <c r="Y18" i="2"/>
  <c r="A14" i="2"/>
  <c r="B9" i="2"/>
  <c r="C371" i="25"/>
  <c r="B128" i="22"/>
  <c r="J375" i="17"/>
  <c r="J247" i="17"/>
  <c r="J119" i="17"/>
  <c r="A88" i="15"/>
  <c r="C149" i="12"/>
  <c r="G217" i="11"/>
  <c r="A47" i="11"/>
  <c r="C3" i="8"/>
  <c r="E249" i="6"/>
  <c r="E185" i="6"/>
  <c r="E121" i="6"/>
  <c r="E57" i="6"/>
  <c r="N410" i="5"/>
  <c r="B385" i="5"/>
  <c r="J359" i="5"/>
  <c r="R333" i="5"/>
  <c r="F308" i="5"/>
  <c r="N282" i="5"/>
  <c r="B257" i="5"/>
  <c r="J231" i="5"/>
  <c r="R205" i="5"/>
  <c r="F180" i="5"/>
  <c r="N154" i="5"/>
  <c r="B129" i="5"/>
  <c r="J103" i="5"/>
  <c r="R77" i="5"/>
  <c r="F52" i="5"/>
  <c r="N26" i="5"/>
  <c r="B407" i="3"/>
  <c r="I375" i="3"/>
  <c r="AJ343" i="3"/>
  <c r="J312" i="3"/>
  <c r="AI280" i="3"/>
  <c r="D249" i="3"/>
  <c r="H217" i="3"/>
  <c r="AI185" i="3"/>
  <c r="G154" i="3"/>
  <c r="J122" i="3"/>
  <c r="AJ90" i="3"/>
  <c r="D59" i="3"/>
  <c r="I27" i="3"/>
  <c r="D9" i="3"/>
  <c r="J249" i="17"/>
  <c r="A231" i="11"/>
  <c r="E194" i="6"/>
  <c r="B391" i="5"/>
  <c r="N288" i="5"/>
  <c r="F186" i="5"/>
  <c r="R83" i="5"/>
  <c r="AH383" i="3"/>
  <c r="I257" i="3"/>
  <c r="A131" i="3"/>
  <c r="H13" i="3"/>
  <c r="Q407" i="2"/>
  <c r="B401" i="2"/>
  <c r="N394" i="2"/>
  <c r="Y387" i="2"/>
  <c r="J381" i="2"/>
  <c r="V374" i="2"/>
  <c r="G368" i="2"/>
  <c r="R361" i="2"/>
  <c r="D355" i="2"/>
  <c r="O348" i="2"/>
  <c r="Z341" i="2"/>
  <c r="L335" i="2"/>
  <c r="W328" i="2"/>
  <c r="H322" i="2"/>
  <c r="T315" i="2"/>
  <c r="E309" i="2"/>
  <c r="P302" i="2"/>
  <c r="B296" i="2"/>
  <c r="M289" i="2"/>
  <c r="X282" i="2"/>
  <c r="J276" i="2"/>
  <c r="U269" i="2"/>
  <c r="F263" i="2"/>
  <c r="R256" i="2"/>
  <c r="C250" i="2"/>
  <c r="N243" i="2"/>
  <c r="Z236" i="2"/>
  <c r="K230" i="2"/>
  <c r="V223" i="2"/>
  <c r="H217" i="2"/>
  <c r="S210" i="2"/>
  <c r="D204" i="2"/>
  <c r="P197" i="2"/>
  <c r="A191" i="2"/>
  <c r="L184" i="2"/>
  <c r="X177" i="2"/>
  <c r="I171" i="2"/>
  <c r="T164" i="2"/>
  <c r="F158" i="2"/>
  <c r="Q151" i="2"/>
  <c r="B145" i="2"/>
  <c r="N138" i="2"/>
  <c r="Y131" i="2"/>
  <c r="J125" i="2"/>
  <c r="V118" i="2"/>
  <c r="G112" i="2"/>
  <c r="R105" i="2"/>
  <c r="D99" i="2"/>
  <c r="O92" i="2"/>
  <c r="Z85" i="2"/>
  <c r="L79" i="2"/>
  <c r="W72" i="2"/>
  <c r="H66" i="2"/>
  <c r="T59" i="2"/>
  <c r="E53" i="2"/>
  <c r="P46" i="2"/>
  <c r="B40" i="2"/>
  <c r="M33" i="2"/>
  <c r="X26" i="2"/>
  <c r="J20" i="2"/>
  <c r="U13" i="2"/>
  <c r="E7" i="2"/>
  <c r="Z407" i="2"/>
  <c r="L401" i="2"/>
  <c r="W394" i="2"/>
  <c r="H388" i="2"/>
  <c r="T381" i="2"/>
  <c r="E375" i="2"/>
  <c r="P368" i="2"/>
  <c r="B362" i="2"/>
  <c r="M355" i="2"/>
  <c r="X348" i="2"/>
  <c r="J342" i="2"/>
  <c r="U335" i="2"/>
  <c r="F329" i="2"/>
  <c r="R322" i="2"/>
  <c r="C316" i="2"/>
  <c r="N309" i="2"/>
  <c r="Z302" i="2"/>
  <c r="K296" i="2"/>
  <c r="V289" i="2"/>
  <c r="H283" i="2"/>
  <c r="S276" i="2"/>
  <c r="D270" i="2"/>
  <c r="P263" i="2"/>
  <c r="A257" i="2"/>
  <c r="L250" i="2"/>
  <c r="X243" i="2"/>
  <c r="I237" i="2"/>
  <c r="T230" i="2"/>
  <c r="F224" i="2"/>
  <c r="Q217" i="2"/>
  <c r="B211" i="2"/>
  <c r="N204" i="2"/>
  <c r="Y197" i="2"/>
  <c r="J191" i="2"/>
  <c r="V184" i="2"/>
  <c r="G178" i="2"/>
  <c r="R171" i="2"/>
  <c r="D165" i="2"/>
  <c r="O158" i="2"/>
  <c r="Z151" i="2"/>
  <c r="L145" i="2"/>
  <c r="W138" i="2"/>
  <c r="H132" i="2"/>
  <c r="T125" i="2"/>
  <c r="E119" i="2"/>
  <c r="P112" i="2"/>
  <c r="B106" i="2"/>
  <c r="M99" i="2"/>
  <c r="X92" i="2"/>
  <c r="J86" i="2"/>
  <c r="U79" i="2"/>
  <c r="F73" i="2"/>
  <c r="R66" i="2"/>
  <c r="C60" i="2"/>
  <c r="N53" i="2"/>
  <c r="Z46" i="2"/>
  <c r="K40" i="2"/>
  <c r="V33" i="2"/>
  <c r="H27" i="2"/>
  <c r="S20" i="2"/>
  <c r="D14" i="2"/>
  <c r="O7" i="2"/>
  <c r="J408" i="2"/>
  <c r="U401" i="2"/>
  <c r="F395" i="2"/>
  <c r="R388" i="2"/>
  <c r="C382" i="2"/>
  <c r="N375" i="2"/>
  <c r="Z368" i="2"/>
  <c r="K362" i="2"/>
  <c r="V355" i="2"/>
  <c r="H349" i="2"/>
  <c r="S342" i="2"/>
  <c r="D336" i="2"/>
  <c r="P329" i="2"/>
  <c r="A323" i="2"/>
  <c r="L316" i="2"/>
  <c r="X309" i="2"/>
  <c r="I303" i="2"/>
  <c r="T296" i="2"/>
  <c r="F290" i="2"/>
  <c r="Q283" i="2"/>
  <c r="B277" i="2"/>
  <c r="N270" i="2"/>
  <c r="Y263" i="2"/>
  <c r="J257" i="2"/>
  <c r="V250" i="2"/>
  <c r="G244" i="2"/>
  <c r="R237" i="2"/>
  <c r="D231" i="2"/>
  <c r="O224" i="2"/>
  <c r="Z217" i="2"/>
  <c r="L211" i="2"/>
  <c r="W204" i="2"/>
  <c r="H198" i="2"/>
  <c r="T191" i="2"/>
  <c r="E185" i="2"/>
  <c r="P178" i="2"/>
  <c r="B172" i="2"/>
  <c r="M165" i="2"/>
  <c r="X158" i="2"/>
  <c r="J152" i="2"/>
  <c r="U145" i="2"/>
  <c r="F139" i="2"/>
  <c r="R132" i="2"/>
  <c r="C126" i="2"/>
  <c r="N119" i="2"/>
  <c r="Z112" i="2"/>
  <c r="K106" i="2"/>
  <c r="V99" i="2"/>
  <c r="H93" i="2"/>
  <c r="S86" i="2"/>
  <c r="D80" i="2"/>
  <c r="P73" i="2"/>
  <c r="A67" i="2"/>
  <c r="L60" i="2"/>
  <c r="X53" i="2"/>
  <c r="I47" i="2"/>
  <c r="T40" i="2"/>
  <c r="F34" i="2"/>
  <c r="Q27" i="2"/>
  <c r="B21" i="2"/>
  <c r="N14" i="2"/>
  <c r="X7" i="2"/>
  <c r="J333" i="17"/>
  <c r="H103" i="12"/>
  <c r="E244" i="6"/>
  <c r="B411" i="5"/>
  <c r="N308" i="5"/>
  <c r="F206" i="5"/>
  <c r="R103" i="5"/>
  <c r="I408" i="3"/>
  <c r="G282" i="3"/>
  <c r="AH155" i="3"/>
  <c r="A29" i="3"/>
  <c r="J309" i="17"/>
  <c r="H71" i="12"/>
  <c r="E216" i="6"/>
  <c r="N396" i="5"/>
  <c r="F294" i="5"/>
  <c r="R191" i="5"/>
  <c r="J89" i="5"/>
  <c r="AG390" i="3"/>
  <c r="H264" i="3"/>
  <c r="A138" i="3"/>
  <c r="AJ16" i="3"/>
  <c r="V396" i="2"/>
  <c r="M383" i="2"/>
  <c r="J370" i="2"/>
  <c r="F357" i="2"/>
  <c r="G342" i="2"/>
  <c r="D329" i="2"/>
  <c r="Z315" i="2"/>
  <c r="R302" i="2"/>
  <c r="Y289" i="2"/>
  <c r="A277" i="2"/>
  <c r="C264" i="2"/>
  <c r="J251" i="2"/>
  <c r="V236" i="2"/>
  <c r="M223" i="2"/>
  <c r="O210" i="2"/>
  <c r="L198" i="2"/>
  <c r="Y185" i="2"/>
  <c r="A173" i="2"/>
  <c r="C160" i="2"/>
  <c r="E147" i="2"/>
  <c r="F133" i="2"/>
  <c r="C120" i="2"/>
  <c r="Z106" i="2"/>
  <c r="G94" i="2"/>
  <c r="T81" i="2"/>
  <c r="K68" i="2"/>
  <c r="H55" i="2"/>
  <c r="J42" i="2"/>
  <c r="L29" i="2"/>
  <c r="X15" i="2"/>
  <c r="C139" i="23"/>
  <c r="J17" i="17"/>
  <c r="C28" i="8"/>
  <c r="E94" i="6"/>
  <c r="R347" i="5"/>
  <c r="J245" i="5"/>
  <c r="B143" i="5"/>
  <c r="N40" i="5"/>
  <c r="AI326" i="3"/>
  <c r="A200" i="3"/>
  <c r="J73" i="3"/>
  <c r="O410" i="2"/>
  <c r="X400" i="2"/>
  <c r="Z387" i="2"/>
  <c r="R374" i="2"/>
  <c r="N361" i="2"/>
  <c r="F348" i="2"/>
  <c r="D337" i="2"/>
  <c r="Z323" i="2"/>
  <c r="W310" i="2"/>
  <c r="T297" i="2"/>
  <c r="K284" i="2"/>
  <c r="B271" i="2"/>
  <c r="T257" i="2"/>
  <c r="K244" i="2"/>
  <c r="H232" i="2"/>
  <c r="J219" i="2"/>
  <c r="R206" i="2"/>
  <c r="X191" i="2"/>
  <c r="D178" i="2"/>
  <c r="A165" i="2"/>
  <c r="M151" i="2"/>
  <c r="Z138" i="2"/>
  <c r="B126" i="2"/>
  <c r="X112" i="2"/>
  <c r="P99" i="2"/>
  <c r="V85" i="2"/>
  <c r="X72" i="2"/>
  <c r="U59" i="2"/>
  <c r="G46" i="2"/>
  <c r="X32" i="2"/>
  <c r="Z19" i="2"/>
  <c r="G7" i="2"/>
  <c r="B163" i="23"/>
  <c r="K296" i="17"/>
  <c r="J8" i="17"/>
  <c r="H202" i="11"/>
  <c r="G45" i="25"/>
  <c r="O328" i="17"/>
  <c r="O104" i="17"/>
  <c r="B132" i="12"/>
  <c r="H75" i="11"/>
  <c r="F348" i="17"/>
  <c r="H114" i="12"/>
  <c r="F240" i="6"/>
  <c r="F16" i="6"/>
  <c r="O330" i="5"/>
  <c r="G228" i="5"/>
  <c r="O138" i="5"/>
  <c r="G36" i="5"/>
  <c r="G324" i="3"/>
  <c r="E229" i="3"/>
  <c r="AF102" i="3"/>
  <c r="B52" i="22"/>
  <c r="E59" i="15"/>
  <c r="B12" i="8"/>
  <c r="H133" i="6"/>
  <c r="I409" i="5"/>
  <c r="M364" i="5"/>
  <c r="I313" i="5"/>
  <c r="Q287" i="5"/>
  <c r="I249" i="5"/>
  <c r="E198" i="5"/>
  <c r="I153" i="5"/>
  <c r="E102" i="5"/>
  <c r="I57" i="5"/>
  <c r="L12" i="5"/>
  <c r="AJ357" i="3"/>
  <c r="B295" i="3"/>
  <c r="AE231" i="3"/>
  <c r="G176" i="3"/>
  <c r="AI120" i="3"/>
  <c r="AD57" i="3"/>
  <c r="F2" i="20"/>
  <c r="B90" i="17"/>
  <c r="A185" i="11"/>
  <c r="C176" i="6"/>
  <c r="P381" i="5"/>
  <c r="H279" i="5"/>
  <c r="P189" i="5"/>
  <c r="L74" i="5"/>
  <c r="E371" i="3"/>
  <c r="AI244" i="3"/>
  <c r="E118" i="3"/>
  <c r="A7" i="3"/>
  <c r="B235" i="17"/>
  <c r="A205" i="11"/>
  <c r="G151" i="6"/>
  <c r="T371" i="5"/>
  <c r="P256" i="5"/>
  <c r="T183" i="5"/>
  <c r="H126" i="5"/>
  <c r="D75" i="5"/>
  <c r="T23" i="5"/>
  <c r="A372" i="3"/>
  <c r="AI316" i="3"/>
  <c r="I253" i="3"/>
  <c r="F182" i="3"/>
  <c r="C111" i="3"/>
  <c r="AH39" i="3"/>
  <c r="G166" i="19"/>
  <c r="H227" i="12"/>
  <c r="A285" i="6"/>
  <c r="A29" i="6"/>
  <c r="B348" i="5"/>
  <c r="J258" i="5"/>
  <c r="B156" i="5"/>
  <c r="J66" i="5"/>
  <c r="G361" i="3"/>
  <c r="B235" i="3"/>
  <c r="I108" i="3"/>
  <c r="E529" i="25"/>
  <c r="J208" i="17"/>
  <c r="F9" i="9"/>
  <c r="A164" i="6"/>
  <c r="R338" i="5"/>
  <c r="F185" i="5"/>
  <c r="F57" i="5"/>
  <c r="AI365" i="3"/>
  <c r="AJ302" i="3"/>
  <c r="I239" i="3"/>
  <c r="F176" i="3"/>
  <c r="AJ112" i="3"/>
  <c r="J49" i="3"/>
  <c r="U412" i="2"/>
  <c r="Y402" i="2"/>
  <c r="C393" i="2"/>
  <c r="G383" i="2"/>
  <c r="K373" i="2"/>
  <c r="O363" i="2"/>
  <c r="S353" i="2"/>
  <c r="K341" i="2"/>
  <c r="O331" i="2"/>
  <c r="S321" i="2"/>
  <c r="K309" i="2"/>
  <c r="C297" i="2"/>
  <c r="A270" i="2"/>
  <c r="U254" i="2"/>
  <c r="K247" i="2"/>
  <c r="C235" i="2"/>
  <c r="G225" i="2"/>
  <c r="E214" i="2"/>
  <c r="W201" i="2"/>
  <c r="O189" i="2"/>
  <c r="S179" i="2"/>
  <c r="Q168" i="2"/>
  <c r="G161" i="2"/>
  <c r="S147" i="2"/>
  <c r="C139" i="2"/>
  <c r="A128" i="2"/>
  <c r="M114" i="2"/>
  <c r="Q104" i="2"/>
  <c r="U94" i="2"/>
  <c r="E86" i="2"/>
  <c r="I76" i="2"/>
  <c r="M66" i="2"/>
  <c r="Q56" i="2"/>
  <c r="U46" i="2"/>
  <c r="S35" i="2"/>
  <c r="W25" i="2"/>
  <c r="A16" i="2"/>
  <c r="I557" i="25"/>
  <c r="F3" i="19"/>
  <c r="J107" i="17"/>
  <c r="C133" i="12"/>
  <c r="C29" i="8"/>
  <c r="E195" i="6"/>
  <c r="E51" i="6"/>
  <c r="N382" i="5"/>
  <c r="R337" i="5"/>
  <c r="N286" i="5"/>
  <c r="B229" i="5"/>
  <c r="F184" i="5"/>
  <c r="N126" i="5"/>
  <c r="J75" i="5"/>
  <c r="N30" i="5"/>
  <c r="H380" i="3"/>
  <c r="I317" i="3"/>
  <c r="D246" i="3"/>
  <c r="AJ182" i="3"/>
  <c r="AE119" i="3"/>
  <c r="F56" i="3"/>
  <c r="AF15" i="3"/>
  <c r="J73" i="17"/>
  <c r="E106" i="6"/>
  <c r="J253" i="5"/>
  <c r="B23" i="5"/>
  <c r="H182" i="3"/>
  <c r="A407" i="2"/>
  <c r="N395" i="2"/>
  <c r="D379" i="2"/>
  <c r="J364" i="2"/>
  <c r="F351" i="2"/>
  <c r="L336" i="2"/>
  <c r="Z324" i="2"/>
  <c r="M313" i="2"/>
  <c r="S298" i="2"/>
  <c r="P285" i="2"/>
  <c r="L272" i="2"/>
  <c r="Z260" i="2"/>
  <c r="D251" i="2"/>
  <c r="O244" i="2"/>
  <c r="Z237" i="2"/>
  <c r="U229" i="2"/>
  <c r="F223" i="2"/>
  <c r="T211" i="2"/>
  <c r="P198" i="2"/>
  <c r="T188" i="2"/>
  <c r="Z173" i="2"/>
  <c r="N162" i="2"/>
  <c r="A151" i="2"/>
  <c r="X137" i="2"/>
  <c r="K126" i="2"/>
  <c r="Q111" i="2"/>
  <c r="W96" i="2"/>
  <c r="A87" i="2"/>
  <c r="N75" i="2"/>
  <c r="K62" i="2"/>
  <c r="O52" i="2"/>
  <c r="L39" i="2"/>
  <c r="Y27" i="2"/>
  <c r="V14" i="2"/>
  <c r="T405" i="2"/>
  <c r="P392" i="2"/>
  <c r="M379" i="2"/>
  <c r="S364" i="2"/>
  <c r="Y349" i="2"/>
  <c r="V336" i="2"/>
  <c r="B322" i="2"/>
  <c r="H307" i="2"/>
  <c r="N292" i="2"/>
  <c r="C276" i="2"/>
  <c r="I261" i="2"/>
  <c r="F248" i="2"/>
  <c r="L233" i="2"/>
  <c r="H220" i="2"/>
  <c r="N205" i="2"/>
  <c r="K192" i="2"/>
  <c r="H179" i="2"/>
  <c r="N164" i="2"/>
  <c r="J151" i="2"/>
  <c r="X139" i="2"/>
  <c r="K128" i="2"/>
  <c r="X116" i="2"/>
  <c r="U103" i="2"/>
  <c r="R90" i="2"/>
  <c r="N77" i="2"/>
  <c r="T62" i="2"/>
  <c r="Q49" i="2"/>
  <c r="N36" i="2"/>
  <c r="J23" i="2"/>
  <c r="F10" i="2"/>
  <c r="L404" i="2"/>
  <c r="I391" i="2"/>
  <c r="O376" i="2"/>
  <c r="L363" i="2"/>
  <c r="P353" i="2"/>
  <c r="E337" i="2"/>
  <c r="K322" i="2"/>
  <c r="H309" i="2"/>
  <c r="N294" i="2"/>
  <c r="J281" i="2"/>
  <c r="X269" i="2"/>
  <c r="T256" i="2"/>
  <c r="Q243" i="2"/>
  <c r="F227" i="2"/>
  <c r="T215" i="2"/>
  <c r="G204" i="2"/>
  <c r="D191" i="2"/>
  <c r="J176" i="2"/>
  <c r="F163" i="2"/>
  <c r="T151" i="2"/>
  <c r="P138" i="2"/>
  <c r="D127" i="2"/>
  <c r="Q115" i="2"/>
  <c r="N102" i="2"/>
  <c r="J89" i="2"/>
  <c r="P74" i="2"/>
  <c r="M61" i="2"/>
  <c r="S46" i="2"/>
  <c r="P33" i="2"/>
  <c r="L20" i="2"/>
  <c r="O10" i="2"/>
  <c r="J157" i="17"/>
  <c r="E220" i="6"/>
  <c r="B299" i="5"/>
  <c r="F94" i="5"/>
  <c r="D302" i="3"/>
  <c r="AH48" i="3"/>
  <c r="D76" i="11"/>
  <c r="F310" i="5"/>
  <c r="J105" i="5"/>
  <c r="G284" i="3"/>
  <c r="AJ30" i="3"/>
  <c r="N385" i="2"/>
  <c r="O362" i="2"/>
  <c r="L334" i="2"/>
  <c r="Z307" i="2"/>
  <c r="Y281" i="2"/>
  <c r="F253" i="2"/>
  <c r="G222" i="2"/>
  <c r="L197" i="2"/>
  <c r="B175" i="2"/>
  <c r="F149" i="2"/>
  <c r="D122" i="2"/>
  <c r="H80" i="2"/>
  <c r="I57" i="2"/>
  <c r="M31" i="2"/>
  <c r="A357" i="25"/>
  <c r="G49" i="11"/>
  <c r="F338" i="5"/>
  <c r="J133" i="5"/>
  <c r="H346" i="3"/>
  <c r="B125" i="3"/>
  <c r="Z402" i="2"/>
  <c r="D370" i="2"/>
  <c r="E339" i="2"/>
  <c r="F316" i="2"/>
  <c r="L286" i="2"/>
  <c r="H263" i="2"/>
  <c r="Z242" i="2"/>
  <c r="D218" i="2"/>
  <c r="E187" i="2"/>
  <c r="H160" i="2"/>
  <c r="R134" i="2"/>
  <c r="K108" i="2"/>
  <c r="I81" i="2"/>
  <c r="P51" i="2"/>
  <c r="T18" i="2"/>
  <c r="D111" i="22"/>
  <c r="A242" i="17"/>
  <c r="G77" i="15"/>
  <c r="H65" i="22"/>
  <c r="D227" i="17"/>
  <c r="F5" i="15"/>
  <c r="B198" i="11"/>
  <c r="F467" i="25"/>
  <c r="K352" i="17"/>
  <c r="K128" i="17"/>
  <c r="G163" i="12"/>
  <c r="H106" i="11"/>
  <c r="H187" i="22"/>
  <c r="O256" i="17"/>
  <c r="D109" i="15"/>
  <c r="C193" i="11"/>
  <c r="B14" i="19"/>
  <c r="F93" i="12"/>
  <c r="F232" i="6"/>
  <c r="K391" i="5"/>
  <c r="S301" i="5"/>
  <c r="K199" i="5"/>
  <c r="C97" i="5"/>
  <c r="J7" i="5"/>
  <c r="AG288" i="3"/>
  <c r="A178" i="3"/>
  <c r="E51" i="3"/>
  <c r="N279" i="17"/>
  <c r="H24" i="12"/>
  <c r="H254" i="6"/>
  <c r="H65" i="6"/>
  <c r="A395" i="5"/>
  <c r="I337" i="5"/>
  <c r="M292" i="5"/>
  <c r="A235" i="5"/>
  <c r="I177" i="5"/>
  <c r="Q119" i="5"/>
  <c r="M68" i="5"/>
  <c r="I17" i="5"/>
  <c r="A356" i="3"/>
  <c r="B301" i="3"/>
  <c r="AD237" i="3"/>
  <c r="H174" i="3"/>
  <c r="AH126" i="3"/>
  <c r="H63" i="3"/>
  <c r="D237" i="22"/>
  <c r="A10" i="17"/>
  <c r="A16" i="8"/>
  <c r="C104" i="6"/>
  <c r="P365" i="5"/>
  <c r="H263" i="5"/>
  <c r="D148" i="5"/>
  <c r="P45" i="5"/>
  <c r="AG335" i="3"/>
  <c r="C209" i="3"/>
  <c r="AE82" i="3"/>
  <c r="F104" i="23"/>
  <c r="B27" i="17"/>
  <c r="F10" i="7"/>
  <c r="G15" i="6"/>
  <c r="P304" i="5"/>
  <c r="P210" i="5"/>
  <c r="P156" i="5"/>
  <c r="D99" i="5"/>
  <c r="L41" i="5"/>
  <c r="AD393" i="3"/>
  <c r="AH322" i="3"/>
  <c r="I251" i="3"/>
  <c r="F180" i="3"/>
  <c r="C109" i="3"/>
  <c r="AF45" i="3"/>
  <c r="H278" i="25"/>
  <c r="J166" i="17"/>
  <c r="A195" i="11"/>
  <c r="A181" i="6"/>
  <c r="J370" i="5"/>
  <c r="B268" i="5"/>
  <c r="N165" i="5"/>
  <c r="F63" i="5"/>
  <c r="H357" i="3"/>
  <c r="AJ246" i="3"/>
  <c r="G120" i="3"/>
  <c r="B8" i="3"/>
  <c r="J128" i="17"/>
  <c r="G37" i="8"/>
  <c r="A124" i="6"/>
  <c r="F361" i="5"/>
  <c r="R258" i="5"/>
  <c r="F169" i="5"/>
  <c r="R66" i="5"/>
  <c r="AF377" i="3"/>
  <c r="D346" i="3"/>
  <c r="AE219" i="3"/>
  <c r="A109" i="3"/>
  <c r="F10" i="3"/>
  <c r="Y394" i="2"/>
  <c r="G375" i="2"/>
  <c r="Q350" i="2"/>
  <c r="K333" i="2"/>
  <c r="S313" i="2"/>
  <c r="O291" i="2"/>
  <c r="U276" i="2"/>
  <c r="I258" i="2"/>
  <c r="S249" i="2"/>
  <c r="K237" i="2"/>
  <c r="I226" i="2"/>
  <c r="G215" i="2"/>
  <c r="K205" i="2"/>
  <c r="U196" i="2"/>
  <c r="E188" i="2"/>
  <c r="I178" i="2"/>
  <c r="M168" i="2"/>
  <c r="Q158" i="2"/>
  <c r="U148" i="2"/>
  <c r="E140" i="2"/>
  <c r="I130" i="2"/>
  <c r="S121" i="2"/>
  <c r="Q110" i="2"/>
  <c r="U100" i="2"/>
  <c r="Y90" i="2"/>
  <c r="Q78" i="2"/>
  <c r="I66" i="2"/>
  <c r="Y58" i="2"/>
  <c r="A54" i="2"/>
  <c r="C49" i="2"/>
  <c r="Y42" i="2"/>
  <c r="I34" i="2"/>
  <c r="S25" i="2"/>
  <c r="C17" i="2"/>
  <c r="F7" i="2"/>
  <c r="G202" i="19"/>
  <c r="J231" i="17"/>
  <c r="B19" i="14"/>
  <c r="D196" i="11"/>
  <c r="E289" i="6"/>
  <c r="E161" i="6"/>
  <c r="E49" i="6"/>
  <c r="R381" i="5"/>
  <c r="F324" i="5"/>
  <c r="J279" i="5"/>
  <c r="J215" i="5"/>
  <c r="R157" i="5"/>
  <c r="F100" i="5"/>
  <c r="B49" i="5"/>
  <c r="D395" i="3"/>
  <c r="E332" i="3"/>
  <c r="AI276" i="3"/>
  <c r="G221" i="3"/>
  <c r="I134" i="3"/>
  <c r="F55" i="3"/>
  <c r="A182" i="23"/>
  <c r="G145" i="11"/>
  <c r="F378" i="5"/>
  <c r="J173" i="5"/>
  <c r="C368" i="3"/>
  <c r="I83" i="3"/>
  <c r="N403" i="2"/>
  <c r="T388" i="2"/>
  <c r="Q375" i="2"/>
  <c r="N362" i="2"/>
  <c r="J349" i="2"/>
  <c r="Z332" i="2"/>
  <c r="M321" i="2"/>
  <c r="Z309" i="2"/>
  <c r="W296" i="2"/>
  <c r="J285" i="2"/>
  <c r="G272" i="2"/>
  <c r="D259" i="2"/>
  <c r="Q247" i="2"/>
  <c r="W232" i="2"/>
  <c r="C218" i="2"/>
  <c r="I203" i="2"/>
  <c r="F190" i="2"/>
  <c r="D172" i="2"/>
  <c r="J157" i="2"/>
  <c r="P142" i="2"/>
  <c r="M129" i="2"/>
  <c r="S114" i="2"/>
  <c r="P101" i="2"/>
  <c r="L88" i="2"/>
  <c r="Z76" i="2"/>
  <c r="M65" i="2"/>
  <c r="J52" i="2"/>
  <c r="F39" i="2"/>
  <c r="C26" i="2"/>
  <c r="Z12" i="2"/>
  <c r="N405" i="2"/>
  <c r="R395" i="2"/>
  <c r="O382" i="2"/>
  <c r="U367" i="2"/>
  <c r="A353" i="2"/>
  <c r="P336" i="2"/>
  <c r="M323" i="2"/>
  <c r="S308" i="2"/>
  <c r="Y293" i="2"/>
  <c r="E279" i="2"/>
  <c r="K264" i="2"/>
  <c r="Q249" i="2"/>
  <c r="N236" i="2"/>
  <c r="A225" i="2"/>
  <c r="N213" i="2"/>
  <c r="R203" i="2"/>
  <c r="F192" i="2"/>
  <c r="S180" i="2"/>
  <c r="P167" i="2"/>
  <c r="C156" i="2"/>
  <c r="Z142" i="2"/>
  <c r="V129" i="2"/>
  <c r="S116" i="2"/>
  <c r="P103" i="2"/>
  <c r="V88" i="2"/>
  <c r="B74" i="2"/>
  <c r="Q57" i="2"/>
  <c r="N44" i="2"/>
  <c r="T29" i="2"/>
  <c r="I13" i="2"/>
  <c r="G404" i="2"/>
  <c r="T392" i="2"/>
  <c r="Z377" i="2"/>
  <c r="F363" i="2"/>
  <c r="V346" i="2"/>
  <c r="R333" i="2"/>
  <c r="Q315" i="2"/>
  <c r="D304" i="2"/>
  <c r="R292" i="2"/>
  <c r="N279" i="2"/>
  <c r="K266" i="2"/>
  <c r="H253" i="2"/>
  <c r="N238" i="2"/>
  <c r="T223" i="2"/>
  <c r="G212" i="2"/>
  <c r="D199" i="2"/>
  <c r="S182" i="2"/>
  <c r="P169" i="2"/>
  <c r="C158" i="2"/>
  <c r="I143" i="2"/>
  <c r="F130" i="2"/>
  <c r="B117" i="2"/>
  <c r="P105" i="2"/>
  <c r="C94" i="2"/>
  <c r="I79" i="2"/>
  <c r="V67" i="2"/>
  <c r="S54" i="2"/>
  <c r="P41" i="2"/>
  <c r="E25" i="2"/>
  <c r="A12" i="2"/>
  <c r="B34" i="19"/>
  <c r="F18" i="12"/>
  <c r="E20" i="6"/>
  <c r="B219" i="5"/>
  <c r="AG392" i="3"/>
  <c r="AJ139" i="3"/>
  <c r="J245" i="17"/>
  <c r="E184" i="6"/>
  <c r="J281" i="5"/>
  <c r="AD406" i="3"/>
  <c r="B122" i="3"/>
  <c r="E395" i="2"/>
  <c r="S368" i="2"/>
  <c r="V340" i="2"/>
  <c r="B311" i="2"/>
  <c r="A285" i="2"/>
  <c r="X255" i="2"/>
  <c r="C232" i="2"/>
  <c r="F205" i="2"/>
  <c r="F181" i="2"/>
  <c r="J155" i="2"/>
  <c r="H128" i="2"/>
  <c r="N105" i="2"/>
  <c r="X79" i="2"/>
  <c r="X56" i="2"/>
  <c r="A21" i="2"/>
  <c r="J209" i="17"/>
  <c r="E254" i="6"/>
  <c r="J309" i="5"/>
  <c r="N104" i="5"/>
  <c r="G279" i="3"/>
  <c r="A26" i="3"/>
  <c r="Q389" i="2"/>
  <c r="E363" i="2"/>
  <c r="M335" i="2"/>
  <c r="Y305" i="2"/>
  <c r="M279" i="2"/>
  <c r="P252" i="2"/>
  <c r="U227" i="2"/>
  <c r="P196" i="2"/>
  <c r="X159" i="2"/>
  <c r="Z130" i="2"/>
  <c r="F101" i="2"/>
  <c r="J74" i="2"/>
  <c r="X47" i="2"/>
  <c r="X24" i="2"/>
  <c r="D121" i="2"/>
  <c r="J18" i="2"/>
  <c r="S64" i="2"/>
  <c r="AG314" i="3"/>
  <c r="AG203" i="3"/>
  <c r="F77" i="3"/>
  <c r="S409" i="2"/>
  <c r="A390" i="2"/>
  <c r="I370" i="2"/>
  <c r="S345" i="2"/>
  <c r="M328" i="2"/>
  <c r="I306" i="2"/>
  <c r="C289" i="2"/>
  <c r="W271" i="2"/>
  <c r="W255" i="2"/>
  <c r="G247" i="2"/>
  <c r="S233" i="2"/>
  <c r="Q222" i="2"/>
  <c r="U212" i="2"/>
  <c r="Y202" i="2"/>
  <c r="I194" i="2"/>
  <c r="S185" i="2"/>
  <c r="W175" i="2"/>
  <c r="A166" i="2"/>
  <c r="E156" i="2"/>
  <c r="I146" i="2"/>
  <c r="S137" i="2"/>
  <c r="C129" i="2"/>
  <c r="G119" i="2"/>
  <c r="E108" i="2"/>
  <c r="I98" i="2"/>
  <c r="M88" i="2"/>
  <c r="Y74" i="2"/>
  <c r="W63" i="2"/>
  <c r="S57" i="2"/>
  <c r="U52" i="2"/>
  <c r="W47" i="2"/>
  <c r="M40" i="2"/>
  <c r="W31" i="2"/>
  <c r="G23" i="2"/>
  <c r="Q14" i="2"/>
  <c r="A520" i="25"/>
  <c r="G18" i="18"/>
  <c r="J167" i="17"/>
  <c r="F170" i="12"/>
  <c r="A111" i="11"/>
  <c r="E257" i="6"/>
  <c r="E145" i="6"/>
  <c r="E17" i="6"/>
  <c r="N362" i="5"/>
  <c r="J311" i="5"/>
  <c r="N266" i="5"/>
  <c r="N202" i="5"/>
  <c r="N138" i="5"/>
  <c r="J87" i="5"/>
  <c r="R29" i="5"/>
  <c r="H379" i="3"/>
  <c r="I316" i="3"/>
  <c r="AJ260" i="3"/>
  <c r="I205" i="3"/>
  <c r="AE118" i="3"/>
  <c r="H39" i="3"/>
  <c r="J313" i="17"/>
  <c r="E290" i="6"/>
  <c r="B327" i="5"/>
  <c r="R147" i="5"/>
  <c r="D305" i="3"/>
  <c r="AG21" i="3"/>
  <c r="P398" i="2"/>
  <c r="M385" i="2"/>
  <c r="J372" i="2"/>
  <c r="F359" i="2"/>
  <c r="C346" i="2"/>
  <c r="R329" i="2"/>
  <c r="F318" i="2"/>
  <c r="J308" i="2"/>
  <c r="P293" i="2"/>
  <c r="C282" i="2"/>
  <c r="Z268" i="2"/>
  <c r="V255" i="2"/>
  <c r="J244" i="2"/>
  <c r="P229" i="2"/>
  <c r="V214" i="2"/>
  <c r="B200" i="2"/>
  <c r="H185" i="2"/>
  <c r="W168" i="2"/>
  <c r="C154" i="2"/>
  <c r="I139" i="2"/>
  <c r="F126" i="2"/>
  <c r="L111" i="2"/>
  <c r="H98" i="2"/>
  <c r="V86" i="2"/>
  <c r="I75" i="2"/>
  <c r="F62" i="2"/>
  <c r="B49" i="2"/>
  <c r="Y35" i="2"/>
  <c r="V22" i="2"/>
  <c r="Q9" i="2"/>
  <c r="G402" i="2"/>
  <c r="K392" i="2"/>
  <c r="H379" i="2"/>
  <c r="W362" i="2"/>
  <c r="C348" i="2"/>
  <c r="I333" i="2"/>
  <c r="F320" i="2"/>
  <c r="U303" i="2"/>
  <c r="A289" i="2"/>
  <c r="X275" i="2"/>
  <c r="D261" i="2"/>
  <c r="J246" i="2"/>
  <c r="F233" i="2"/>
  <c r="T221" i="2"/>
  <c r="G210" i="2"/>
  <c r="K200" i="2"/>
  <c r="X188" i="2"/>
  <c r="L177" i="2"/>
  <c r="Y165" i="2"/>
  <c r="V152" i="2"/>
  <c r="R139" i="2"/>
  <c r="O126" i="2"/>
  <c r="L113" i="2"/>
  <c r="H100" i="2"/>
  <c r="X83" i="2"/>
  <c r="T70" i="2"/>
  <c r="J54" i="2"/>
  <c r="F41" i="2"/>
  <c r="V24" i="2"/>
  <c r="A10" i="2"/>
  <c r="Z400" i="2"/>
  <c r="M389" i="2"/>
  <c r="S374" i="2"/>
  <c r="R356" i="2"/>
  <c r="N343" i="2"/>
  <c r="T328" i="2"/>
  <c r="J312" i="2"/>
  <c r="W300" i="2"/>
  <c r="A291" i="2"/>
  <c r="G276" i="2"/>
  <c r="D263" i="2"/>
  <c r="Z249" i="2"/>
  <c r="F235" i="2"/>
  <c r="L220" i="2"/>
  <c r="Z208" i="2"/>
  <c r="F194" i="2"/>
  <c r="L179" i="2"/>
  <c r="H166" i="2"/>
  <c r="V154" i="2"/>
  <c r="B140" i="2"/>
  <c r="X126" i="2"/>
  <c r="U113" i="2"/>
  <c r="Y103" i="2"/>
  <c r="V90" i="2"/>
  <c r="R77" i="2"/>
  <c r="O64" i="2"/>
  <c r="L51" i="2"/>
  <c r="H38" i="2"/>
  <c r="X21" i="2"/>
  <c r="S8" i="2"/>
  <c r="J269" i="17"/>
  <c r="C18" i="8"/>
  <c r="N372" i="5"/>
  <c r="R167" i="5"/>
  <c r="AH329" i="3"/>
  <c r="J76" i="3"/>
  <c r="A108" i="15"/>
  <c r="E56" i="6"/>
  <c r="F230" i="5"/>
  <c r="B312" i="3"/>
  <c r="AF58" i="3"/>
  <c r="F388" i="2"/>
  <c r="D362" i="2"/>
  <c r="B334" i="2"/>
  <c r="H304" i="2"/>
  <c r="L278" i="2"/>
  <c r="V252" i="2"/>
  <c r="D225" i="2"/>
  <c r="C200" i="2"/>
  <c r="Y177" i="2"/>
  <c r="V148" i="2"/>
  <c r="T121" i="2"/>
  <c r="Z98" i="2"/>
  <c r="D73" i="2"/>
  <c r="Z43" i="2"/>
  <c r="G14" i="2"/>
  <c r="A4" i="15"/>
  <c r="E126" i="6"/>
  <c r="F258" i="5"/>
  <c r="J53" i="5"/>
  <c r="AJ215" i="3"/>
  <c r="J411" i="2"/>
  <c r="P379" i="2"/>
  <c r="D353" i="2"/>
  <c r="Q325" i="2"/>
  <c r="P299" i="2"/>
  <c r="S272" i="2"/>
  <c r="V245" i="2"/>
  <c r="F221" i="2"/>
  <c r="T186" i="2"/>
  <c r="D153" i="2"/>
  <c r="B71" i="2"/>
  <c r="C283" i="3"/>
  <c r="G172" i="3"/>
  <c r="H61" i="3"/>
  <c r="U404" i="2"/>
  <c r="C385" i="2"/>
  <c r="K365" i="2"/>
  <c r="G343" i="2"/>
  <c r="O323" i="2"/>
  <c r="K301" i="2"/>
  <c r="Q286" i="2"/>
  <c r="Y266" i="2"/>
  <c r="Q254" i="2"/>
  <c r="U244" i="2"/>
  <c r="G231" i="2"/>
  <c r="E220" i="2"/>
  <c r="I210" i="2"/>
  <c r="M200" i="2"/>
  <c r="C193" i="2"/>
  <c r="G183" i="2"/>
  <c r="K173" i="2"/>
  <c r="O163" i="2"/>
  <c r="S153" i="2"/>
  <c r="W143" i="2"/>
  <c r="G135" i="2"/>
  <c r="Q126" i="2"/>
  <c r="U116" i="2"/>
  <c r="S105" i="2"/>
  <c r="W95" i="2"/>
  <c r="A86" i="2"/>
  <c r="G71" i="2"/>
  <c r="K61" i="2"/>
  <c r="M56" i="2"/>
  <c r="O51" i="2"/>
  <c r="Q46" i="2"/>
  <c r="G39" i="2"/>
  <c r="K29" i="2"/>
  <c r="U20" i="2"/>
  <c r="D12" i="2"/>
  <c r="I29" i="25"/>
  <c r="J359" i="17"/>
  <c r="J103" i="17"/>
  <c r="H127" i="12"/>
  <c r="G25" i="11"/>
  <c r="E225" i="6"/>
  <c r="E113" i="6"/>
  <c r="J407" i="5"/>
  <c r="R349" i="5"/>
  <c r="N298" i="5"/>
  <c r="R253" i="5"/>
  <c r="R189" i="5"/>
  <c r="R125" i="5"/>
  <c r="N74" i="5"/>
  <c r="B17" i="5"/>
  <c r="AE363" i="3"/>
  <c r="AG300" i="3"/>
  <c r="E245" i="3"/>
  <c r="C174" i="3"/>
  <c r="AG102" i="3"/>
  <c r="D19" i="3"/>
  <c r="J185" i="17"/>
  <c r="E162" i="6"/>
  <c r="R275" i="5"/>
  <c r="N96" i="5"/>
  <c r="AG241" i="3"/>
  <c r="T411" i="2"/>
  <c r="I395" i="2"/>
  <c r="F382" i="2"/>
  <c r="B369" i="2"/>
  <c r="Y355" i="2"/>
  <c r="E341" i="2"/>
  <c r="B328" i="2"/>
  <c r="O316" i="2"/>
  <c r="B305" i="2"/>
  <c r="H290" i="2"/>
  <c r="V278" i="2"/>
  <c r="R265" i="2"/>
  <c r="F254" i="2"/>
  <c r="B241" i="2"/>
  <c r="R224" i="2"/>
  <c r="N211" i="2"/>
  <c r="T196" i="2"/>
  <c r="J180" i="2"/>
  <c r="P165" i="2"/>
  <c r="E149" i="2"/>
  <c r="B136" i="2"/>
  <c r="X122" i="2"/>
  <c r="D108" i="2"/>
  <c r="A95" i="2"/>
  <c r="N83" i="2"/>
  <c r="B72" i="2"/>
  <c r="X58" i="2"/>
  <c r="U45" i="2"/>
  <c r="R32" i="2"/>
  <c r="N19" i="2"/>
  <c r="J6" i="2"/>
  <c r="P400" i="2"/>
  <c r="D389" i="2"/>
  <c r="Z375" i="2"/>
  <c r="P359" i="2"/>
  <c r="V344" i="2"/>
  <c r="B330" i="2"/>
  <c r="X316" i="2"/>
  <c r="N300" i="2"/>
  <c r="T285" i="2"/>
  <c r="P272" i="2"/>
  <c r="V257" i="2"/>
  <c r="B243" i="2"/>
  <c r="Y229" i="2"/>
  <c r="L218" i="2"/>
  <c r="Z206" i="2"/>
  <c r="T198" i="2"/>
  <c r="H187" i="2"/>
  <c r="D174" i="2"/>
  <c r="R162" i="2"/>
  <c r="N149" i="2"/>
  <c r="K136" i="2"/>
  <c r="H123" i="2"/>
  <c r="D110" i="2"/>
  <c r="A97" i="2"/>
  <c r="P80" i="2"/>
  <c r="M67" i="2"/>
  <c r="B51" i="2"/>
  <c r="Y37" i="2"/>
  <c r="X19" i="2"/>
  <c r="L412" i="2"/>
  <c r="I399" i="2"/>
  <c r="F386" i="2"/>
  <c r="U369" i="2"/>
  <c r="J353" i="2"/>
  <c r="G340" i="2"/>
  <c r="V323" i="2"/>
  <c r="B309" i="2"/>
  <c r="P297" i="2"/>
  <c r="T287" i="2"/>
  <c r="Z272" i="2"/>
  <c r="V259" i="2"/>
  <c r="S246" i="2"/>
  <c r="Y231" i="2"/>
  <c r="E217" i="2"/>
  <c r="R205" i="2"/>
  <c r="X190" i="2"/>
  <c r="D176" i="2"/>
  <c r="A163" i="2"/>
  <c r="X149" i="2"/>
  <c r="T136" i="2"/>
  <c r="Q123" i="2"/>
  <c r="N110" i="2"/>
  <c r="R100" i="2"/>
  <c r="X85" i="2"/>
  <c r="K74" i="2"/>
  <c r="H61" i="2"/>
  <c r="D48" i="2"/>
  <c r="A35" i="2"/>
  <c r="P18" i="2"/>
  <c r="F620" i="25"/>
  <c r="J141" i="17"/>
  <c r="E276" i="6"/>
  <c r="J321" i="5"/>
  <c r="N116" i="5"/>
  <c r="H266" i="3"/>
  <c r="AJ17" i="3"/>
  <c r="G225" i="11"/>
  <c r="R383" i="5"/>
  <c r="J153" i="5"/>
  <c r="AF248" i="3"/>
  <c r="AJ8" i="3"/>
  <c r="V381" i="2"/>
  <c r="P355" i="2"/>
  <c r="M327" i="2"/>
  <c r="Y297" i="2"/>
  <c r="V268" i="2"/>
  <c r="L246" i="2"/>
  <c r="T218" i="2"/>
  <c r="Y193" i="2"/>
  <c r="E171" i="2"/>
  <c r="Q141" i="2"/>
  <c r="E115" i="2"/>
  <c r="P92" i="2"/>
  <c r="B70" i="2"/>
  <c r="P35" i="2"/>
  <c r="L7" i="2"/>
  <c r="A199" i="11"/>
  <c r="R411" i="5"/>
  <c r="B207" i="5"/>
  <c r="AE405" i="3"/>
  <c r="AI152" i="3"/>
  <c r="C408" i="2"/>
  <c r="V372" i="2"/>
  <c r="T346" i="2"/>
  <c r="H319" i="2"/>
  <c r="K292" i="2"/>
  <c r="D266" i="2"/>
  <c r="N240" i="2"/>
  <c r="J211" i="2"/>
  <c r="H176" i="2"/>
  <c r="O146" i="2"/>
  <c r="O114" i="2"/>
  <c r="R87" i="2"/>
  <c r="Y11" i="2"/>
  <c r="G251" i="3"/>
  <c r="AF140" i="3"/>
  <c r="AF29" i="3"/>
  <c r="W399" i="2"/>
  <c r="E380" i="2"/>
  <c r="A358" i="2"/>
  <c r="I338" i="2"/>
  <c r="Q318" i="2"/>
  <c r="M296" i="2"/>
  <c r="S281" i="2"/>
  <c r="A262" i="2"/>
  <c r="E252" i="2"/>
  <c r="C241" i="2"/>
  <c r="U228" i="2"/>
  <c r="S217" i="2"/>
  <c r="W207" i="2"/>
  <c r="G199" i="2"/>
  <c r="Q190" i="2"/>
  <c r="U180" i="2"/>
  <c r="Y170" i="2"/>
  <c r="C161" i="2"/>
  <c r="G151" i="2"/>
  <c r="Q142" i="2"/>
  <c r="U132" i="2"/>
  <c r="E124" i="2"/>
  <c r="C113" i="2"/>
  <c r="G103" i="2"/>
  <c r="K93" i="2"/>
  <c r="I82" i="2"/>
  <c r="U68" i="2"/>
  <c r="E60" i="2"/>
  <c r="G55" i="2"/>
  <c r="I50" i="2"/>
  <c r="E44" i="2"/>
  <c r="U36" i="2"/>
  <c r="Y26" i="2"/>
  <c r="I18" i="2"/>
  <c r="R9" i="2"/>
  <c r="D213" i="22"/>
  <c r="J295" i="17"/>
  <c r="J39" i="17"/>
  <c r="F42" i="12"/>
  <c r="C27" i="8"/>
  <c r="E193" i="6"/>
  <c r="E81" i="6"/>
  <c r="N394" i="5"/>
  <c r="B337" i="5"/>
  <c r="R285" i="5"/>
  <c r="B241" i="5"/>
  <c r="B177" i="5"/>
  <c r="B113" i="5"/>
  <c r="R61" i="5"/>
  <c r="AJ410" i="3"/>
  <c r="AI347" i="3"/>
  <c r="AI284" i="3"/>
  <c r="F237" i="3"/>
  <c r="G150" i="3"/>
  <c r="B79" i="3"/>
  <c r="D11" i="3"/>
  <c r="B15" i="14"/>
  <c r="E34" i="6"/>
  <c r="N224" i="5"/>
  <c r="J45" i="5"/>
  <c r="J178" i="3"/>
  <c r="L408" i="2"/>
  <c r="B392" i="2"/>
  <c r="X378" i="2"/>
  <c r="U365" i="2"/>
  <c r="R352" i="2"/>
  <c r="G336" i="2"/>
  <c r="T324" i="2"/>
  <c r="H313" i="2"/>
  <c r="D300" i="2"/>
  <c r="A287" i="2"/>
  <c r="N275" i="2"/>
  <c r="K262" i="2"/>
  <c r="X250" i="2"/>
  <c r="U237" i="2"/>
  <c r="J221" i="2"/>
  <c r="G208" i="2"/>
  <c r="M193" i="2"/>
  <c r="B177" i="2"/>
  <c r="H162" i="2"/>
  <c r="X145" i="2"/>
  <c r="T132" i="2"/>
  <c r="Q119" i="2"/>
  <c r="W104" i="2"/>
  <c r="T91" i="2"/>
  <c r="G80" i="2"/>
  <c r="T68" i="2"/>
  <c r="Q55" i="2"/>
  <c r="N42" i="2"/>
  <c r="J29" i="2"/>
  <c r="P14" i="2"/>
  <c r="V408" i="2"/>
  <c r="I397" i="2"/>
  <c r="V385" i="2"/>
  <c r="B371" i="2"/>
  <c r="H356" i="2"/>
  <c r="X339" i="2"/>
  <c r="T326" i="2"/>
  <c r="Q313" i="2"/>
  <c r="F297" i="2"/>
  <c r="L282" i="2"/>
  <c r="R267" i="2"/>
  <c r="O254" i="2"/>
  <c r="U239" i="2"/>
  <c r="R226" i="2"/>
  <c r="V216" i="2"/>
  <c r="I205" i="2"/>
  <c r="M195" i="2"/>
  <c r="Z183" i="2"/>
  <c r="W170" i="2"/>
  <c r="J159" i="2"/>
  <c r="G146" i="2"/>
  <c r="D133" i="2"/>
  <c r="Z119" i="2"/>
  <c r="W106" i="2"/>
  <c r="C92" i="2"/>
  <c r="I77" i="2"/>
  <c r="O62" i="2"/>
  <c r="U47" i="2"/>
  <c r="A33" i="2"/>
  <c r="P16" i="2"/>
  <c r="E409" i="2"/>
  <c r="B396" i="2"/>
  <c r="X382" i="2"/>
  <c r="N366" i="2"/>
  <c r="C350" i="2"/>
  <c r="Z336" i="2"/>
  <c r="O320" i="2"/>
  <c r="U305" i="2"/>
  <c r="H294" i="2"/>
  <c r="V282" i="2"/>
  <c r="R269" i="2"/>
  <c r="O256" i="2"/>
  <c r="U241" i="2"/>
  <c r="R228" i="2"/>
  <c r="X213" i="2"/>
  <c r="K202" i="2"/>
  <c r="Q187" i="2"/>
  <c r="W172" i="2"/>
  <c r="J161" i="2"/>
  <c r="P146" i="2"/>
  <c r="M133" i="2"/>
  <c r="J120" i="2"/>
  <c r="W108" i="2"/>
  <c r="J97" i="2"/>
  <c r="P82" i="2"/>
  <c r="D71" i="2"/>
  <c r="Z57" i="2"/>
  <c r="W44" i="2"/>
  <c r="C30" i="2"/>
  <c r="I15" i="2"/>
  <c r="F32" i="23"/>
  <c r="C189" i="12"/>
  <c r="E148" i="6"/>
  <c r="F270" i="5"/>
  <c r="J65" i="5"/>
  <c r="A203" i="3"/>
  <c r="D181" i="22"/>
  <c r="C6" i="8"/>
  <c r="N332" i="5"/>
  <c r="N76" i="5"/>
  <c r="H185" i="3"/>
  <c r="N401" i="2"/>
  <c r="H375" i="2"/>
  <c r="F349" i="2"/>
  <c r="X320" i="2"/>
  <c r="P291" i="2"/>
  <c r="G262" i="2"/>
  <c r="L238" i="2"/>
  <c r="F212" i="2"/>
  <c r="J187" i="2"/>
  <c r="N161" i="2"/>
  <c r="W134" i="2"/>
  <c r="P108" i="2"/>
  <c r="G86" i="2"/>
  <c r="H63" i="2"/>
  <c r="P27" i="2"/>
  <c r="E6" i="21"/>
  <c r="D28" i="11"/>
  <c r="N360" i="5"/>
  <c r="R155" i="5"/>
  <c r="H342" i="3"/>
  <c r="H89" i="3"/>
  <c r="U395" i="2"/>
  <c r="T369" i="2"/>
  <c r="B342" i="2"/>
  <c r="H312" i="2"/>
  <c r="B286" i="2"/>
  <c r="P259" i="2"/>
  <c r="D234" i="2"/>
  <c r="A205" i="2"/>
  <c r="D170" i="2"/>
  <c r="I137" i="2"/>
  <c r="Z107" i="2"/>
  <c r="X80" i="2"/>
  <c r="D58" i="2"/>
  <c r="H31" i="2"/>
  <c r="L94" i="2"/>
  <c r="P44" i="2"/>
  <c r="P36" i="2"/>
  <c r="Z6" i="3" l="1" a="1"/>
  <c r="M6" i="3" a="1"/>
  <c r="W6" i="3" a="1"/>
  <c r="V6" i="3" a="1"/>
  <c r="X6" i="3" a="1"/>
  <c r="P6" i="3" a="1"/>
  <c r="L6" i="3" a="1"/>
  <c r="U6" i="3" a="1"/>
  <c r="T6" i="3" a="1"/>
  <c r="K6" i="3" a="1"/>
  <c r="O6" i="3" a="1"/>
  <c r="N6" i="3" a="1"/>
  <c r="Y6" i="3" a="1"/>
  <c r="Q6" i="3" a="1"/>
  <c r="R6" i="3" a="1"/>
  <c r="S6" i="3" a="1"/>
  <c r="L3" i="2"/>
  <c r="J3" i="5"/>
  <c r="X3" i="2"/>
  <c r="O3" i="2"/>
  <c r="I16" i="43"/>
  <c r="P216" i="17"/>
  <c r="P359" i="17"/>
  <c r="Q3" i="5"/>
  <c r="Y3" i="2"/>
  <c r="P3" i="2"/>
  <c r="M3" i="5"/>
  <c r="P200" i="17"/>
  <c r="P312" i="17"/>
  <c r="J3" i="2"/>
  <c r="I3" i="5"/>
  <c r="P3" i="5"/>
  <c r="P376" i="17"/>
  <c r="D5" i="3"/>
  <c r="P56" i="17"/>
  <c r="P280" i="17"/>
  <c r="P88" i="17"/>
  <c r="P199" i="17"/>
  <c r="P295" i="17"/>
  <c r="W3" i="2"/>
  <c r="Q41" i="26"/>
  <c r="N3" i="2"/>
  <c r="P232" i="17"/>
  <c r="P248" i="17"/>
  <c r="P184" i="17"/>
  <c r="P152" i="17"/>
  <c r="Q20" i="26"/>
  <c r="Z3" i="2"/>
  <c r="S3" i="5"/>
  <c r="P135" i="17"/>
  <c r="P231" i="17"/>
  <c r="P72" i="17"/>
  <c r="P328" i="17"/>
  <c r="H3" i="2"/>
  <c r="V3" i="2"/>
  <c r="I3" i="17"/>
  <c r="P120" i="17"/>
  <c r="P24" i="17"/>
  <c r="Q3" i="2"/>
  <c r="T3" i="2"/>
  <c r="K3" i="2"/>
  <c r="P344" i="17"/>
  <c r="P71" i="17"/>
  <c r="M3" i="2"/>
  <c r="P104" i="17"/>
  <c r="P360" i="17"/>
  <c r="P136" i="17"/>
  <c r="P264" i="17"/>
  <c r="P39" i="17"/>
  <c r="S3" i="2"/>
  <c r="I3" i="2"/>
  <c r="R3" i="2"/>
  <c r="P23" i="17"/>
  <c r="Q25" i="26"/>
  <c r="U3" i="2"/>
  <c r="P127" i="17"/>
  <c r="P167" i="17"/>
  <c r="P327" i="17"/>
  <c r="K3" i="5"/>
  <c r="P279" i="17"/>
  <c r="P40" i="17"/>
  <c r="P168" i="17"/>
  <c r="P296" i="17"/>
  <c r="P103" i="17"/>
  <c r="P263" i="17"/>
  <c r="P151" i="17"/>
  <c r="P208" i="17"/>
  <c r="L3" i="5"/>
  <c r="P119" i="17"/>
  <c r="P247" i="17"/>
  <c r="P375" i="17"/>
  <c r="P63" i="17"/>
  <c r="P319" i="17"/>
  <c r="P144" i="17"/>
  <c r="P355" i="17"/>
  <c r="M3" i="17"/>
  <c r="P87" i="17"/>
  <c r="P215" i="17"/>
  <c r="P343" i="17"/>
  <c r="P255" i="17"/>
  <c r="P80" i="17"/>
  <c r="P336" i="17"/>
  <c r="P227" i="17"/>
  <c r="P55" i="17"/>
  <c r="P183" i="17"/>
  <c r="P311" i="17"/>
  <c r="O3" i="5"/>
  <c r="T3" i="5"/>
  <c r="P191" i="17"/>
  <c r="P16" i="17"/>
  <c r="P272" i="17"/>
  <c r="Q40" i="26"/>
  <c r="P99" i="17"/>
  <c r="C4" i="17"/>
  <c r="P47" i="17"/>
  <c r="P111" i="17"/>
  <c r="P175" i="17"/>
  <c r="P239" i="17"/>
  <c r="P303" i="17"/>
  <c r="P367" i="17"/>
  <c r="N3" i="17"/>
  <c r="J3" i="17"/>
  <c r="P64" i="17"/>
  <c r="P128" i="17"/>
  <c r="P192" i="17"/>
  <c r="P256" i="17"/>
  <c r="P320" i="17"/>
  <c r="Q9" i="26"/>
  <c r="P67" i="17"/>
  <c r="P195" i="17"/>
  <c r="P323" i="17"/>
  <c r="P31" i="17"/>
  <c r="P95" i="17"/>
  <c r="P159" i="17"/>
  <c r="P223" i="17"/>
  <c r="P287" i="17"/>
  <c r="P351" i="17"/>
  <c r="O3" i="17"/>
  <c r="P48" i="17"/>
  <c r="P112" i="17"/>
  <c r="P176" i="17"/>
  <c r="P240" i="17"/>
  <c r="P304" i="17"/>
  <c r="P368" i="17"/>
  <c r="Q36" i="26"/>
  <c r="N3" i="5"/>
  <c r="P35" i="17"/>
  <c r="P163" i="17"/>
  <c r="P291" i="17"/>
  <c r="P15" i="17"/>
  <c r="P79" i="17"/>
  <c r="P143" i="17"/>
  <c r="P207" i="17"/>
  <c r="P271" i="17"/>
  <c r="P335" i="17"/>
  <c r="K3" i="26"/>
  <c r="H3" i="5"/>
  <c r="P32" i="17"/>
  <c r="P96" i="17"/>
  <c r="P160" i="17"/>
  <c r="P224" i="17"/>
  <c r="P288" i="17"/>
  <c r="P352" i="17"/>
  <c r="P131" i="17"/>
  <c r="P259" i="17"/>
  <c r="P52" i="17"/>
  <c r="P116" i="17"/>
  <c r="P180" i="17"/>
  <c r="P244" i="17"/>
  <c r="P308" i="17"/>
  <c r="P372" i="17"/>
  <c r="P30" i="17"/>
  <c r="P94" i="17"/>
  <c r="P158" i="17"/>
  <c r="P222" i="17"/>
  <c r="P286" i="17"/>
  <c r="P350" i="17"/>
  <c r="P27" i="17"/>
  <c r="P59" i="17"/>
  <c r="P91" i="17"/>
  <c r="P123" i="17"/>
  <c r="P155" i="17"/>
  <c r="P187" i="17"/>
  <c r="P219" i="17"/>
  <c r="P251" i="17"/>
  <c r="P283" i="17"/>
  <c r="P315" i="17"/>
  <c r="P347" i="17"/>
  <c r="P379" i="17"/>
  <c r="P60" i="17"/>
  <c r="P124" i="17"/>
  <c r="P188" i="17"/>
  <c r="P252" i="17"/>
  <c r="P316" i="17"/>
  <c r="P380" i="17"/>
  <c r="P14" i="17"/>
  <c r="P78" i="17"/>
  <c r="P142" i="17"/>
  <c r="P206" i="17"/>
  <c r="P270" i="17"/>
  <c r="P334" i="17"/>
  <c r="P19" i="17"/>
  <c r="P51" i="17"/>
  <c r="P83" i="17"/>
  <c r="P115" i="17"/>
  <c r="P147" i="17"/>
  <c r="P179" i="17"/>
  <c r="P211" i="17"/>
  <c r="P243" i="17"/>
  <c r="P275" i="17"/>
  <c r="P307" i="17"/>
  <c r="P339" i="17"/>
  <c r="P371" i="17"/>
  <c r="O3" i="26"/>
  <c r="P20" i="17"/>
  <c r="P84" i="17"/>
  <c r="P148" i="17"/>
  <c r="P212" i="17"/>
  <c r="P276" i="17"/>
  <c r="P340" i="17"/>
  <c r="P62" i="17"/>
  <c r="P126" i="17"/>
  <c r="P190" i="17"/>
  <c r="P254" i="17"/>
  <c r="P318" i="17"/>
  <c r="P11" i="17"/>
  <c r="P43" i="17"/>
  <c r="P75" i="17"/>
  <c r="P107" i="17"/>
  <c r="P139" i="17"/>
  <c r="P171" i="17"/>
  <c r="P203" i="17"/>
  <c r="P235" i="17"/>
  <c r="P267" i="17"/>
  <c r="P299" i="17"/>
  <c r="P331" i="17"/>
  <c r="P363" i="17"/>
  <c r="P7" i="17"/>
  <c r="R3" i="5"/>
  <c r="P28" i="17"/>
  <c r="P92" i="17"/>
  <c r="P156" i="17"/>
  <c r="P220" i="17"/>
  <c r="P284" i="17"/>
  <c r="P348" i="17"/>
  <c r="P46" i="17"/>
  <c r="P110" i="17"/>
  <c r="P174" i="17"/>
  <c r="P238" i="17"/>
  <c r="P302" i="17"/>
  <c r="P366" i="17"/>
  <c r="P10" i="17"/>
  <c r="P13" i="17"/>
  <c r="P45" i="17"/>
  <c r="P77" i="17"/>
  <c r="P109" i="17"/>
  <c r="P141" i="17"/>
  <c r="P173" i="17"/>
  <c r="P205" i="17"/>
  <c r="P237" i="17"/>
  <c r="P269" i="17"/>
  <c r="P301" i="17"/>
  <c r="P333" i="17"/>
  <c r="P365" i="17"/>
  <c r="P9" i="17"/>
  <c r="J26" i="35"/>
  <c r="Q37" i="26"/>
  <c r="P12" i="17"/>
  <c r="P44" i="17"/>
  <c r="P76" i="17"/>
  <c r="P108" i="17"/>
  <c r="P140" i="17"/>
  <c r="P172" i="17"/>
  <c r="P204" i="17"/>
  <c r="P236" i="17"/>
  <c r="P268" i="17"/>
  <c r="P300" i="17"/>
  <c r="P332" i="17"/>
  <c r="P364" i="17"/>
  <c r="P8" i="17"/>
  <c r="Q12" i="26"/>
  <c r="P26" i="17"/>
  <c r="P42" i="17"/>
  <c r="P58" i="17"/>
  <c r="P74" i="17"/>
  <c r="P90" i="17"/>
  <c r="P106" i="17"/>
  <c r="P122" i="17"/>
  <c r="P138" i="17"/>
  <c r="P154" i="17"/>
  <c r="P170" i="17"/>
  <c r="P186" i="17"/>
  <c r="P202" i="17"/>
  <c r="P218" i="17"/>
  <c r="P234" i="17"/>
  <c r="P250" i="17"/>
  <c r="P266" i="17"/>
  <c r="P282" i="17"/>
  <c r="P298" i="17"/>
  <c r="P314" i="17"/>
  <c r="P330" i="17"/>
  <c r="P346" i="17"/>
  <c r="P362" i="17"/>
  <c r="P378" i="17"/>
  <c r="P6" i="17"/>
  <c r="H3" i="17"/>
  <c r="P17" i="17"/>
  <c r="P49" i="17"/>
  <c r="P81" i="17"/>
  <c r="P113" i="17"/>
  <c r="P145" i="17"/>
  <c r="P177" i="17"/>
  <c r="P209" i="17"/>
  <c r="P241" i="17"/>
  <c r="P273" i="17"/>
  <c r="P305" i="17"/>
  <c r="P337" i="17"/>
  <c r="P369" i="17"/>
  <c r="C4" i="26"/>
  <c r="P36" i="17"/>
  <c r="P68" i="17"/>
  <c r="P100" i="17"/>
  <c r="P132" i="17"/>
  <c r="P164" i="17"/>
  <c r="P196" i="17"/>
  <c r="P228" i="17"/>
  <c r="P260" i="17"/>
  <c r="P292" i="17"/>
  <c r="P324" i="17"/>
  <c r="P356" i="17"/>
  <c r="Q28" i="26"/>
  <c r="Q8" i="26"/>
  <c r="P22" i="17"/>
  <c r="P38" i="17"/>
  <c r="P54" i="17"/>
  <c r="P70" i="17"/>
  <c r="P86" i="17"/>
  <c r="P102" i="17"/>
  <c r="P118" i="17"/>
  <c r="P134" i="17"/>
  <c r="P150" i="17"/>
  <c r="P166" i="17"/>
  <c r="P182" i="17"/>
  <c r="P198" i="17"/>
  <c r="P214" i="17"/>
  <c r="P230" i="17"/>
  <c r="P246" i="17"/>
  <c r="P262" i="17"/>
  <c r="P278" i="17"/>
  <c r="P294" i="17"/>
  <c r="P310" i="17"/>
  <c r="P326" i="17"/>
  <c r="P342" i="17"/>
  <c r="P358" i="17"/>
  <c r="P374" i="17"/>
  <c r="P29" i="17"/>
  <c r="P61" i="17"/>
  <c r="P93" i="17"/>
  <c r="P125" i="17"/>
  <c r="P157" i="17"/>
  <c r="P189" i="17"/>
  <c r="P221" i="17"/>
  <c r="P253" i="17"/>
  <c r="P285" i="17"/>
  <c r="P317" i="17"/>
  <c r="P349" i="17"/>
  <c r="Q44" i="26"/>
  <c r="P18" i="17"/>
  <c r="P34" i="17"/>
  <c r="P50" i="17"/>
  <c r="P66" i="17"/>
  <c r="P82" i="17"/>
  <c r="P98" i="17"/>
  <c r="P114" i="17"/>
  <c r="P130" i="17"/>
  <c r="P146" i="17"/>
  <c r="P162" i="17"/>
  <c r="P178" i="17"/>
  <c r="P194" i="17"/>
  <c r="P210" i="17"/>
  <c r="P226" i="17"/>
  <c r="P242" i="17"/>
  <c r="P258" i="17"/>
  <c r="P274" i="17"/>
  <c r="P290" i="17"/>
  <c r="P306" i="17"/>
  <c r="P322" i="17"/>
  <c r="P338" i="17"/>
  <c r="P354" i="17"/>
  <c r="P370" i="17"/>
  <c r="Q21" i="26"/>
  <c r="P33" i="17"/>
  <c r="P65" i="17"/>
  <c r="P97" i="17"/>
  <c r="P129" i="17"/>
  <c r="P161" i="17"/>
  <c r="P193" i="17"/>
  <c r="P225" i="17"/>
  <c r="P257" i="17"/>
  <c r="P289" i="17"/>
  <c r="P321" i="17"/>
  <c r="P353" i="17"/>
  <c r="P25" i="17"/>
  <c r="P41" i="17"/>
  <c r="P57" i="17"/>
  <c r="P73" i="17"/>
  <c r="P89" i="17"/>
  <c r="P105" i="17"/>
  <c r="P121" i="17"/>
  <c r="P137" i="17"/>
  <c r="P153" i="17"/>
  <c r="P169" i="17"/>
  <c r="P185" i="17"/>
  <c r="P201" i="17"/>
  <c r="P217" i="17"/>
  <c r="P233" i="17"/>
  <c r="P249" i="17"/>
  <c r="P265" i="17"/>
  <c r="P281" i="17"/>
  <c r="P297" i="17"/>
  <c r="P313" i="17"/>
  <c r="P329" i="17"/>
  <c r="P345" i="17"/>
  <c r="P361" i="17"/>
  <c r="P377" i="17"/>
  <c r="J11" i="35"/>
  <c r="N3" i="26"/>
  <c r="Q24" i="26"/>
  <c r="K3" i="17"/>
  <c r="P21" i="17"/>
  <c r="P37" i="17"/>
  <c r="P53" i="17"/>
  <c r="P69" i="17"/>
  <c r="P85" i="17"/>
  <c r="P101" i="17"/>
  <c r="P117" i="17"/>
  <c r="P133" i="17"/>
  <c r="P149" i="17"/>
  <c r="P165" i="17"/>
  <c r="P181" i="17"/>
  <c r="P197" i="17"/>
  <c r="P213" i="17"/>
  <c r="P229" i="17"/>
  <c r="P245" i="17"/>
  <c r="P261" i="17"/>
  <c r="P277" i="17"/>
  <c r="P293" i="17"/>
  <c r="P309" i="17"/>
  <c r="P325" i="17"/>
  <c r="P341" i="17"/>
  <c r="P357" i="17"/>
  <c r="P373" i="17"/>
  <c r="L3" i="17"/>
  <c r="Q33" i="26"/>
  <c r="Q17" i="26"/>
  <c r="Q16" i="26"/>
  <c r="J17" i="35"/>
  <c r="Q32" i="26"/>
  <c r="L3" i="26"/>
  <c r="Q10" i="26"/>
  <c r="Q13" i="26"/>
  <c r="Q29" i="26"/>
  <c r="Q45" i="26"/>
  <c r="C2" i="25"/>
  <c r="J14" i="35"/>
  <c r="Q26" i="26"/>
  <c r="P3" i="26"/>
  <c r="Q42" i="26"/>
  <c r="I1" i="25"/>
  <c r="I3" i="26"/>
  <c r="J25" i="35"/>
  <c r="Q14" i="26"/>
  <c r="Q30" i="26"/>
  <c r="Q46" i="26"/>
  <c r="M3" i="26"/>
  <c r="J21" i="35"/>
  <c r="J33" i="35"/>
  <c r="Q18" i="26"/>
  <c r="Q34" i="26"/>
  <c r="J27" i="35"/>
  <c r="I6" i="43"/>
  <c r="Q6" i="26"/>
  <c r="H3" i="26"/>
  <c r="Q22" i="26"/>
  <c r="Q38" i="26"/>
  <c r="J3" i="26"/>
  <c r="J19" i="35"/>
  <c r="I3" i="43"/>
  <c r="Q7" i="26"/>
  <c r="Q11" i="26"/>
  <c r="Q15" i="26"/>
  <c r="Q19" i="26"/>
  <c r="Q23" i="26"/>
  <c r="Q27" i="26"/>
  <c r="Q31" i="26"/>
  <c r="Q35" i="26"/>
  <c r="Q39" i="26"/>
  <c r="Q43" i="26"/>
  <c r="J31" i="35"/>
  <c r="J16" i="35"/>
  <c r="J22" i="35"/>
  <c r="J29" i="35"/>
  <c r="J23" i="35"/>
  <c r="J12" i="35"/>
  <c r="H3" i="35"/>
  <c r="J6" i="35"/>
  <c r="C2" i="33"/>
  <c r="J8" i="35"/>
  <c r="C4" i="35"/>
  <c r="I11" i="43"/>
  <c r="I1" i="33"/>
  <c r="J13" i="35"/>
  <c r="J9" i="35"/>
  <c r="J32" i="35"/>
  <c r="I3" i="35"/>
  <c r="I10" i="43"/>
  <c r="J30" i="35"/>
  <c r="J24" i="35"/>
  <c r="I1" i="38"/>
  <c r="I18" i="43"/>
  <c r="J15" i="35"/>
  <c r="J20" i="35"/>
  <c r="A43" i="43"/>
  <c r="J7" i="35"/>
  <c r="J10" i="35"/>
  <c r="J28" i="35"/>
  <c r="I5" i="43"/>
  <c r="J18" i="35"/>
  <c r="C2" i="38"/>
  <c r="I12" i="43"/>
  <c r="I8" i="43"/>
  <c r="I2" i="43"/>
  <c r="I7" i="43"/>
  <c r="I13" i="43"/>
  <c r="I14" i="43"/>
  <c r="B25" i="43"/>
  <c r="I15" i="43"/>
  <c r="I4" i="43"/>
  <c r="H26" i="43"/>
  <c r="H25" i="43"/>
  <c r="G24" i="43"/>
  <c r="A27" i="43"/>
  <c r="H29" i="43"/>
  <c r="H27" i="43"/>
  <c r="I24" i="43"/>
  <c r="J24" i="43"/>
  <c r="A26" i="43"/>
  <c r="H24" i="43"/>
  <c r="A28" i="43"/>
  <c r="F24" i="43"/>
  <c r="H28" i="43"/>
  <c r="A25" i="43"/>
  <c r="I17" i="43"/>
  <c r="I9" i="43"/>
  <c r="X1004" i="3"/>
  <c r="X1000" i="3"/>
  <c r="X996" i="3"/>
  <c r="X992" i="3"/>
  <c r="X988" i="3"/>
  <c r="X984" i="3"/>
  <c r="X980" i="3"/>
  <c r="X976" i="3"/>
  <c r="X972" i="3"/>
  <c r="X968" i="3"/>
  <c r="X964" i="3"/>
  <c r="X960" i="3"/>
  <c r="X956" i="3"/>
  <c r="X952" i="3"/>
  <c r="X948" i="3"/>
  <c r="X944" i="3"/>
  <c r="X940" i="3"/>
  <c r="X936" i="3"/>
  <c r="X932" i="3"/>
  <c r="X928" i="3"/>
  <c r="X924" i="3"/>
  <c r="X920" i="3"/>
  <c r="X916" i="3"/>
  <c r="X912" i="3"/>
  <c r="X908" i="3"/>
  <c r="X904" i="3"/>
  <c r="X900" i="3"/>
  <c r="X896" i="3"/>
  <c r="X892" i="3"/>
  <c r="X888" i="3"/>
  <c r="X884" i="3"/>
  <c r="X880" i="3"/>
  <c r="X876" i="3"/>
  <c r="X872" i="3"/>
  <c r="X868" i="3"/>
  <c r="X864" i="3"/>
  <c r="X860" i="3"/>
  <c r="X856" i="3"/>
  <c r="X852" i="3"/>
  <c r="X848" i="3"/>
  <c r="X844" i="3"/>
  <c r="X840" i="3"/>
  <c r="X836" i="3"/>
  <c r="X832" i="3"/>
  <c r="X828" i="3"/>
  <c r="X824" i="3"/>
  <c r="X820" i="3"/>
  <c r="X816" i="3"/>
  <c r="X812" i="3"/>
  <c r="X808" i="3"/>
  <c r="X804" i="3"/>
  <c r="X800" i="3"/>
  <c r="X796" i="3"/>
  <c r="X792" i="3"/>
  <c r="X788" i="3"/>
  <c r="X784" i="3"/>
  <c r="X780" i="3"/>
  <c r="X776" i="3"/>
  <c r="X772" i="3"/>
  <c r="X768" i="3"/>
  <c r="X764" i="3"/>
  <c r="X760" i="3"/>
  <c r="X756" i="3"/>
  <c r="X752" i="3"/>
  <c r="X748" i="3"/>
  <c r="X744" i="3"/>
  <c r="X740" i="3"/>
  <c r="X736" i="3"/>
  <c r="X732" i="3"/>
  <c r="X728" i="3"/>
  <c r="X724" i="3"/>
  <c r="X720" i="3"/>
  <c r="X716" i="3"/>
  <c r="X712" i="3"/>
  <c r="X708" i="3"/>
  <c r="X704" i="3"/>
  <c r="X700" i="3"/>
  <c r="X696" i="3"/>
  <c r="X692" i="3"/>
  <c r="X688" i="3"/>
  <c r="X684" i="3"/>
  <c r="X680" i="3"/>
  <c r="X676" i="3"/>
  <c r="X672" i="3"/>
  <c r="X668" i="3"/>
  <c r="X664" i="3"/>
  <c r="X660" i="3"/>
  <c r="X656" i="3"/>
  <c r="X652" i="3"/>
  <c r="X648" i="3"/>
  <c r="X644" i="3"/>
  <c r="X640" i="3"/>
  <c r="X636" i="3"/>
  <c r="X632" i="3"/>
  <c r="X628" i="3"/>
  <c r="X624" i="3"/>
  <c r="X620" i="3"/>
  <c r="X616" i="3"/>
  <c r="X612" i="3"/>
  <c r="X608" i="3"/>
  <c r="X604" i="3"/>
  <c r="X600" i="3"/>
  <c r="X596" i="3"/>
  <c r="X592" i="3"/>
  <c r="X588" i="3"/>
  <c r="X584" i="3"/>
  <c r="X580" i="3"/>
  <c r="X576" i="3"/>
  <c r="X572" i="3"/>
  <c r="X568" i="3"/>
  <c r="X564" i="3"/>
  <c r="X560" i="3"/>
  <c r="X556" i="3"/>
  <c r="X552" i="3"/>
  <c r="X548" i="3"/>
  <c r="X544" i="3"/>
  <c r="X540" i="3"/>
  <c r="X536" i="3"/>
  <c r="X532" i="3"/>
  <c r="X528" i="3"/>
  <c r="X524" i="3"/>
  <c r="X520" i="3"/>
  <c r="X516" i="3"/>
  <c r="X512" i="3"/>
  <c r="X508" i="3"/>
  <c r="X504" i="3"/>
  <c r="X500" i="3"/>
  <c r="X496" i="3"/>
  <c r="X492" i="3"/>
  <c r="X488" i="3"/>
  <c r="X484" i="3"/>
  <c r="X480" i="3"/>
  <c r="X476" i="3"/>
  <c r="X472" i="3"/>
  <c r="X468" i="3"/>
  <c r="X464" i="3"/>
  <c r="X460" i="3"/>
  <c r="X456" i="3"/>
  <c r="X452" i="3"/>
  <c r="X448" i="3"/>
  <c r="X444" i="3"/>
  <c r="X440" i="3"/>
  <c r="X436" i="3"/>
  <c r="X432" i="3"/>
  <c r="X428" i="3"/>
  <c r="X424" i="3"/>
  <c r="X420" i="3"/>
  <c r="X416" i="3"/>
  <c r="X412" i="3"/>
  <c r="X408" i="3"/>
  <c r="X404" i="3"/>
  <c r="X400" i="3"/>
  <c r="X396" i="3"/>
  <c r="X392" i="3"/>
  <c r="X388" i="3"/>
  <c r="X384" i="3"/>
  <c r="X380" i="3"/>
  <c r="X376" i="3"/>
  <c r="X372" i="3"/>
  <c r="X368" i="3"/>
  <c r="X364" i="3"/>
  <c r="X360" i="3"/>
  <c r="X356" i="3"/>
  <c r="X352" i="3"/>
  <c r="X348" i="3"/>
  <c r="X344" i="3"/>
  <c r="X340" i="3"/>
  <c r="X336" i="3"/>
  <c r="X332" i="3"/>
  <c r="X328" i="3"/>
  <c r="X324" i="3"/>
  <c r="X320" i="3"/>
  <c r="X316" i="3"/>
  <c r="X312" i="3"/>
  <c r="X308" i="3"/>
  <c r="X304" i="3"/>
  <c r="X300" i="3"/>
  <c r="X296" i="3"/>
  <c r="X292" i="3"/>
  <c r="X288" i="3"/>
  <c r="X284" i="3"/>
  <c r="X280" i="3"/>
  <c r="X276" i="3"/>
  <c r="X272" i="3"/>
  <c r="X268" i="3"/>
  <c r="X264" i="3"/>
  <c r="X260" i="3"/>
  <c r="X256" i="3"/>
  <c r="X252" i="3"/>
  <c r="X248" i="3"/>
  <c r="X244" i="3"/>
  <c r="X240" i="3"/>
  <c r="X236" i="3"/>
  <c r="X232" i="3"/>
  <c r="X228" i="3"/>
  <c r="X224" i="3"/>
  <c r="X220" i="3"/>
  <c r="X216" i="3"/>
  <c r="X212" i="3"/>
  <c r="X208" i="3"/>
  <c r="X204" i="3"/>
  <c r="X200" i="3"/>
  <c r="X196" i="3"/>
  <c r="X192" i="3"/>
  <c r="X188" i="3"/>
  <c r="X184" i="3"/>
  <c r="X180" i="3"/>
  <c r="X176" i="3"/>
  <c r="X172" i="3"/>
  <c r="X168" i="3"/>
  <c r="X164" i="3"/>
  <c r="X160" i="3"/>
  <c r="X156" i="3"/>
  <c r="X152" i="3"/>
  <c r="X148" i="3"/>
  <c r="X144" i="3"/>
  <c r="X140" i="3"/>
  <c r="X136" i="3"/>
  <c r="X132" i="3"/>
  <c r="X128" i="3"/>
  <c r="X124" i="3"/>
  <c r="X120" i="3"/>
  <c r="X116" i="3"/>
  <c r="X112" i="3"/>
  <c r="X108" i="3"/>
  <c r="X104" i="3"/>
  <c r="X100" i="3"/>
  <c r="X96" i="3"/>
  <c r="X92" i="3"/>
  <c r="X88" i="3"/>
  <c r="X84" i="3"/>
  <c r="X80" i="3"/>
  <c r="X76" i="3"/>
  <c r="X72" i="3"/>
  <c r="X68" i="3"/>
  <c r="X64" i="3"/>
  <c r="X60" i="3"/>
  <c r="X56" i="3"/>
  <c r="X52" i="3"/>
  <c r="X48" i="3"/>
  <c r="X44" i="3"/>
  <c r="X40" i="3"/>
  <c r="X36" i="3"/>
  <c r="X32" i="3"/>
  <c r="X28" i="3"/>
  <c r="X24" i="3"/>
  <c r="X20" i="3"/>
  <c r="X16" i="3"/>
  <c r="X12" i="3"/>
  <c r="X8" i="3"/>
  <c r="X999" i="3"/>
  <c r="X994" i="3"/>
  <c r="X989" i="3"/>
  <c r="X983" i="3"/>
  <c r="X978" i="3"/>
  <c r="X973" i="3"/>
  <c r="X967" i="3"/>
  <c r="X962" i="3"/>
  <c r="X957" i="3"/>
  <c r="X951" i="3"/>
  <c r="X946" i="3"/>
  <c r="X941" i="3"/>
  <c r="X935" i="3"/>
  <c r="X930" i="3"/>
  <c r="X925" i="3"/>
  <c r="X919" i="3"/>
  <c r="X914" i="3"/>
  <c r="X909" i="3"/>
  <c r="X903" i="3"/>
  <c r="X898" i="3"/>
  <c r="X893" i="3"/>
  <c r="X887" i="3"/>
  <c r="X882" i="3"/>
  <c r="X877" i="3"/>
  <c r="X871" i="3"/>
  <c r="X866" i="3"/>
  <c r="X861" i="3"/>
  <c r="X855" i="3"/>
  <c r="X850" i="3"/>
  <c r="X845" i="3"/>
  <c r="X839" i="3"/>
  <c r="X834" i="3"/>
  <c r="X829" i="3"/>
  <c r="X823" i="3"/>
  <c r="X818" i="3"/>
  <c r="X813" i="3"/>
  <c r="X807" i="3"/>
  <c r="X802" i="3"/>
  <c r="X797" i="3"/>
  <c r="X791" i="3"/>
  <c r="X786" i="3"/>
  <c r="X781" i="3"/>
  <c r="X775" i="3"/>
  <c r="X770" i="3"/>
  <c r="X765" i="3"/>
  <c r="X759" i="3"/>
  <c r="X754" i="3"/>
  <c r="X749" i="3"/>
  <c r="X743" i="3"/>
  <c r="X738" i="3"/>
  <c r="X733" i="3"/>
  <c r="X727" i="3"/>
  <c r="X722" i="3"/>
  <c r="X717" i="3"/>
  <c r="X711" i="3"/>
  <c r="X706" i="3"/>
  <c r="X701" i="3"/>
  <c r="X695" i="3"/>
  <c r="X690" i="3"/>
  <c r="X685" i="3"/>
  <c r="X679" i="3"/>
  <c r="X674" i="3"/>
  <c r="X669" i="3"/>
  <c r="X663" i="3"/>
  <c r="X658" i="3"/>
  <c r="X653" i="3"/>
  <c r="X647" i="3"/>
  <c r="X642" i="3"/>
  <c r="X637" i="3"/>
  <c r="X631" i="3"/>
  <c r="X626" i="3"/>
  <c r="X621" i="3"/>
  <c r="X615" i="3"/>
  <c r="X610" i="3"/>
  <c r="X605" i="3"/>
  <c r="X599" i="3"/>
  <c r="X594" i="3"/>
  <c r="X589" i="3"/>
  <c r="X583" i="3"/>
  <c r="X578" i="3"/>
  <c r="X573" i="3"/>
  <c r="X567" i="3"/>
  <c r="X562" i="3"/>
  <c r="X557" i="3"/>
  <c r="X551" i="3"/>
  <c r="X546" i="3"/>
  <c r="X541" i="3"/>
  <c r="X535" i="3"/>
  <c r="X530" i="3"/>
  <c r="X525" i="3"/>
  <c r="X519" i="3"/>
  <c r="X514" i="3"/>
  <c r="X509" i="3"/>
  <c r="X503" i="3"/>
  <c r="X498" i="3"/>
  <c r="X493" i="3"/>
  <c r="X487" i="3"/>
  <c r="X482" i="3"/>
  <c r="X477" i="3"/>
  <c r="X471" i="3"/>
  <c r="X466" i="3"/>
  <c r="X461" i="3"/>
  <c r="X455" i="3"/>
  <c r="X450" i="3"/>
  <c r="X445" i="3"/>
  <c r="X439" i="3"/>
  <c r="X434" i="3"/>
  <c r="X429" i="3"/>
  <c r="X423" i="3"/>
  <c r="X418" i="3"/>
  <c r="X413" i="3"/>
  <c r="X407" i="3"/>
  <c r="X402" i="3"/>
  <c r="X397" i="3"/>
  <c r="X391" i="3"/>
  <c r="X386" i="3"/>
  <c r="X381" i="3"/>
  <c r="X375" i="3"/>
  <c r="X370" i="3"/>
  <c r="X365" i="3"/>
  <c r="X359" i="3"/>
  <c r="X354" i="3"/>
  <c r="X349" i="3"/>
  <c r="X343" i="3"/>
  <c r="X338" i="3"/>
  <c r="X333" i="3"/>
  <c r="X327" i="3"/>
  <c r="X322" i="3"/>
  <c r="X317" i="3"/>
  <c r="X311" i="3"/>
  <c r="X306" i="3"/>
  <c r="X301" i="3"/>
  <c r="X295" i="3"/>
  <c r="X290" i="3"/>
  <c r="X285" i="3"/>
  <c r="X279" i="3"/>
  <c r="X274" i="3"/>
  <c r="X269" i="3"/>
  <c r="X263" i="3"/>
  <c r="X258" i="3"/>
  <c r="X253" i="3"/>
  <c r="X247" i="3"/>
  <c r="X242" i="3"/>
  <c r="X237" i="3"/>
  <c r="X231" i="3"/>
  <c r="X226" i="3"/>
  <c r="X221" i="3"/>
  <c r="X215" i="3"/>
  <c r="X210" i="3"/>
  <c r="X205" i="3"/>
  <c r="X199" i="3"/>
  <c r="X194" i="3"/>
  <c r="X189" i="3"/>
  <c r="X183" i="3"/>
  <c r="X178" i="3"/>
  <c r="X173" i="3"/>
  <c r="X167" i="3"/>
  <c r="X162" i="3"/>
  <c r="X157" i="3"/>
  <c r="X151" i="3"/>
  <c r="X146" i="3"/>
  <c r="X141" i="3"/>
  <c r="X135" i="3"/>
  <c r="X130" i="3"/>
  <c r="X125" i="3"/>
  <c r="X119" i="3"/>
  <c r="X114" i="3"/>
  <c r="X109" i="3"/>
  <c r="X103" i="3"/>
  <c r="X98" i="3"/>
  <c r="X93" i="3"/>
  <c r="X87" i="3"/>
  <c r="X82" i="3"/>
  <c r="X77" i="3"/>
  <c r="X71" i="3"/>
  <c r="X66" i="3"/>
  <c r="X61" i="3"/>
  <c r="X55" i="3"/>
  <c r="X50" i="3"/>
  <c r="X45" i="3"/>
  <c r="X39" i="3"/>
  <c r="X34" i="3"/>
  <c r="X29" i="3"/>
  <c r="X23" i="3"/>
  <c r="X18" i="3"/>
  <c r="X13" i="3"/>
  <c r="X7" i="3"/>
  <c r="X1002" i="3"/>
  <c r="X997" i="3"/>
  <c r="X991" i="3"/>
  <c r="X986" i="3"/>
  <c r="X981" i="3"/>
  <c r="X975" i="3"/>
  <c r="X970" i="3"/>
  <c r="X965" i="3"/>
  <c r="X959" i="3"/>
  <c r="X954" i="3"/>
  <c r="X949" i="3"/>
  <c r="X943" i="3"/>
  <c r="X938" i="3"/>
  <c r="X933" i="3"/>
  <c r="X927" i="3"/>
  <c r="X922" i="3"/>
  <c r="X917" i="3"/>
  <c r="X911" i="3"/>
  <c r="X906" i="3"/>
  <c r="X901" i="3"/>
  <c r="X895" i="3"/>
  <c r="X890" i="3"/>
  <c r="X885" i="3"/>
  <c r="X879" i="3"/>
  <c r="X874" i="3"/>
  <c r="X869" i="3"/>
  <c r="X863" i="3"/>
  <c r="X858" i="3"/>
  <c r="X853" i="3"/>
  <c r="X847" i="3"/>
  <c r="X842" i="3"/>
  <c r="X837" i="3"/>
  <c r="X831" i="3"/>
  <c r="X826" i="3"/>
  <c r="X821" i="3"/>
  <c r="X815" i="3"/>
  <c r="X810" i="3"/>
  <c r="X805" i="3"/>
  <c r="X799" i="3"/>
  <c r="X794" i="3"/>
  <c r="X789" i="3"/>
  <c r="X783" i="3"/>
  <c r="X778" i="3"/>
  <c r="X773" i="3"/>
  <c r="X767" i="3"/>
  <c r="X762" i="3"/>
  <c r="X757" i="3"/>
  <c r="X751" i="3"/>
  <c r="X746" i="3"/>
  <c r="X741" i="3"/>
  <c r="X735" i="3"/>
  <c r="X730" i="3"/>
  <c r="X725" i="3"/>
  <c r="X719" i="3"/>
  <c r="X714" i="3"/>
  <c r="X709" i="3"/>
  <c r="X703" i="3"/>
  <c r="X698" i="3"/>
  <c r="X693" i="3"/>
  <c r="X687" i="3"/>
  <c r="X682" i="3"/>
  <c r="X677" i="3"/>
  <c r="X671" i="3"/>
  <c r="X666" i="3"/>
  <c r="X661" i="3"/>
  <c r="X655" i="3"/>
  <c r="X650" i="3"/>
  <c r="X645" i="3"/>
  <c r="X639" i="3"/>
  <c r="X634" i="3"/>
  <c r="X629" i="3"/>
  <c r="X623" i="3"/>
  <c r="X618" i="3"/>
  <c r="X613" i="3"/>
  <c r="X607" i="3"/>
  <c r="X602" i="3"/>
  <c r="X597" i="3"/>
  <c r="X591" i="3"/>
  <c r="X586" i="3"/>
  <c r="X581" i="3"/>
  <c r="X575" i="3"/>
  <c r="X570" i="3"/>
  <c r="X565" i="3"/>
  <c r="X559" i="3"/>
  <c r="X554" i="3"/>
  <c r="X549" i="3"/>
  <c r="X543" i="3"/>
  <c r="X538" i="3"/>
  <c r="X533" i="3"/>
  <c r="X527" i="3"/>
  <c r="X522" i="3"/>
  <c r="X517" i="3"/>
  <c r="X511" i="3"/>
  <c r="X506" i="3"/>
  <c r="X501" i="3"/>
  <c r="X495" i="3"/>
  <c r="X490" i="3"/>
  <c r="X485" i="3"/>
  <c r="X479" i="3"/>
  <c r="X474" i="3"/>
  <c r="X469" i="3"/>
  <c r="X463" i="3"/>
  <c r="X458" i="3"/>
  <c r="X453" i="3"/>
  <c r="X447" i="3"/>
  <c r="X442" i="3"/>
  <c r="X437" i="3"/>
  <c r="X431" i="3"/>
  <c r="X426" i="3"/>
  <c r="X421" i="3"/>
  <c r="X415" i="3"/>
  <c r="X410" i="3"/>
  <c r="X405" i="3"/>
  <c r="X399" i="3"/>
  <c r="X394" i="3"/>
  <c r="X389" i="3"/>
  <c r="X383" i="3"/>
  <c r="X378" i="3"/>
  <c r="X373" i="3"/>
  <c r="X367" i="3"/>
  <c r="X362" i="3"/>
  <c r="X357" i="3"/>
  <c r="X351" i="3"/>
  <c r="X346" i="3"/>
  <c r="X341" i="3"/>
  <c r="X335" i="3"/>
  <c r="X330" i="3"/>
  <c r="X325" i="3"/>
  <c r="X319" i="3"/>
  <c r="X314" i="3"/>
  <c r="X309" i="3"/>
  <c r="X303" i="3"/>
  <c r="X298" i="3"/>
  <c r="X293" i="3"/>
  <c r="X287" i="3"/>
  <c r="X282" i="3"/>
  <c r="X277" i="3"/>
  <c r="X271" i="3"/>
  <c r="X266" i="3"/>
  <c r="X261" i="3"/>
  <c r="X255" i="3"/>
  <c r="X250" i="3"/>
  <c r="X245" i="3"/>
  <c r="X239" i="3"/>
  <c r="X234" i="3"/>
  <c r="X229" i="3"/>
  <c r="X223" i="3"/>
  <c r="X218" i="3"/>
  <c r="X213" i="3"/>
  <c r="X207" i="3"/>
  <c r="X202" i="3"/>
  <c r="X197" i="3"/>
  <c r="X191" i="3"/>
  <c r="X186" i="3"/>
  <c r="X181" i="3"/>
  <c r="X175" i="3"/>
  <c r="X170" i="3"/>
  <c r="X165" i="3"/>
  <c r="X159" i="3"/>
  <c r="X154" i="3"/>
  <c r="X149" i="3"/>
  <c r="X143" i="3"/>
  <c r="X138" i="3"/>
  <c r="X133" i="3"/>
  <c r="X127" i="3"/>
  <c r="X122" i="3"/>
  <c r="X117" i="3"/>
  <c r="X111" i="3"/>
  <c r="X106" i="3"/>
  <c r="X101" i="3"/>
  <c r="X95" i="3"/>
  <c r="X90" i="3"/>
  <c r="X85" i="3"/>
  <c r="X79" i="3"/>
  <c r="X74" i="3"/>
  <c r="X69" i="3"/>
  <c r="X63" i="3"/>
  <c r="X58" i="3"/>
  <c r="X53" i="3"/>
  <c r="X47" i="3"/>
  <c r="X42" i="3"/>
  <c r="X37" i="3"/>
  <c r="X31" i="3"/>
  <c r="X26" i="3"/>
  <c r="X21" i="3"/>
  <c r="X15" i="3"/>
  <c r="X10" i="3"/>
  <c r="X6" i="3"/>
  <c r="X1001" i="3"/>
  <c r="X995" i="3"/>
  <c r="X990" i="3"/>
  <c r="X985" i="3"/>
  <c r="X979" i="3"/>
  <c r="X974" i="3"/>
  <c r="X969" i="3"/>
  <c r="X963" i="3"/>
  <c r="X958" i="3"/>
  <c r="X953" i="3"/>
  <c r="X947" i="3"/>
  <c r="X942" i="3"/>
  <c r="X937" i="3"/>
  <c r="X931" i="3"/>
  <c r="X926" i="3"/>
  <c r="X921" i="3"/>
  <c r="X915" i="3"/>
  <c r="X910" i="3"/>
  <c r="X905" i="3"/>
  <c r="X899" i="3"/>
  <c r="X894" i="3"/>
  <c r="X889" i="3"/>
  <c r="X883" i="3"/>
  <c r="X878" i="3"/>
  <c r="X873" i="3"/>
  <c r="X867" i="3"/>
  <c r="X862" i="3"/>
  <c r="X857" i="3"/>
  <c r="X851" i="3"/>
  <c r="X846" i="3"/>
  <c r="X841" i="3"/>
  <c r="X835" i="3"/>
  <c r="X830" i="3"/>
  <c r="X825" i="3"/>
  <c r="X819" i="3"/>
  <c r="X814" i="3"/>
  <c r="X809" i="3"/>
  <c r="X803" i="3"/>
  <c r="X798" i="3"/>
  <c r="X793" i="3"/>
  <c r="X787" i="3"/>
  <c r="X782" i="3"/>
  <c r="X777" i="3"/>
  <c r="X771" i="3"/>
  <c r="X766" i="3"/>
  <c r="X761" i="3"/>
  <c r="X755" i="3"/>
  <c r="X750" i="3"/>
  <c r="X745" i="3"/>
  <c r="X739" i="3"/>
  <c r="X734" i="3"/>
  <c r="X729" i="3"/>
  <c r="X723" i="3"/>
  <c r="X718" i="3"/>
  <c r="X713" i="3"/>
  <c r="X707" i="3"/>
  <c r="X702" i="3"/>
  <c r="X697" i="3"/>
  <c r="X691" i="3"/>
  <c r="X686" i="3"/>
  <c r="X681" i="3"/>
  <c r="X675" i="3"/>
  <c r="X670" i="3"/>
  <c r="X665" i="3"/>
  <c r="X659" i="3"/>
  <c r="X654" i="3"/>
  <c r="X649" i="3"/>
  <c r="X643" i="3"/>
  <c r="X638" i="3"/>
  <c r="X633" i="3"/>
  <c r="X627" i="3"/>
  <c r="X622" i="3"/>
  <c r="X617" i="3"/>
  <c r="X611" i="3"/>
  <c r="X606" i="3"/>
  <c r="X601" i="3"/>
  <c r="X595" i="3"/>
  <c r="X590" i="3"/>
  <c r="X585" i="3"/>
  <c r="X579" i="3"/>
  <c r="X574" i="3"/>
  <c r="X569" i="3"/>
  <c r="X563" i="3"/>
  <c r="X558" i="3"/>
  <c r="X553" i="3"/>
  <c r="X547" i="3"/>
  <c r="X542" i="3"/>
  <c r="X537" i="3"/>
  <c r="X531" i="3"/>
  <c r="X526" i="3"/>
  <c r="X521" i="3"/>
  <c r="X515" i="3"/>
  <c r="X510" i="3"/>
  <c r="X505" i="3"/>
  <c r="X499" i="3"/>
  <c r="X494" i="3"/>
  <c r="X489" i="3"/>
  <c r="X483" i="3"/>
  <c r="X478" i="3"/>
  <c r="X473" i="3"/>
  <c r="X467" i="3"/>
  <c r="X462" i="3"/>
  <c r="X457" i="3"/>
  <c r="X451" i="3"/>
  <c r="X446" i="3"/>
  <c r="X441" i="3"/>
  <c r="X435" i="3"/>
  <c r="X430" i="3"/>
  <c r="X425" i="3"/>
  <c r="X419" i="3"/>
  <c r="X414" i="3"/>
  <c r="X409" i="3"/>
  <c r="X403" i="3"/>
  <c r="X398" i="3"/>
  <c r="X393" i="3"/>
  <c r="X387" i="3"/>
  <c r="X382" i="3"/>
  <c r="X377" i="3"/>
  <c r="X371" i="3"/>
  <c r="X366" i="3"/>
  <c r="X361" i="3"/>
  <c r="X355" i="3"/>
  <c r="X350" i="3"/>
  <c r="X345" i="3"/>
  <c r="X339" i="3"/>
  <c r="X334" i="3"/>
  <c r="X329" i="3"/>
  <c r="X323" i="3"/>
  <c r="X318" i="3"/>
  <c r="X313" i="3"/>
  <c r="X307" i="3"/>
  <c r="X302" i="3"/>
  <c r="X297" i="3"/>
  <c r="X291" i="3"/>
  <c r="X286" i="3"/>
  <c r="X281" i="3"/>
  <c r="X275" i="3"/>
  <c r="X270" i="3"/>
  <c r="X265" i="3"/>
  <c r="X259" i="3"/>
  <c r="X254" i="3"/>
  <c r="X249" i="3"/>
  <c r="X243" i="3"/>
  <c r="X238" i="3"/>
  <c r="X233" i="3"/>
  <c r="X227" i="3"/>
  <c r="X222" i="3"/>
  <c r="X217" i="3"/>
  <c r="X211" i="3"/>
  <c r="X206" i="3"/>
  <c r="X201" i="3"/>
  <c r="X195" i="3"/>
  <c r="X190" i="3"/>
  <c r="X185" i="3"/>
  <c r="X179" i="3"/>
  <c r="X174" i="3"/>
  <c r="X169" i="3"/>
  <c r="X163" i="3"/>
  <c r="X158" i="3"/>
  <c r="X153" i="3"/>
  <c r="X147" i="3"/>
  <c r="X142" i="3"/>
  <c r="X137" i="3"/>
  <c r="X131" i="3"/>
  <c r="X126" i="3"/>
  <c r="X121" i="3"/>
  <c r="X115" i="3"/>
  <c r="X110" i="3"/>
  <c r="X105" i="3"/>
  <c r="X99" i="3"/>
  <c r="X94" i="3"/>
  <c r="X89" i="3"/>
  <c r="X83" i="3"/>
  <c r="X78" i="3"/>
  <c r="X73" i="3"/>
  <c r="X67" i="3"/>
  <c r="X62" i="3"/>
  <c r="X57" i="3"/>
  <c r="X51" i="3"/>
  <c r="X46" i="3"/>
  <c r="X41" i="3"/>
  <c r="X35" i="3"/>
  <c r="X30" i="3"/>
  <c r="X25" i="3"/>
  <c r="X19" i="3"/>
  <c r="X14" i="3"/>
  <c r="X9" i="3"/>
  <c r="X993" i="3"/>
  <c r="X971" i="3"/>
  <c r="X950" i="3"/>
  <c r="X929" i="3"/>
  <c r="X907" i="3"/>
  <c r="X886" i="3"/>
  <c r="X865" i="3"/>
  <c r="X843" i="3"/>
  <c r="X822" i="3"/>
  <c r="X801" i="3"/>
  <c r="X779" i="3"/>
  <c r="X758" i="3"/>
  <c r="X737" i="3"/>
  <c r="X715" i="3"/>
  <c r="X694" i="3"/>
  <c r="X673" i="3"/>
  <c r="X651" i="3"/>
  <c r="X630" i="3"/>
  <c r="X609" i="3"/>
  <c r="X587" i="3"/>
  <c r="X566" i="3"/>
  <c r="X545" i="3"/>
  <c r="X523" i="3"/>
  <c r="X502" i="3"/>
  <c r="X481" i="3"/>
  <c r="X459" i="3"/>
  <c r="X438" i="3"/>
  <c r="X417" i="3"/>
  <c r="X395" i="3"/>
  <c r="X374" i="3"/>
  <c r="X353" i="3"/>
  <c r="X331" i="3"/>
  <c r="X310" i="3"/>
  <c r="X289" i="3"/>
  <c r="X267" i="3"/>
  <c r="X246" i="3"/>
  <c r="X225" i="3"/>
  <c r="X203" i="3"/>
  <c r="X182" i="3"/>
  <c r="X161" i="3"/>
  <c r="X139" i="3"/>
  <c r="X118" i="3"/>
  <c r="X97" i="3"/>
  <c r="X75" i="3"/>
  <c r="X54" i="3"/>
  <c r="X33" i="3"/>
  <c r="X11" i="3"/>
  <c r="X998" i="3"/>
  <c r="X977" i="3"/>
  <c r="X955" i="3"/>
  <c r="X934" i="3"/>
  <c r="X913" i="3"/>
  <c r="X891" i="3"/>
  <c r="X870" i="3"/>
  <c r="X849" i="3"/>
  <c r="X827" i="3"/>
  <c r="X806" i="3"/>
  <c r="X785" i="3"/>
  <c r="X763" i="3"/>
  <c r="X742" i="3"/>
  <c r="X721" i="3"/>
  <c r="X699" i="3"/>
  <c r="X678" i="3"/>
  <c r="X657" i="3"/>
  <c r="X635" i="3"/>
  <c r="X614" i="3"/>
  <c r="X593" i="3"/>
  <c r="X571" i="3"/>
  <c r="X550" i="3"/>
  <c r="X529" i="3"/>
  <c r="X507" i="3"/>
  <c r="X486" i="3"/>
  <c r="X465" i="3"/>
  <c r="X443" i="3"/>
  <c r="X422" i="3"/>
  <c r="X401" i="3"/>
  <c r="X379" i="3"/>
  <c r="X358" i="3"/>
  <c r="X337" i="3"/>
  <c r="X315" i="3"/>
  <c r="X294" i="3"/>
  <c r="X273" i="3"/>
  <c r="X251" i="3"/>
  <c r="X230" i="3"/>
  <c r="X209" i="3"/>
  <c r="X187" i="3"/>
  <c r="X166" i="3"/>
  <c r="X145" i="3"/>
  <c r="X123" i="3"/>
  <c r="X102" i="3"/>
  <c r="X81" i="3"/>
  <c r="X59" i="3"/>
  <c r="X38" i="3"/>
  <c r="X17" i="3"/>
  <c r="X987" i="3"/>
  <c r="X966" i="3"/>
  <c r="X945" i="3"/>
  <c r="X923" i="3"/>
  <c r="X902" i="3"/>
  <c r="X881" i="3"/>
  <c r="X859" i="3"/>
  <c r="X838" i="3"/>
  <c r="X817" i="3"/>
  <c r="X795" i="3"/>
  <c r="X774" i="3"/>
  <c r="X753" i="3"/>
  <c r="X731" i="3"/>
  <c r="X710" i="3"/>
  <c r="X689" i="3"/>
  <c r="X667" i="3"/>
  <c r="X646" i="3"/>
  <c r="X625" i="3"/>
  <c r="X603" i="3"/>
  <c r="X582" i="3"/>
  <c r="X561" i="3"/>
  <c r="X539" i="3"/>
  <c r="X518" i="3"/>
  <c r="X497" i="3"/>
  <c r="X475" i="3"/>
  <c r="X454" i="3"/>
  <c r="X433" i="3"/>
  <c r="X411" i="3"/>
  <c r="X390" i="3"/>
  <c r="X369" i="3"/>
  <c r="X347" i="3"/>
  <c r="X326" i="3"/>
  <c r="X305" i="3"/>
  <c r="X283" i="3"/>
  <c r="X262" i="3"/>
  <c r="X241" i="3"/>
  <c r="X219" i="3"/>
  <c r="X198" i="3"/>
  <c r="X177" i="3"/>
  <c r="X155" i="3"/>
  <c r="X134" i="3"/>
  <c r="X113" i="3"/>
  <c r="X91" i="3"/>
  <c r="X70" i="3"/>
  <c r="X49" i="3"/>
  <c r="X27" i="3"/>
  <c r="X1003" i="3"/>
  <c r="X982" i="3"/>
  <c r="X961" i="3"/>
  <c r="X939" i="3"/>
  <c r="X918" i="3"/>
  <c r="X897" i="3"/>
  <c r="X875" i="3"/>
  <c r="X854" i="3"/>
  <c r="X833" i="3"/>
  <c r="X811" i="3"/>
  <c r="X790" i="3"/>
  <c r="X769" i="3"/>
  <c r="X747" i="3"/>
  <c r="X726" i="3"/>
  <c r="X705" i="3"/>
  <c r="X683" i="3"/>
  <c r="X662" i="3"/>
  <c r="X641" i="3"/>
  <c r="X619" i="3"/>
  <c r="X598" i="3"/>
  <c r="X577" i="3"/>
  <c r="X555" i="3"/>
  <c r="X534" i="3"/>
  <c r="X513" i="3"/>
  <c r="X491" i="3"/>
  <c r="X470" i="3"/>
  <c r="X449" i="3"/>
  <c r="X427" i="3"/>
  <c r="X406" i="3"/>
  <c r="X385" i="3"/>
  <c r="X363" i="3"/>
  <c r="X342" i="3"/>
  <c r="X321" i="3"/>
  <c r="X299" i="3"/>
  <c r="X278" i="3"/>
  <c r="X257" i="3"/>
  <c r="X235" i="3"/>
  <c r="X214" i="3"/>
  <c r="X193" i="3"/>
  <c r="X171" i="3"/>
  <c r="X150" i="3"/>
  <c r="X129" i="3"/>
  <c r="X107" i="3"/>
  <c r="X86" i="3"/>
  <c r="X65" i="3"/>
  <c r="X43" i="3"/>
  <c r="X22" i="3"/>
  <c r="S1004" i="3"/>
  <c r="S1000" i="3"/>
  <c r="S996" i="3"/>
  <c r="S992" i="3"/>
  <c r="S988" i="3"/>
  <c r="S984" i="3"/>
  <c r="S980" i="3"/>
  <c r="S976" i="3"/>
  <c r="S972" i="3"/>
  <c r="S968" i="3"/>
  <c r="S964" i="3"/>
  <c r="S960" i="3"/>
  <c r="S956" i="3"/>
  <c r="S952" i="3"/>
  <c r="S948" i="3"/>
  <c r="S944" i="3"/>
  <c r="S940" i="3"/>
  <c r="S936" i="3"/>
  <c r="S932" i="3"/>
  <c r="S928" i="3"/>
  <c r="S924" i="3"/>
  <c r="S920" i="3"/>
  <c r="S916" i="3"/>
  <c r="S912" i="3"/>
  <c r="S908" i="3"/>
  <c r="S904" i="3"/>
  <c r="S900" i="3"/>
  <c r="S896" i="3"/>
  <c r="S892" i="3"/>
  <c r="S888" i="3"/>
  <c r="S884" i="3"/>
  <c r="S880" i="3"/>
  <c r="S876" i="3"/>
  <c r="S872" i="3"/>
  <c r="S868" i="3"/>
  <c r="S864" i="3"/>
  <c r="S860" i="3"/>
  <c r="S856" i="3"/>
  <c r="S852" i="3"/>
  <c r="S848" i="3"/>
  <c r="S844" i="3"/>
  <c r="S840" i="3"/>
  <c r="S836" i="3"/>
  <c r="S832" i="3"/>
  <c r="S828" i="3"/>
  <c r="S824" i="3"/>
  <c r="S820" i="3"/>
  <c r="S816" i="3"/>
  <c r="S812" i="3"/>
  <c r="S808" i="3"/>
  <c r="S804" i="3"/>
  <c r="S800" i="3"/>
  <c r="S796" i="3"/>
  <c r="S792" i="3"/>
  <c r="S788" i="3"/>
  <c r="S784" i="3"/>
  <c r="S780" i="3"/>
  <c r="S776" i="3"/>
  <c r="S772" i="3"/>
  <c r="S768" i="3"/>
  <c r="S764" i="3"/>
  <c r="S760" i="3"/>
  <c r="S756" i="3"/>
  <c r="S752" i="3"/>
  <c r="S748" i="3"/>
  <c r="S744" i="3"/>
  <c r="S740" i="3"/>
  <c r="S736" i="3"/>
  <c r="S732" i="3"/>
  <c r="S728" i="3"/>
  <c r="S724" i="3"/>
  <c r="S720" i="3"/>
  <c r="S716" i="3"/>
  <c r="S712" i="3"/>
  <c r="S708" i="3"/>
  <c r="S704" i="3"/>
  <c r="S700" i="3"/>
  <c r="S696" i="3"/>
  <c r="S692" i="3"/>
  <c r="S688" i="3"/>
  <c r="S684" i="3"/>
  <c r="S680" i="3"/>
  <c r="S676" i="3"/>
  <c r="S672" i="3"/>
  <c r="S668" i="3"/>
  <c r="S664" i="3"/>
  <c r="S660" i="3"/>
  <c r="S656" i="3"/>
  <c r="S652" i="3"/>
  <c r="S648" i="3"/>
  <c r="S644" i="3"/>
  <c r="S640" i="3"/>
  <c r="S636" i="3"/>
  <c r="S632" i="3"/>
  <c r="S628" i="3"/>
  <c r="S624" i="3"/>
  <c r="S620" i="3"/>
  <c r="S616" i="3"/>
  <c r="S612" i="3"/>
  <c r="S608" i="3"/>
  <c r="S604" i="3"/>
  <c r="S600" i="3"/>
  <c r="S596" i="3"/>
  <c r="S592" i="3"/>
  <c r="S588" i="3"/>
  <c r="S584" i="3"/>
  <c r="S580" i="3"/>
  <c r="S576" i="3"/>
  <c r="S572" i="3"/>
  <c r="S568" i="3"/>
  <c r="S564" i="3"/>
  <c r="S560" i="3"/>
  <c r="S556" i="3"/>
  <c r="S552" i="3"/>
  <c r="S548" i="3"/>
  <c r="S544" i="3"/>
  <c r="S540" i="3"/>
  <c r="S536" i="3"/>
  <c r="S532" i="3"/>
  <c r="S528" i="3"/>
  <c r="S524" i="3"/>
  <c r="S520" i="3"/>
  <c r="S516" i="3"/>
  <c r="S512" i="3"/>
  <c r="S508" i="3"/>
  <c r="S504" i="3"/>
  <c r="S500" i="3"/>
  <c r="S496" i="3"/>
  <c r="S492" i="3"/>
  <c r="S488" i="3"/>
  <c r="S484" i="3"/>
  <c r="S480" i="3"/>
  <c r="S476" i="3"/>
  <c r="S472" i="3"/>
  <c r="S468" i="3"/>
  <c r="S464" i="3"/>
  <c r="S460" i="3"/>
  <c r="S456" i="3"/>
  <c r="S452" i="3"/>
  <c r="S448" i="3"/>
  <c r="S444" i="3"/>
  <c r="S440" i="3"/>
  <c r="S436" i="3"/>
  <c r="S432" i="3"/>
  <c r="S428" i="3"/>
  <c r="S424" i="3"/>
  <c r="S420" i="3"/>
  <c r="S416" i="3"/>
  <c r="S412" i="3"/>
  <c r="S408" i="3"/>
  <c r="S404" i="3"/>
  <c r="S400" i="3"/>
  <c r="S396" i="3"/>
  <c r="S392" i="3"/>
  <c r="S388" i="3"/>
  <c r="S384" i="3"/>
  <c r="S380" i="3"/>
  <c r="S376" i="3"/>
  <c r="S372" i="3"/>
  <c r="S368" i="3"/>
  <c r="S364" i="3"/>
  <c r="S360" i="3"/>
  <c r="S356" i="3"/>
  <c r="S352" i="3"/>
  <c r="S348" i="3"/>
  <c r="S344" i="3"/>
  <c r="S340" i="3"/>
  <c r="S336" i="3"/>
  <c r="S332" i="3"/>
  <c r="S328" i="3"/>
  <c r="S324" i="3"/>
  <c r="S320" i="3"/>
  <c r="S316" i="3"/>
  <c r="S312" i="3"/>
  <c r="S308" i="3"/>
  <c r="S304" i="3"/>
  <c r="S300" i="3"/>
  <c r="S296" i="3"/>
  <c r="S292" i="3"/>
  <c r="S288" i="3"/>
  <c r="S284" i="3"/>
  <c r="S280" i="3"/>
  <c r="S276" i="3"/>
  <c r="S272" i="3"/>
  <c r="S268" i="3"/>
  <c r="S264" i="3"/>
  <c r="S260" i="3"/>
  <c r="S256" i="3"/>
  <c r="S252" i="3"/>
  <c r="S248" i="3"/>
  <c r="S244" i="3"/>
  <c r="S240" i="3"/>
  <c r="S236" i="3"/>
  <c r="S232" i="3"/>
  <c r="S228" i="3"/>
  <c r="S224" i="3"/>
  <c r="S220" i="3"/>
  <c r="S216" i="3"/>
  <c r="S212" i="3"/>
  <c r="S208" i="3"/>
  <c r="S204" i="3"/>
  <c r="S200" i="3"/>
  <c r="S196" i="3"/>
  <c r="S192" i="3"/>
  <c r="S188" i="3"/>
  <c r="S184" i="3"/>
  <c r="S180" i="3"/>
  <c r="S176" i="3"/>
  <c r="S172" i="3"/>
  <c r="S168" i="3"/>
  <c r="S164" i="3"/>
  <c r="S160" i="3"/>
  <c r="S156" i="3"/>
  <c r="S152" i="3"/>
  <c r="S148" i="3"/>
  <c r="S144" i="3"/>
  <c r="S140" i="3"/>
  <c r="S136" i="3"/>
  <c r="S132" i="3"/>
  <c r="S128" i="3"/>
  <c r="S124" i="3"/>
  <c r="S120" i="3"/>
  <c r="S116" i="3"/>
  <c r="S112" i="3"/>
  <c r="S108" i="3"/>
  <c r="S104" i="3"/>
  <c r="S100" i="3"/>
  <c r="S96" i="3"/>
  <c r="S92" i="3"/>
  <c r="S88" i="3"/>
  <c r="S84" i="3"/>
  <c r="S80" i="3"/>
  <c r="S76" i="3"/>
  <c r="S72" i="3"/>
  <c r="S68" i="3"/>
  <c r="S64" i="3"/>
  <c r="S60" i="3"/>
  <c r="S56" i="3"/>
  <c r="S52" i="3"/>
  <c r="S48" i="3"/>
  <c r="S44" i="3"/>
  <c r="S40" i="3"/>
  <c r="S36" i="3"/>
  <c r="S32" i="3"/>
  <c r="S28" i="3"/>
  <c r="S24" i="3"/>
  <c r="S20" i="3"/>
  <c r="S16" i="3"/>
  <c r="S12" i="3"/>
  <c r="S8" i="3"/>
  <c r="S1002" i="3"/>
  <c r="S997" i="3"/>
  <c r="S991" i="3"/>
  <c r="S986" i="3"/>
  <c r="S981" i="3"/>
  <c r="S975" i="3"/>
  <c r="S970" i="3"/>
  <c r="S965" i="3"/>
  <c r="S959" i="3"/>
  <c r="S954" i="3"/>
  <c r="S949" i="3"/>
  <c r="S943" i="3"/>
  <c r="S938" i="3"/>
  <c r="S933" i="3"/>
  <c r="S927" i="3"/>
  <c r="S922" i="3"/>
  <c r="S917" i="3"/>
  <c r="S911" i="3"/>
  <c r="S906" i="3"/>
  <c r="S901" i="3"/>
  <c r="S895" i="3"/>
  <c r="S890" i="3"/>
  <c r="S885" i="3"/>
  <c r="S879" i="3"/>
  <c r="S874" i="3"/>
  <c r="S869" i="3"/>
  <c r="S863" i="3"/>
  <c r="S858" i="3"/>
  <c r="S853" i="3"/>
  <c r="S847" i="3"/>
  <c r="S842" i="3"/>
  <c r="S837" i="3"/>
  <c r="S831" i="3"/>
  <c r="S826" i="3"/>
  <c r="S821" i="3"/>
  <c r="S815" i="3"/>
  <c r="S810" i="3"/>
  <c r="S805" i="3"/>
  <c r="S799" i="3"/>
  <c r="S794" i="3"/>
  <c r="S789" i="3"/>
  <c r="S783" i="3"/>
  <c r="S778" i="3"/>
  <c r="S773" i="3"/>
  <c r="S767" i="3"/>
  <c r="S762" i="3"/>
  <c r="S757" i="3"/>
  <c r="S751" i="3"/>
  <c r="S746" i="3"/>
  <c r="S741" i="3"/>
  <c r="S735" i="3"/>
  <c r="S730" i="3"/>
  <c r="S725" i="3"/>
  <c r="S719" i="3"/>
  <c r="S714" i="3"/>
  <c r="S709" i="3"/>
  <c r="S703" i="3"/>
  <c r="S698" i="3"/>
  <c r="S693" i="3"/>
  <c r="S687" i="3"/>
  <c r="S682" i="3"/>
  <c r="S677" i="3"/>
  <c r="S671" i="3"/>
  <c r="S666" i="3"/>
  <c r="S661" i="3"/>
  <c r="S655" i="3"/>
  <c r="S650" i="3"/>
  <c r="S645" i="3"/>
  <c r="S639" i="3"/>
  <c r="S634" i="3"/>
  <c r="S629" i="3"/>
  <c r="S623" i="3"/>
  <c r="S618" i="3"/>
  <c r="S613" i="3"/>
  <c r="S607" i="3"/>
  <c r="S602" i="3"/>
  <c r="S597" i="3"/>
  <c r="S591" i="3"/>
  <c r="S586" i="3"/>
  <c r="S581" i="3"/>
  <c r="S575" i="3"/>
  <c r="S570" i="3"/>
  <c r="S565" i="3"/>
  <c r="S559" i="3"/>
  <c r="S554" i="3"/>
  <c r="S549" i="3"/>
  <c r="S543" i="3"/>
  <c r="S538" i="3"/>
  <c r="S533" i="3"/>
  <c r="S527" i="3"/>
  <c r="S522" i="3"/>
  <c r="S517" i="3"/>
  <c r="S511" i="3"/>
  <c r="S506" i="3"/>
  <c r="S501" i="3"/>
  <c r="S495" i="3"/>
  <c r="S490" i="3"/>
  <c r="S485" i="3"/>
  <c r="S479" i="3"/>
  <c r="S474" i="3"/>
  <c r="S469" i="3"/>
  <c r="S463" i="3"/>
  <c r="S458" i="3"/>
  <c r="S453" i="3"/>
  <c r="S447" i="3"/>
  <c r="S442" i="3"/>
  <c r="S437" i="3"/>
  <c r="S431" i="3"/>
  <c r="S426" i="3"/>
  <c r="S421" i="3"/>
  <c r="S415" i="3"/>
  <c r="S410" i="3"/>
  <c r="S405" i="3"/>
  <c r="S399" i="3"/>
  <c r="S394" i="3"/>
  <c r="S389" i="3"/>
  <c r="S383" i="3"/>
  <c r="S378" i="3"/>
  <c r="S373" i="3"/>
  <c r="S367" i="3"/>
  <c r="S362" i="3"/>
  <c r="S357" i="3"/>
  <c r="S351" i="3"/>
  <c r="S346" i="3"/>
  <c r="S341" i="3"/>
  <c r="S335" i="3"/>
  <c r="S330" i="3"/>
  <c r="S325" i="3"/>
  <c r="S319" i="3"/>
  <c r="S314" i="3"/>
  <c r="S309" i="3"/>
  <c r="S303" i="3"/>
  <c r="S298" i="3"/>
  <c r="S293" i="3"/>
  <c r="S287" i="3"/>
  <c r="S282" i="3"/>
  <c r="S277" i="3"/>
  <c r="S271" i="3"/>
  <c r="S266" i="3"/>
  <c r="S261" i="3"/>
  <c r="S255" i="3"/>
  <c r="S250" i="3"/>
  <c r="S245" i="3"/>
  <c r="S239" i="3"/>
  <c r="S234" i="3"/>
  <c r="S229" i="3"/>
  <c r="S223" i="3"/>
  <c r="S218" i="3"/>
  <c r="S213" i="3"/>
  <c r="S207" i="3"/>
  <c r="S202" i="3"/>
  <c r="S197" i="3"/>
  <c r="S191" i="3"/>
  <c r="S186" i="3"/>
  <c r="S181" i="3"/>
  <c r="S175" i="3"/>
  <c r="S170" i="3"/>
  <c r="S165" i="3"/>
  <c r="S159" i="3"/>
  <c r="S154" i="3"/>
  <c r="S149" i="3"/>
  <c r="S143" i="3"/>
  <c r="S138" i="3"/>
  <c r="S133" i="3"/>
  <c r="S127" i="3"/>
  <c r="S122" i="3"/>
  <c r="S117" i="3"/>
  <c r="S111" i="3"/>
  <c r="S106" i="3"/>
  <c r="S101" i="3"/>
  <c r="S95" i="3"/>
  <c r="S90" i="3"/>
  <c r="S85" i="3"/>
  <c r="S79" i="3"/>
  <c r="S74" i="3"/>
  <c r="S69" i="3"/>
  <c r="S63" i="3"/>
  <c r="S58" i="3"/>
  <c r="S53" i="3"/>
  <c r="S47" i="3"/>
  <c r="S42" i="3"/>
  <c r="S37" i="3"/>
  <c r="S31" i="3"/>
  <c r="S26" i="3"/>
  <c r="S21" i="3"/>
  <c r="S15" i="3"/>
  <c r="S10" i="3"/>
  <c r="S6" i="3"/>
  <c r="S999" i="3"/>
  <c r="S994" i="3"/>
  <c r="S989" i="3"/>
  <c r="S983" i="3"/>
  <c r="S978" i="3"/>
  <c r="S973" i="3"/>
  <c r="S967" i="3"/>
  <c r="S962" i="3"/>
  <c r="S957" i="3"/>
  <c r="S951" i="3"/>
  <c r="S946" i="3"/>
  <c r="S941" i="3"/>
  <c r="S935" i="3"/>
  <c r="S930" i="3"/>
  <c r="S925" i="3"/>
  <c r="S919" i="3"/>
  <c r="S914" i="3"/>
  <c r="S909" i="3"/>
  <c r="S903" i="3"/>
  <c r="S898" i="3"/>
  <c r="S893" i="3"/>
  <c r="S887" i="3"/>
  <c r="S882" i="3"/>
  <c r="S877" i="3"/>
  <c r="S871" i="3"/>
  <c r="S866" i="3"/>
  <c r="S861" i="3"/>
  <c r="S855" i="3"/>
  <c r="S850" i="3"/>
  <c r="S845" i="3"/>
  <c r="S839" i="3"/>
  <c r="S834" i="3"/>
  <c r="S829" i="3"/>
  <c r="S823" i="3"/>
  <c r="S818" i="3"/>
  <c r="S813" i="3"/>
  <c r="S807" i="3"/>
  <c r="S802" i="3"/>
  <c r="S797" i="3"/>
  <c r="S791" i="3"/>
  <c r="S786" i="3"/>
  <c r="S781" i="3"/>
  <c r="S775" i="3"/>
  <c r="S770" i="3"/>
  <c r="S765" i="3"/>
  <c r="S759" i="3"/>
  <c r="S754" i="3"/>
  <c r="S749" i="3"/>
  <c r="S743" i="3"/>
  <c r="S738" i="3"/>
  <c r="S733" i="3"/>
  <c r="S727" i="3"/>
  <c r="S722" i="3"/>
  <c r="S717" i="3"/>
  <c r="S711" i="3"/>
  <c r="S706" i="3"/>
  <c r="S701" i="3"/>
  <c r="S695" i="3"/>
  <c r="S690" i="3"/>
  <c r="S685" i="3"/>
  <c r="S679" i="3"/>
  <c r="S674" i="3"/>
  <c r="S669" i="3"/>
  <c r="S663" i="3"/>
  <c r="S658" i="3"/>
  <c r="S653" i="3"/>
  <c r="S647" i="3"/>
  <c r="S642" i="3"/>
  <c r="S637" i="3"/>
  <c r="S631" i="3"/>
  <c r="S626" i="3"/>
  <c r="S621" i="3"/>
  <c r="S615" i="3"/>
  <c r="S610" i="3"/>
  <c r="S605" i="3"/>
  <c r="S599" i="3"/>
  <c r="S594" i="3"/>
  <c r="S589" i="3"/>
  <c r="S583" i="3"/>
  <c r="S578" i="3"/>
  <c r="S573" i="3"/>
  <c r="S567" i="3"/>
  <c r="S562" i="3"/>
  <c r="S557" i="3"/>
  <c r="S551" i="3"/>
  <c r="S546" i="3"/>
  <c r="S541" i="3"/>
  <c r="S535" i="3"/>
  <c r="S530" i="3"/>
  <c r="S525" i="3"/>
  <c r="S519" i="3"/>
  <c r="S514" i="3"/>
  <c r="S509" i="3"/>
  <c r="S503" i="3"/>
  <c r="S498" i="3"/>
  <c r="S493" i="3"/>
  <c r="S487" i="3"/>
  <c r="S482" i="3"/>
  <c r="S477" i="3"/>
  <c r="S471" i="3"/>
  <c r="S466" i="3"/>
  <c r="S461" i="3"/>
  <c r="S455" i="3"/>
  <c r="S450" i="3"/>
  <c r="S445" i="3"/>
  <c r="S439" i="3"/>
  <c r="S434" i="3"/>
  <c r="S429" i="3"/>
  <c r="S423" i="3"/>
  <c r="S418" i="3"/>
  <c r="S413" i="3"/>
  <c r="S407" i="3"/>
  <c r="S402" i="3"/>
  <c r="S397" i="3"/>
  <c r="S391" i="3"/>
  <c r="S386" i="3"/>
  <c r="S381" i="3"/>
  <c r="S375" i="3"/>
  <c r="S370" i="3"/>
  <c r="S365" i="3"/>
  <c r="S359" i="3"/>
  <c r="S354" i="3"/>
  <c r="S349" i="3"/>
  <c r="S343" i="3"/>
  <c r="S338" i="3"/>
  <c r="S333" i="3"/>
  <c r="S327" i="3"/>
  <c r="S322" i="3"/>
  <c r="S317" i="3"/>
  <c r="S311" i="3"/>
  <c r="S306" i="3"/>
  <c r="S301" i="3"/>
  <c r="S295" i="3"/>
  <c r="S290" i="3"/>
  <c r="S285" i="3"/>
  <c r="S279" i="3"/>
  <c r="S274" i="3"/>
  <c r="S269" i="3"/>
  <c r="S263" i="3"/>
  <c r="S258" i="3"/>
  <c r="S253" i="3"/>
  <c r="S247" i="3"/>
  <c r="S242" i="3"/>
  <c r="S237" i="3"/>
  <c r="S231" i="3"/>
  <c r="S226" i="3"/>
  <c r="S221" i="3"/>
  <c r="S215" i="3"/>
  <c r="S210" i="3"/>
  <c r="S205" i="3"/>
  <c r="S199" i="3"/>
  <c r="S194" i="3"/>
  <c r="S189" i="3"/>
  <c r="S183" i="3"/>
  <c r="S178" i="3"/>
  <c r="S173" i="3"/>
  <c r="S167" i="3"/>
  <c r="S162" i="3"/>
  <c r="S157" i="3"/>
  <c r="S151" i="3"/>
  <c r="S146" i="3"/>
  <c r="S141" i="3"/>
  <c r="S135" i="3"/>
  <c r="S130" i="3"/>
  <c r="S125" i="3"/>
  <c r="S119" i="3"/>
  <c r="S114" i="3"/>
  <c r="S109" i="3"/>
  <c r="S103" i="3"/>
  <c r="S98" i="3"/>
  <c r="S93" i="3"/>
  <c r="S87" i="3"/>
  <c r="S82" i="3"/>
  <c r="S77" i="3"/>
  <c r="S71" i="3"/>
  <c r="S66" i="3"/>
  <c r="S61" i="3"/>
  <c r="S55" i="3"/>
  <c r="S50" i="3"/>
  <c r="S45" i="3"/>
  <c r="S39" i="3"/>
  <c r="S34" i="3"/>
  <c r="S29" i="3"/>
  <c r="S23" i="3"/>
  <c r="S18" i="3"/>
  <c r="S13" i="3"/>
  <c r="S7" i="3"/>
  <c r="S1003" i="3"/>
  <c r="S998" i="3"/>
  <c r="S993" i="3"/>
  <c r="S987" i="3"/>
  <c r="S982" i="3"/>
  <c r="S977" i="3"/>
  <c r="S971" i="3"/>
  <c r="S966" i="3"/>
  <c r="S961" i="3"/>
  <c r="S955" i="3"/>
  <c r="S950" i="3"/>
  <c r="S945" i="3"/>
  <c r="S939" i="3"/>
  <c r="S934" i="3"/>
  <c r="S929" i="3"/>
  <c r="S923" i="3"/>
  <c r="S918" i="3"/>
  <c r="S913" i="3"/>
  <c r="S907" i="3"/>
  <c r="S902" i="3"/>
  <c r="S897" i="3"/>
  <c r="S891" i="3"/>
  <c r="S886" i="3"/>
  <c r="S881" i="3"/>
  <c r="S875" i="3"/>
  <c r="S870" i="3"/>
  <c r="S865" i="3"/>
  <c r="S859" i="3"/>
  <c r="S854" i="3"/>
  <c r="S849" i="3"/>
  <c r="S843" i="3"/>
  <c r="S838" i="3"/>
  <c r="S833" i="3"/>
  <c r="S827" i="3"/>
  <c r="S822" i="3"/>
  <c r="S817" i="3"/>
  <c r="S811" i="3"/>
  <c r="S806" i="3"/>
  <c r="S801" i="3"/>
  <c r="S795" i="3"/>
  <c r="S790" i="3"/>
  <c r="S785" i="3"/>
  <c r="S779" i="3"/>
  <c r="S774" i="3"/>
  <c r="S769" i="3"/>
  <c r="S763" i="3"/>
  <c r="S758" i="3"/>
  <c r="S753" i="3"/>
  <c r="S747" i="3"/>
  <c r="S742" i="3"/>
  <c r="S737" i="3"/>
  <c r="S731" i="3"/>
  <c r="S726" i="3"/>
  <c r="S721" i="3"/>
  <c r="S715" i="3"/>
  <c r="S710" i="3"/>
  <c r="S705" i="3"/>
  <c r="S699" i="3"/>
  <c r="S694" i="3"/>
  <c r="S689" i="3"/>
  <c r="S683" i="3"/>
  <c r="S678" i="3"/>
  <c r="S673" i="3"/>
  <c r="S667" i="3"/>
  <c r="S662" i="3"/>
  <c r="S657" i="3"/>
  <c r="S651" i="3"/>
  <c r="S646" i="3"/>
  <c r="S641" i="3"/>
  <c r="S635" i="3"/>
  <c r="S630" i="3"/>
  <c r="S625" i="3"/>
  <c r="S619" i="3"/>
  <c r="S614" i="3"/>
  <c r="S609" i="3"/>
  <c r="S603" i="3"/>
  <c r="S598" i="3"/>
  <c r="S593" i="3"/>
  <c r="S587" i="3"/>
  <c r="S582" i="3"/>
  <c r="S577" i="3"/>
  <c r="S571" i="3"/>
  <c r="S566" i="3"/>
  <c r="S561" i="3"/>
  <c r="S555" i="3"/>
  <c r="S550" i="3"/>
  <c r="S545" i="3"/>
  <c r="S539" i="3"/>
  <c r="S534" i="3"/>
  <c r="S529" i="3"/>
  <c r="S523" i="3"/>
  <c r="S518" i="3"/>
  <c r="S513" i="3"/>
  <c r="S507" i="3"/>
  <c r="S502" i="3"/>
  <c r="S497" i="3"/>
  <c r="S491" i="3"/>
  <c r="S486" i="3"/>
  <c r="S481" i="3"/>
  <c r="S475" i="3"/>
  <c r="S470" i="3"/>
  <c r="S465" i="3"/>
  <c r="S459" i="3"/>
  <c r="S454" i="3"/>
  <c r="S449" i="3"/>
  <c r="S443" i="3"/>
  <c r="S438" i="3"/>
  <c r="S433" i="3"/>
  <c r="S427" i="3"/>
  <c r="S422" i="3"/>
  <c r="S417" i="3"/>
  <c r="S411" i="3"/>
  <c r="S406" i="3"/>
  <c r="S401" i="3"/>
  <c r="S395" i="3"/>
  <c r="S390" i="3"/>
  <c r="S385" i="3"/>
  <c r="S379" i="3"/>
  <c r="S374" i="3"/>
  <c r="S369" i="3"/>
  <c r="S363" i="3"/>
  <c r="S358" i="3"/>
  <c r="S353" i="3"/>
  <c r="S347" i="3"/>
  <c r="S342" i="3"/>
  <c r="S337" i="3"/>
  <c r="S331" i="3"/>
  <c r="S326" i="3"/>
  <c r="S321" i="3"/>
  <c r="S315" i="3"/>
  <c r="S310" i="3"/>
  <c r="S305" i="3"/>
  <c r="S299" i="3"/>
  <c r="S294" i="3"/>
  <c r="S289" i="3"/>
  <c r="S283" i="3"/>
  <c r="S278" i="3"/>
  <c r="S273" i="3"/>
  <c r="S267" i="3"/>
  <c r="S262" i="3"/>
  <c r="S257" i="3"/>
  <c r="S251" i="3"/>
  <c r="S246" i="3"/>
  <c r="S241" i="3"/>
  <c r="S235" i="3"/>
  <c r="S230" i="3"/>
  <c r="S225" i="3"/>
  <c r="S219" i="3"/>
  <c r="S214" i="3"/>
  <c r="S209" i="3"/>
  <c r="S203" i="3"/>
  <c r="S198" i="3"/>
  <c r="S193" i="3"/>
  <c r="S187" i="3"/>
  <c r="S182" i="3"/>
  <c r="S177" i="3"/>
  <c r="S171" i="3"/>
  <c r="S166" i="3"/>
  <c r="S161" i="3"/>
  <c r="S155" i="3"/>
  <c r="S150" i="3"/>
  <c r="S145" i="3"/>
  <c r="S139" i="3"/>
  <c r="S134" i="3"/>
  <c r="S129" i="3"/>
  <c r="S123" i="3"/>
  <c r="S118" i="3"/>
  <c r="S113" i="3"/>
  <c r="S107" i="3"/>
  <c r="S102" i="3"/>
  <c r="S97" i="3"/>
  <c r="S91" i="3"/>
  <c r="S86" i="3"/>
  <c r="S81" i="3"/>
  <c r="S75" i="3"/>
  <c r="S70" i="3"/>
  <c r="S65" i="3"/>
  <c r="S59" i="3"/>
  <c r="S54" i="3"/>
  <c r="S49" i="3"/>
  <c r="S43" i="3"/>
  <c r="S38" i="3"/>
  <c r="S33" i="3"/>
  <c r="S27" i="3"/>
  <c r="S22" i="3"/>
  <c r="S17" i="3"/>
  <c r="S11" i="3"/>
  <c r="S1001" i="3"/>
  <c r="S979" i="3"/>
  <c r="S958" i="3"/>
  <c r="S937" i="3"/>
  <c r="S915" i="3"/>
  <c r="S894" i="3"/>
  <c r="S873" i="3"/>
  <c r="S851" i="3"/>
  <c r="S830" i="3"/>
  <c r="S809" i="3"/>
  <c r="S787" i="3"/>
  <c r="S766" i="3"/>
  <c r="S745" i="3"/>
  <c r="S723" i="3"/>
  <c r="S702" i="3"/>
  <c r="S681" i="3"/>
  <c r="S659" i="3"/>
  <c r="S638" i="3"/>
  <c r="S617" i="3"/>
  <c r="S595" i="3"/>
  <c r="S574" i="3"/>
  <c r="S553" i="3"/>
  <c r="S531" i="3"/>
  <c r="S510" i="3"/>
  <c r="S489" i="3"/>
  <c r="S467" i="3"/>
  <c r="S446" i="3"/>
  <c r="S425" i="3"/>
  <c r="S403" i="3"/>
  <c r="S382" i="3"/>
  <c r="S361" i="3"/>
  <c r="S339" i="3"/>
  <c r="S318" i="3"/>
  <c r="S297" i="3"/>
  <c r="S275" i="3"/>
  <c r="S254" i="3"/>
  <c r="S233" i="3"/>
  <c r="S211" i="3"/>
  <c r="S190" i="3"/>
  <c r="S169" i="3"/>
  <c r="S147" i="3"/>
  <c r="S126" i="3"/>
  <c r="S105" i="3"/>
  <c r="S83" i="3"/>
  <c r="S62" i="3"/>
  <c r="S41" i="3"/>
  <c r="S19" i="3"/>
  <c r="S995" i="3"/>
  <c r="S974" i="3"/>
  <c r="S953" i="3"/>
  <c r="S931" i="3"/>
  <c r="S910" i="3"/>
  <c r="S889" i="3"/>
  <c r="S867" i="3"/>
  <c r="S846" i="3"/>
  <c r="S825" i="3"/>
  <c r="S803" i="3"/>
  <c r="S782" i="3"/>
  <c r="S761" i="3"/>
  <c r="S739" i="3"/>
  <c r="S718" i="3"/>
  <c r="S697" i="3"/>
  <c r="S675" i="3"/>
  <c r="S654" i="3"/>
  <c r="S633" i="3"/>
  <c r="S611" i="3"/>
  <c r="S590" i="3"/>
  <c r="S569" i="3"/>
  <c r="S547" i="3"/>
  <c r="S526" i="3"/>
  <c r="S505" i="3"/>
  <c r="S483" i="3"/>
  <c r="S462" i="3"/>
  <c r="S441" i="3"/>
  <c r="S419" i="3"/>
  <c r="S398" i="3"/>
  <c r="S377" i="3"/>
  <c r="S355" i="3"/>
  <c r="S334" i="3"/>
  <c r="S313" i="3"/>
  <c r="S291" i="3"/>
  <c r="S270" i="3"/>
  <c r="S249" i="3"/>
  <c r="S227" i="3"/>
  <c r="S206" i="3"/>
  <c r="S185" i="3"/>
  <c r="S163" i="3"/>
  <c r="S142" i="3"/>
  <c r="S121" i="3"/>
  <c r="S99" i="3"/>
  <c r="S78" i="3"/>
  <c r="S57" i="3"/>
  <c r="S35" i="3"/>
  <c r="S14" i="3"/>
  <c r="S963" i="3"/>
  <c r="S942" i="3"/>
  <c r="S921" i="3"/>
  <c r="S899" i="3"/>
  <c r="S878" i="3"/>
  <c r="S835" i="3"/>
  <c r="S814" i="3"/>
  <c r="S771" i="3"/>
  <c r="S729" i="3"/>
  <c r="S686" i="3"/>
  <c r="S643" i="3"/>
  <c r="S601" i="3"/>
  <c r="S558" i="3"/>
  <c r="S515" i="3"/>
  <c r="S473" i="3"/>
  <c r="S430" i="3"/>
  <c r="S387" i="3"/>
  <c r="S345" i="3"/>
  <c r="S302" i="3"/>
  <c r="S238" i="3"/>
  <c r="S195" i="3"/>
  <c r="S153" i="3"/>
  <c r="S110" i="3"/>
  <c r="S89" i="3"/>
  <c r="S46" i="3"/>
  <c r="S990" i="3"/>
  <c r="S969" i="3"/>
  <c r="S947" i="3"/>
  <c r="S926" i="3"/>
  <c r="S905" i="3"/>
  <c r="S883" i="3"/>
  <c r="S862" i="3"/>
  <c r="S841" i="3"/>
  <c r="S819" i="3"/>
  <c r="S798" i="3"/>
  <c r="S777" i="3"/>
  <c r="S755" i="3"/>
  <c r="S734" i="3"/>
  <c r="S713" i="3"/>
  <c r="S691" i="3"/>
  <c r="S670" i="3"/>
  <c r="S649" i="3"/>
  <c r="S627" i="3"/>
  <c r="S606" i="3"/>
  <c r="S585" i="3"/>
  <c r="S563" i="3"/>
  <c r="S542" i="3"/>
  <c r="S521" i="3"/>
  <c r="S499" i="3"/>
  <c r="S478" i="3"/>
  <c r="S457" i="3"/>
  <c r="S435" i="3"/>
  <c r="S414" i="3"/>
  <c r="S393" i="3"/>
  <c r="S371" i="3"/>
  <c r="S350" i="3"/>
  <c r="S329" i="3"/>
  <c r="S307" i="3"/>
  <c r="S286" i="3"/>
  <c r="S265" i="3"/>
  <c r="S243" i="3"/>
  <c r="S222" i="3"/>
  <c r="S201" i="3"/>
  <c r="S179" i="3"/>
  <c r="S158" i="3"/>
  <c r="S137" i="3"/>
  <c r="S115" i="3"/>
  <c r="S94" i="3"/>
  <c r="S73" i="3"/>
  <c r="S51" i="3"/>
  <c r="S30" i="3"/>
  <c r="S9" i="3"/>
  <c r="S985" i="3"/>
  <c r="S857" i="3"/>
  <c r="S793" i="3"/>
  <c r="S750" i="3"/>
  <c r="S707" i="3"/>
  <c r="S665" i="3"/>
  <c r="S622" i="3"/>
  <c r="S579" i="3"/>
  <c r="S537" i="3"/>
  <c r="S494" i="3"/>
  <c r="S451" i="3"/>
  <c r="S409" i="3"/>
  <c r="S366" i="3"/>
  <c r="S323" i="3"/>
  <c r="S281" i="3"/>
  <c r="S259" i="3"/>
  <c r="S217" i="3"/>
  <c r="S174" i="3"/>
  <c r="S131" i="3"/>
  <c r="S67" i="3"/>
  <c r="S25" i="3"/>
  <c r="K1002" i="3"/>
  <c r="K998" i="3"/>
  <c r="K994" i="3"/>
  <c r="K990" i="3"/>
  <c r="K986" i="3"/>
  <c r="K982" i="3"/>
  <c r="K978" i="3"/>
  <c r="K974" i="3"/>
  <c r="K970" i="3"/>
  <c r="K966" i="3"/>
  <c r="K962" i="3"/>
  <c r="K958" i="3"/>
  <c r="K954" i="3"/>
  <c r="K950" i="3"/>
  <c r="K946" i="3"/>
  <c r="K942" i="3"/>
  <c r="K938" i="3"/>
  <c r="K934" i="3"/>
  <c r="K930" i="3"/>
  <c r="K926" i="3"/>
  <c r="K922" i="3"/>
  <c r="K918" i="3"/>
  <c r="K914" i="3"/>
  <c r="K910" i="3"/>
  <c r="K906" i="3"/>
  <c r="K902" i="3"/>
  <c r="K898" i="3"/>
  <c r="K894" i="3"/>
  <c r="K890" i="3"/>
  <c r="K886" i="3"/>
  <c r="K882" i="3"/>
  <c r="K878" i="3"/>
  <c r="K874" i="3"/>
  <c r="K870" i="3"/>
  <c r="K866" i="3"/>
  <c r="K862" i="3"/>
  <c r="K858" i="3"/>
  <c r="K854" i="3"/>
  <c r="K850" i="3"/>
  <c r="K846" i="3"/>
  <c r="K842" i="3"/>
  <c r="K838" i="3"/>
  <c r="K834" i="3"/>
  <c r="K830" i="3"/>
  <c r="K826" i="3"/>
  <c r="K822" i="3"/>
  <c r="K818" i="3"/>
  <c r="K814" i="3"/>
  <c r="K810" i="3"/>
  <c r="K806" i="3"/>
  <c r="K802" i="3"/>
  <c r="K798" i="3"/>
  <c r="K794" i="3"/>
  <c r="K790" i="3"/>
  <c r="K786" i="3"/>
  <c r="K782" i="3"/>
  <c r="K778" i="3"/>
  <c r="K774" i="3"/>
  <c r="K770" i="3"/>
  <c r="K766" i="3"/>
  <c r="K762" i="3"/>
  <c r="K758" i="3"/>
  <c r="K754" i="3"/>
  <c r="K750" i="3"/>
  <c r="K746" i="3"/>
  <c r="K742" i="3"/>
  <c r="K738" i="3"/>
  <c r="K734" i="3"/>
  <c r="K730" i="3"/>
  <c r="K726" i="3"/>
  <c r="K722" i="3"/>
  <c r="K718" i="3"/>
  <c r="K714" i="3"/>
  <c r="K710" i="3"/>
  <c r="K706" i="3"/>
  <c r="K702" i="3"/>
  <c r="K698" i="3"/>
  <c r="K694" i="3"/>
  <c r="K690" i="3"/>
  <c r="K686" i="3"/>
  <c r="K682" i="3"/>
  <c r="K678" i="3"/>
  <c r="K674" i="3"/>
  <c r="K670" i="3"/>
  <c r="K666" i="3"/>
  <c r="K662" i="3"/>
  <c r="K658" i="3"/>
  <c r="K654" i="3"/>
  <c r="K650" i="3"/>
  <c r="K646" i="3"/>
  <c r="K642" i="3"/>
  <c r="K638" i="3"/>
  <c r="K634" i="3"/>
  <c r="K630" i="3"/>
  <c r="K626" i="3"/>
  <c r="K622" i="3"/>
  <c r="K618" i="3"/>
  <c r="K614" i="3"/>
  <c r="K610" i="3"/>
  <c r="K606" i="3"/>
  <c r="K602" i="3"/>
  <c r="K598" i="3"/>
  <c r="K594" i="3"/>
  <c r="K590" i="3"/>
  <c r="K586" i="3"/>
  <c r="K582" i="3"/>
  <c r="K578" i="3"/>
  <c r="K574" i="3"/>
  <c r="K570" i="3"/>
  <c r="K566" i="3"/>
  <c r="K562" i="3"/>
  <c r="K558" i="3"/>
  <c r="K554" i="3"/>
  <c r="K550" i="3"/>
  <c r="K546" i="3"/>
  <c r="K542" i="3"/>
  <c r="K538" i="3"/>
  <c r="K534" i="3"/>
  <c r="K530" i="3"/>
  <c r="K526" i="3"/>
  <c r="K522" i="3"/>
  <c r="K518" i="3"/>
  <c r="K514" i="3"/>
  <c r="K510" i="3"/>
  <c r="K506" i="3"/>
  <c r="K502" i="3"/>
  <c r="K498" i="3"/>
  <c r="K494" i="3"/>
  <c r="K490" i="3"/>
  <c r="K486" i="3"/>
  <c r="K482" i="3"/>
  <c r="K478" i="3"/>
  <c r="K474" i="3"/>
  <c r="K470" i="3"/>
  <c r="K466" i="3"/>
  <c r="K462" i="3"/>
  <c r="K458" i="3"/>
  <c r="K454" i="3"/>
  <c r="K450" i="3"/>
  <c r="K446" i="3"/>
  <c r="K442" i="3"/>
  <c r="K438" i="3"/>
  <c r="K434" i="3"/>
  <c r="K430" i="3"/>
  <c r="K426" i="3"/>
  <c r="K422" i="3"/>
  <c r="K418" i="3"/>
  <c r="K414" i="3"/>
  <c r="K410" i="3"/>
  <c r="K406" i="3"/>
  <c r="K402" i="3"/>
  <c r="K398" i="3"/>
  <c r="K394" i="3"/>
  <c r="K390" i="3"/>
  <c r="K386" i="3"/>
  <c r="K382" i="3"/>
  <c r="K378" i="3"/>
  <c r="K374" i="3"/>
  <c r="K370" i="3"/>
  <c r="K366" i="3"/>
  <c r="K362" i="3"/>
  <c r="K358" i="3"/>
  <c r="K354" i="3"/>
  <c r="K350" i="3"/>
  <c r="K346" i="3"/>
  <c r="K342" i="3"/>
  <c r="K338" i="3"/>
  <c r="K334" i="3"/>
  <c r="K330" i="3"/>
  <c r="K326" i="3"/>
  <c r="K322" i="3"/>
  <c r="K318" i="3"/>
  <c r="K314" i="3"/>
  <c r="K310" i="3"/>
  <c r="K306" i="3"/>
  <c r="K302" i="3"/>
  <c r="K298" i="3"/>
  <c r="K294" i="3"/>
  <c r="K290" i="3"/>
  <c r="K286" i="3"/>
  <c r="K282" i="3"/>
  <c r="K278" i="3"/>
  <c r="K274" i="3"/>
  <c r="K270" i="3"/>
  <c r="K266" i="3"/>
  <c r="K262" i="3"/>
  <c r="K258" i="3"/>
  <c r="K254" i="3"/>
  <c r="K250" i="3"/>
  <c r="K246" i="3"/>
  <c r="K242" i="3"/>
  <c r="K238" i="3"/>
  <c r="K234" i="3"/>
  <c r="K230" i="3"/>
  <c r="K226" i="3"/>
  <c r="K222" i="3"/>
  <c r="K218" i="3"/>
  <c r="K214" i="3"/>
  <c r="K210" i="3"/>
  <c r="K206" i="3"/>
  <c r="K202" i="3"/>
  <c r="K198" i="3"/>
  <c r="K194" i="3"/>
  <c r="K190" i="3"/>
  <c r="K186" i="3"/>
  <c r="K182" i="3"/>
  <c r="K178" i="3"/>
  <c r="K174" i="3"/>
  <c r="K170" i="3"/>
  <c r="K166" i="3"/>
  <c r="K162" i="3"/>
  <c r="K158" i="3"/>
  <c r="K154" i="3"/>
  <c r="K150" i="3"/>
  <c r="K146" i="3"/>
  <c r="K142" i="3"/>
  <c r="K138" i="3"/>
  <c r="K134" i="3"/>
  <c r="K130" i="3"/>
  <c r="K126" i="3"/>
  <c r="K122" i="3"/>
  <c r="K118" i="3"/>
  <c r="K114" i="3"/>
  <c r="K110" i="3"/>
  <c r="K106" i="3"/>
  <c r="K102" i="3"/>
  <c r="K98" i="3"/>
  <c r="K94" i="3"/>
  <c r="K90" i="3"/>
  <c r="K86" i="3"/>
  <c r="K82" i="3"/>
  <c r="K78" i="3"/>
  <c r="K74" i="3"/>
  <c r="K70" i="3"/>
  <c r="K66" i="3"/>
  <c r="K62" i="3"/>
  <c r="K58" i="3"/>
  <c r="K54" i="3"/>
  <c r="K50" i="3"/>
  <c r="K46" i="3"/>
  <c r="K42" i="3"/>
  <c r="K38" i="3"/>
  <c r="K34" i="3"/>
  <c r="K30" i="3"/>
  <c r="K26" i="3"/>
  <c r="K22" i="3"/>
  <c r="K18" i="3"/>
  <c r="K14" i="3"/>
  <c r="K10" i="3"/>
  <c r="K1004" i="3"/>
  <c r="K1000" i="3"/>
  <c r="K996" i="3"/>
  <c r="K992" i="3"/>
  <c r="K988" i="3"/>
  <c r="K984" i="3"/>
  <c r="K980" i="3"/>
  <c r="K976" i="3"/>
  <c r="K972" i="3"/>
  <c r="K968" i="3"/>
  <c r="K964" i="3"/>
  <c r="K960" i="3"/>
  <c r="K956" i="3"/>
  <c r="K952" i="3"/>
  <c r="K948" i="3"/>
  <c r="K944" i="3"/>
  <c r="K940" i="3"/>
  <c r="K936" i="3"/>
  <c r="K932" i="3"/>
  <c r="K928" i="3"/>
  <c r="K924" i="3"/>
  <c r="K920" i="3"/>
  <c r="K916" i="3"/>
  <c r="K912" i="3"/>
  <c r="K908" i="3"/>
  <c r="K904" i="3"/>
  <c r="K900" i="3"/>
  <c r="K896" i="3"/>
  <c r="K892" i="3"/>
  <c r="K888" i="3"/>
  <c r="K884" i="3"/>
  <c r="K880" i="3"/>
  <c r="K876" i="3"/>
  <c r="K872" i="3"/>
  <c r="K868" i="3"/>
  <c r="K864" i="3"/>
  <c r="K860" i="3"/>
  <c r="K856" i="3"/>
  <c r="K852" i="3"/>
  <c r="K848" i="3"/>
  <c r="K844" i="3"/>
  <c r="K840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0" i="3"/>
  <c r="K756" i="3"/>
  <c r="K752" i="3"/>
  <c r="K748" i="3"/>
  <c r="K744" i="3"/>
  <c r="K740" i="3"/>
  <c r="K736" i="3"/>
  <c r="K732" i="3"/>
  <c r="K728" i="3"/>
  <c r="K724" i="3"/>
  <c r="K720" i="3"/>
  <c r="K716" i="3"/>
  <c r="K712" i="3"/>
  <c r="K708" i="3"/>
  <c r="K704" i="3"/>
  <c r="K700" i="3"/>
  <c r="K696" i="3"/>
  <c r="K692" i="3"/>
  <c r="K688" i="3"/>
  <c r="K684" i="3"/>
  <c r="K680" i="3"/>
  <c r="K676" i="3"/>
  <c r="K672" i="3"/>
  <c r="K668" i="3"/>
  <c r="K664" i="3"/>
  <c r="K660" i="3"/>
  <c r="K656" i="3"/>
  <c r="K652" i="3"/>
  <c r="K648" i="3"/>
  <c r="K644" i="3"/>
  <c r="K640" i="3"/>
  <c r="K636" i="3"/>
  <c r="K632" i="3"/>
  <c r="K628" i="3"/>
  <c r="K624" i="3"/>
  <c r="K620" i="3"/>
  <c r="K616" i="3"/>
  <c r="K612" i="3"/>
  <c r="K608" i="3"/>
  <c r="K604" i="3"/>
  <c r="K600" i="3"/>
  <c r="K596" i="3"/>
  <c r="K592" i="3"/>
  <c r="K588" i="3"/>
  <c r="K584" i="3"/>
  <c r="K580" i="3"/>
  <c r="K576" i="3"/>
  <c r="K572" i="3"/>
  <c r="K568" i="3"/>
  <c r="K564" i="3"/>
  <c r="K560" i="3"/>
  <c r="K556" i="3"/>
  <c r="K552" i="3"/>
  <c r="K548" i="3"/>
  <c r="K544" i="3"/>
  <c r="K540" i="3"/>
  <c r="K536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452" i="3"/>
  <c r="K448" i="3"/>
  <c r="K444" i="3"/>
  <c r="K440" i="3"/>
  <c r="K436" i="3"/>
  <c r="K432" i="3"/>
  <c r="K428" i="3"/>
  <c r="K424" i="3"/>
  <c r="K420" i="3"/>
  <c r="K416" i="3"/>
  <c r="K412" i="3"/>
  <c r="K408" i="3"/>
  <c r="K404" i="3"/>
  <c r="K400" i="3"/>
  <c r="K396" i="3"/>
  <c r="K392" i="3"/>
  <c r="K388" i="3"/>
  <c r="K384" i="3"/>
  <c r="K380" i="3"/>
  <c r="K376" i="3"/>
  <c r="K372" i="3"/>
  <c r="K368" i="3"/>
  <c r="K364" i="3"/>
  <c r="K360" i="3"/>
  <c r="K356" i="3"/>
  <c r="K352" i="3"/>
  <c r="K348" i="3"/>
  <c r="K344" i="3"/>
  <c r="K340" i="3"/>
  <c r="K336" i="3"/>
  <c r="K332" i="3"/>
  <c r="K328" i="3"/>
  <c r="K324" i="3"/>
  <c r="K320" i="3"/>
  <c r="K316" i="3"/>
  <c r="K312" i="3"/>
  <c r="K308" i="3"/>
  <c r="K304" i="3"/>
  <c r="K300" i="3"/>
  <c r="K296" i="3"/>
  <c r="K292" i="3"/>
  <c r="K288" i="3"/>
  <c r="K284" i="3"/>
  <c r="K280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K228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K176" i="3"/>
  <c r="K172" i="3"/>
  <c r="K168" i="3"/>
  <c r="K164" i="3"/>
  <c r="K160" i="3"/>
  <c r="K156" i="3"/>
  <c r="K152" i="3"/>
  <c r="K148" i="3"/>
  <c r="K144" i="3"/>
  <c r="K140" i="3"/>
  <c r="K136" i="3"/>
  <c r="K132" i="3"/>
  <c r="K128" i="3"/>
  <c r="K124" i="3"/>
  <c r="K120" i="3"/>
  <c r="K116" i="3"/>
  <c r="K112" i="3"/>
  <c r="K108" i="3"/>
  <c r="K104" i="3"/>
  <c r="K100" i="3"/>
  <c r="K96" i="3"/>
  <c r="K92" i="3"/>
  <c r="K88" i="3"/>
  <c r="K84" i="3"/>
  <c r="K80" i="3"/>
  <c r="K76" i="3"/>
  <c r="K72" i="3"/>
  <c r="K68" i="3"/>
  <c r="K64" i="3"/>
  <c r="K60" i="3"/>
  <c r="K56" i="3"/>
  <c r="K52" i="3"/>
  <c r="K48" i="3"/>
  <c r="K44" i="3"/>
  <c r="K40" i="3"/>
  <c r="K36" i="3"/>
  <c r="K32" i="3"/>
  <c r="K28" i="3"/>
  <c r="K24" i="3"/>
  <c r="K20" i="3"/>
  <c r="K16" i="3"/>
  <c r="K12" i="3"/>
  <c r="K8" i="3"/>
  <c r="K1003" i="3"/>
  <c r="K999" i="3"/>
  <c r="K995" i="3"/>
  <c r="K991" i="3"/>
  <c r="K987" i="3"/>
  <c r="K983" i="3"/>
  <c r="K979" i="3"/>
  <c r="K975" i="3"/>
  <c r="K971" i="3"/>
  <c r="K967" i="3"/>
  <c r="K963" i="3"/>
  <c r="K959" i="3"/>
  <c r="K955" i="3"/>
  <c r="K951" i="3"/>
  <c r="K947" i="3"/>
  <c r="K943" i="3"/>
  <c r="K939" i="3"/>
  <c r="K935" i="3"/>
  <c r="K931" i="3"/>
  <c r="K927" i="3"/>
  <c r="K923" i="3"/>
  <c r="K919" i="3"/>
  <c r="K915" i="3"/>
  <c r="K911" i="3"/>
  <c r="K907" i="3"/>
  <c r="K903" i="3"/>
  <c r="K899" i="3"/>
  <c r="K895" i="3"/>
  <c r="K891" i="3"/>
  <c r="K887" i="3"/>
  <c r="K883" i="3"/>
  <c r="K879" i="3"/>
  <c r="K875" i="3"/>
  <c r="K871" i="3"/>
  <c r="K867" i="3"/>
  <c r="K863" i="3"/>
  <c r="K859" i="3"/>
  <c r="K855" i="3"/>
  <c r="K851" i="3"/>
  <c r="K847" i="3"/>
  <c r="K843" i="3"/>
  <c r="K839" i="3"/>
  <c r="K835" i="3"/>
  <c r="K831" i="3"/>
  <c r="K827" i="3"/>
  <c r="K823" i="3"/>
  <c r="K819" i="3"/>
  <c r="K815" i="3"/>
  <c r="K811" i="3"/>
  <c r="K807" i="3"/>
  <c r="K803" i="3"/>
  <c r="K799" i="3"/>
  <c r="K795" i="3"/>
  <c r="K791" i="3"/>
  <c r="K787" i="3"/>
  <c r="K783" i="3"/>
  <c r="K779" i="3"/>
  <c r="K775" i="3"/>
  <c r="K771" i="3"/>
  <c r="K767" i="3"/>
  <c r="K763" i="3"/>
  <c r="K759" i="3"/>
  <c r="K755" i="3"/>
  <c r="K751" i="3"/>
  <c r="K747" i="3"/>
  <c r="K743" i="3"/>
  <c r="K739" i="3"/>
  <c r="K735" i="3"/>
  <c r="K731" i="3"/>
  <c r="K727" i="3"/>
  <c r="K723" i="3"/>
  <c r="K719" i="3"/>
  <c r="K715" i="3"/>
  <c r="K711" i="3"/>
  <c r="K707" i="3"/>
  <c r="K703" i="3"/>
  <c r="K699" i="3"/>
  <c r="K695" i="3"/>
  <c r="K691" i="3"/>
  <c r="K687" i="3"/>
  <c r="K683" i="3"/>
  <c r="K679" i="3"/>
  <c r="K675" i="3"/>
  <c r="K671" i="3"/>
  <c r="K667" i="3"/>
  <c r="K663" i="3"/>
  <c r="K659" i="3"/>
  <c r="K655" i="3"/>
  <c r="K651" i="3"/>
  <c r="K647" i="3"/>
  <c r="K643" i="3"/>
  <c r="K639" i="3"/>
  <c r="K635" i="3"/>
  <c r="K631" i="3"/>
  <c r="K627" i="3"/>
  <c r="K623" i="3"/>
  <c r="K1001" i="3"/>
  <c r="K985" i="3"/>
  <c r="K969" i="3"/>
  <c r="K953" i="3"/>
  <c r="K937" i="3"/>
  <c r="K921" i="3"/>
  <c r="K905" i="3"/>
  <c r="K889" i="3"/>
  <c r="K873" i="3"/>
  <c r="K857" i="3"/>
  <c r="K841" i="3"/>
  <c r="K825" i="3"/>
  <c r="K809" i="3"/>
  <c r="K793" i="3"/>
  <c r="K777" i="3"/>
  <c r="K761" i="3"/>
  <c r="K745" i="3"/>
  <c r="K729" i="3"/>
  <c r="K713" i="3"/>
  <c r="K697" i="3"/>
  <c r="K681" i="3"/>
  <c r="K665" i="3"/>
  <c r="K649" i="3"/>
  <c r="K633" i="3"/>
  <c r="K619" i="3"/>
  <c r="K611" i="3"/>
  <c r="K603" i="3"/>
  <c r="K595" i="3"/>
  <c r="K587" i="3"/>
  <c r="K579" i="3"/>
  <c r="K571" i="3"/>
  <c r="K563" i="3"/>
  <c r="K555" i="3"/>
  <c r="K547" i="3"/>
  <c r="K539" i="3"/>
  <c r="K531" i="3"/>
  <c r="K523" i="3"/>
  <c r="K515" i="3"/>
  <c r="K507" i="3"/>
  <c r="K499" i="3"/>
  <c r="K491" i="3"/>
  <c r="K483" i="3"/>
  <c r="K475" i="3"/>
  <c r="K467" i="3"/>
  <c r="K459" i="3"/>
  <c r="K451" i="3"/>
  <c r="K443" i="3"/>
  <c r="K435" i="3"/>
  <c r="K427" i="3"/>
  <c r="K419" i="3"/>
  <c r="K411" i="3"/>
  <c r="K403" i="3"/>
  <c r="K395" i="3"/>
  <c r="K387" i="3"/>
  <c r="K379" i="3"/>
  <c r="K371" i="3"/>
  <c r="K363" i="3"/>
  <c r="K355" i="3"/>
  <c r="K347" i="3"/>
  <c r="K339" i="3"/>
  <c r="K331" i="3"/>
  <c r="K323" i="3"/>
  <c r="K315" i="3"/>
  <c r="K307" i="3"/>
  <c r="K299" i="3"/>
  <c r="K291" i="3"/>
  <c r="K283" i="3"/>
  <c r="K275" i="3"/>
  <c r="K267" i="3"/>
  <c r="K259" i="3"/>
  <c r="K251" i="3"/>
  <c r="K243" i="3"/>
  <c r="K235" i="3"/>
  <c r="K227" i="3"/>
  <c r="K219" i="3"/>
  <c r="K211" i="3"/>
  <c r="K203" i="3"/>
  <c r="K195" i="3"/>
  <c r="K187" i="3"/>
  <c r="K179" i="3"/>
  <c r="K171" i="3"/>
  <c r="K163" i="3"/>
  <c r="K155" i="3"/>
  <c r="K147" i="3"/>
  <c r="K139" i="3"/>
  <c r="K131" i="3"/>
  <c r="K123" i="3"/>
  <c r="K115" i="3"/>
  <c r="K107" i="3"/>
  <c r="K99" i="3"/>
  <c r="K91" i="3"/>
  <c r="K83" i="3"/>
  <c r="K75" i="3"/>
  <c r="K67" i="3"/>
  <c r="K59" i="3"/>
  <c r="K51" i="3"/>
  <c r="K43" i="3"/>
  <c r="K35" i="3"/>
  <c r="K27" i="3"/>
  <c r="K19" i="3"/>
  <c r="K11" i="3"/>
  <c r="K997" i="3"/>
  <c r="K981" i="3"/>
  <c r="K965" i="3"/>
  <c r="K949" i="3"/>
  <c r="K933" i="3"/>
  <c r="K917" i="3"/>
  <c r="K901" i="3"/>
  <c r="K885" i="3"/>
  <c r="K869" i="3"/>
  <c r="K853" i="3"/>
  <c r="K837" i="3"/>
  <c r="K821" i="3"/>
  <c r="K805" i="3"/>
  <c r="K789" i="3"/>
  <c r="K773" i="3"/>
  <c r="K757" i="3"/>
  <c r="K741" i="3"/>
  <c r="K725" i="3"/>
  <c r="K709" i="3"/>
  <c r="K693" i="3"/>
  <c r="K677" i="3"/>
  <c r="K661" i="3"/>
  <c r="K645" i="3"/>
  <c r="K629" i="3"/>
  <c r="K617" i="3"/>
  <c r="K609" i="3"/>
  <c r="K601" i="3"/>
  <c r="K593" i="3"/>
  <c r="K585" i="3"/>
  <c r="K577" i="3"/>
  <c r="K569" i="3"/>
  <c r="K561" i="3"/>
  <c r="K553" i="3"/>
  <c r="K545" i="3"/>
  <c r="K537" i="3"/>
  <c r="K529" i="3"/>
  <c r="K521" i="3"/>
  <c r="K513" i="3"/>
  <c r="K505" i="3"/>
  <c r="K497" i="3"/>
  <c r="K489" i="3"/>
  <c r="K481" i="3"/>
  <c r="K473" i="3"/>
  <c r="K465" i="3"/>
  <c r="K457" i="3"/>
  <c r="K449" i="3"/>
  <c r="K441" i="3"/>
  <c r="K433" i="3"/>
  <c r="K425" i="3"/>
  <c r="K417" i="3"/>
  <c r="K409" i="3"/>
  <c r="K401" i="3"/>
  <c r="K393" i="3"/>
  <c r="K385" i="3"/>
  <c r="K377" i="3"/>
  <c r="K369" i="3"/>
  <c r="K361" i="3"/>
  <c r="K353" i="3"/>
  <c r="K345" i="3"/>
  <c r="K337" i="3"/>
  <c r="K329" i="3"/>
  <c r="K321" i="3"/>
  <c r="K313" i="3"/>
  <c r="K305" i="3"/>
  <c r="K297" i="3"/>
  <c r="K289" i="3"/>
  <c r="K281" i="3"/>
  <c r="K273" i="3"/>
  <c r="K265" i="3"/>
  <c r="K257" i="3"/>
  <c r="K249" i="3"/>
  <c r="K241" i="3"/>
  <c r="K233" i="3"/>
  <c r="K225" i="3"/>
  <c r="K217" i="3"/>
  <c r="K209" i="3"/>
  <c r="K201" i="3"/>
  <c r="K193" i="3"/>
  <c r="K185" i="3"/>
  <c r="K177" i="3"/>
  <c r="K169" i="3"/>
  <c r="K161" i="3"/>
  <c r="K153" i="3"/>
  <c r="K145" i="3"/>
  <c r="K137" i="3"/>
  <c r="K129" i="3"/>
  <c r="K121" i="3"/>
  <c r="K113" i="3"/>
  <c r="K105" i="3"/>
  <c r="K97" i="3"/>
  <c r="K89" i="3"/>
  <c r="K81" i="3"/>
  <c r="K73" i="3"/>
  <c r="K65" i="3"/>
  <c r="K57" i="3"/>
  <c r="K49" i="3"/>
  <c r="K41" i="3"/>
  <c r="K33" i="3"/>
  <c r="K25" i="3"/>
  <c r="K17" i="3"/>
  <c r="K9" i="3"/>
  <c r="K993" i="3"/>
  <c r="K977" i="3"/>
  <c r="K961" i="3"/>
  <c r="K945" i="3"/>
  <c r="K929" i="3"/>
  <c r="K913" i="3"/>
  <c r="K897" i="3"/>
  <c r="K881" i="3"/>
  <c r="K865" i="3"/>
  <c r="K849" i="3"/>
  <c r="K833" i="3"/>
  <c r="K817" i="3"/>
  <c r="K801" i="3"/>
  <c r="K785" i="3"/>
  <c r="K769" i="3"/>
  <c r="K753" i="3"/>
  <c r="K737" i="3"/>
  <c r="K721" i="3"/>
  <c r="K705" i="3"/>
  <c r="K689" i="3"/>
  <c r="K673" i="3"/>
  <c r="K657" i="3"/>
  <c r="K641" i="3"/>
  <c r="K625" i="3"/>
  <c r="K615" i="3"/>
  <c r="K607" i="3"/>
  <c r="K599" i="3"/>
  <c r="K591" i="3"/>
  <c r="K583" i="3"/>
  <c r="K575" i="3"/>
  <c r="K567" i="3"/>
  <c r="K559" i="3"/>
  <c r="K551" i="3"/>
  <c r="K543" i="3"/>
  <c r="K535" i="3"/>
  <c r="K527" i="3"/>
  <c r="K519" i="3"/>
  <c r="K511" i="3"/>
  <c r="K503" i="3"/>
  <c r="K495" i="3"/>
  <c r="K487" i="3"/>
  <c r="K479" i="3"/>
  <c r="K471" i="3"/>
  <c r="K463" i="3"/>
  <c r="K455" i="3"/>
  <c r="K447" i="3"/>
  <c r="K439" i="3"/>
  <c r="K431" i="3"/>
  <c r="K423" i="3"/>
  <c r="K415" i="3"/>
  <c r="K407" i="3"/>
  <c r="K399" i="3"/>
  <c r="K391" i="3"/>
  <c r="K383" i="3"/>
  <c r="K375" i="3"/>
  <c r="K367" i="3"/>
  <c r="K359" i="3"/>
  <c r="K351" i="3"/>
  <c r="K343" i="3"/>
  <c r="K335" i="3"/>
  <c r="K327" i="3"/>
  <c r="K319" i="3"/>
  <c r="K311" i="3"/>
  <c r="K303" i="3"/>
  <c r="K295" i="3"/>
  <c r="K287" i="3"/>
  <c r="K279" i="3"/>
  <c r="K271" i="3"/>
  <c r="K263" i="3"/>
  <c r="K255" i="3"/>
  <c r="K247" i="3"/>
  <c r="K239" i="3"/>
  <c r="K231" i="3"/>
  <c r="K223" i="3"/>
  <c r="K215" i="3"/>
  <c r="K207" i="3"/>
  <c r="K199" i="3"/>
  <c r="K191" i="3"/>
  <c r="K183" i="3"/>
  <c r="K175" i="3"/>
  <c r="K167" i="3"/>
  <c r="K159" i="3"/>
  <c r="K151" i="3"/>
  <c r="K143" i="3"/>
  <c r="K135" i="3"/>
  <c r="K127" i="3"/>
  <c r="K119" i="3"/>
  <c r="K111" i="3"/>
  <c r="K103" i="3"/>
  <c r="K95" i="3"/>
  <c r="K87" i="3"/>
  <c r="K79" i="3"/>
  <c r="K71" i="3"/>
  <c r="K63" i="3"/>
  <c r="K55" i="3"/>
  <c r="K47" i="3"/>
  <c r="K39" i="3"/>
  <c r="K31" i="3"/>
  <c r="K23" i="3"/>
  <c r="K15" i="3"/>
  <c r="K7" i="3"/>
  <c r="K973" i="3"/>
  <c r="K941" i="3"/>
  <c r="K909" i="3"/>
  <c r="K877" i="3"/>
  <c r="K845" i="3"/>
  <c r="K813" i="3"/>
  <c r="K781" i="3"/>
  <c r="K749" i="3"/>
  <c r="K717" i="3"/>
  <c r="K685" i="3"/>
  <c r="K653" i="3"/>
  <c r="K621" i="3"/>
  <c r="K605" i="3"/>
  <c r="K589" i="3"/>
  <c r="K573" i="3"/>
  <c r="K557" i="3"/>
  <c r="K541" i="3"/>
  <c r="K525" i="3"/>
  <c r="K509" i="3"/>
  <c r="K493" i="3"/>
  <c r="K477" i="3"/>
  <c r="K461" i="3"/>
  <c r="K445" i="3"/>
  <c r="K429" i="3"/>
  <c r="K413" i="3"/>
  <c r="K397" i="3"/>
  <c r="K381" i="3"/>
  <c r="K365" i="3"/>
  <c r="K349" i="3"/>
  <c r="K333" i="3"/>
  <c r="K317" i="3"/>
  <c r="K301" i="3"/>
  <c r="K285" i="3"/>
  <c r="K269" i="3"/>
  <c r="K253" i="3"/>
  <c r="K237" i="3"/>
  <c r="K221" i="3"/>
  <c r="K205" i="3"/>
  <c r="K189" i="3"/>
  <c r="K173" i="3"/>
  <c r="K157" i="3"/>
  <c r="K141" i="3"/>
  <c r="K125" i="3"/>
  <c r="K109" i="3"/>
  <c r="K93" i="3"/>
  <c r="K77" i="3"/>
  <c r="K61" i="3"/>
  <c r="K45" i="3"/>
  <c r="K29" i="3"/>
  <c r="K13" i="3"/>
  <c r="K989" i="3"/>
  <c r="K957" i="3"/>
  <c r="K925" i="3"/>
  <c r="K893" i="3"/>
  <c r="K861" i="3"/>
  <c r="K829" i="3"/>
  <c r="K797" i="3"/>
  <c r="K765" i="3"/>
  <c r="K733" i="3"/>
  <c r="K701" i="3"/>
  <c r="K669" i="3"/>
  <c r="K637" i="3"/>
  <c r="K613" i="3"/>
  <c r="K597" i="3"/>
  <c r="K581" i="3"/>
  <c r="K565" i="3"/>
  <c r="K549" i="3"/>
  <c r="K533" i="3"/>
  <c r="K517" i="3"/>
  <c r="K501" i="3"/>
  <c r="K485" i="3"/>
  <c r="K469" i="3"/>
  <c r="K453" i="3"/>
  <c r="K437" i="3"/>
  <c r="K421" i="3"/>
  <c r="K405" i="3"/>
  <c r="K389" i="3"/>
  <c r="K373" i="3"/>
  <c r="K357" i="3"/>
  <c r="K341" i="3"/>
  <c r="K325" i="3"/>
  <c r="K309" i="3"/>
  <c r="K293" i="3"/>
  <c r="K277" i="3"/>
  <c r="K261" i="3"/>
  <c r="K245" i="3"/>
  <c r="K229" i="3"/>
  <c r="K213" i="3"/>
  <c r="K197" i="3"/>
  <c r="K181" i="3"/>
  <c r="K165" i="3"/>
  <c r="K149" i="3"/>
  <c r="K133" i="3"/>
  <c r="K117" i="3"/>
  <c r="K101" i="3"/>
  <c r="K85" i="3"/>
  <c r="K69" i="3"/>
  <c r="K53" i="3"/>
  <c r="K37" i="3"/>
  <c r="K21" i="3"/>
  <c r="K6" i="3"/>
  <c r="O1002" i="3"/>
  <c r="O998" i="3"/>
  <c r="O994" i="3"/>
  <c r="O990" i="3"/>
  <c r="O986" i="3"/>
  <c r="O982" i="3"/>
  <c r="O978" i="3"/>
  <c r="O974" i="3"/>
  <c r="O970" i="3"/>
  <c r="O966" i="3"/>
  <c r="O962" i="3"/>
  <c r="O958" i="3"/>
  <c r="O954" i="3"/>
  <c r="O950" i="3"/>
  <c r="O946" i="3"/>
  <c r="O942" i="3"/>
  <c r="O938" i="3"/>
  <c r="O934" i="3"/>
  <c r="O930" i="3"/>
  <c r="O926" i="3"/>
  <c r="O922" i="3"/>
  <c r="O918" i="3"/>
  <c r="O914" i="3"/>
  <c r="O910" i="3"/>
  <c r="O906" i="3"/>
  <c r="O902" i="3"/>
  <c r="O898" i="3"/>
  <c r="O894" i="3"/>
  <c r="O890" i="3"/>
  <c r="O886" i="3"/>
  <c r="O882" i="3"/>
  <c r="O878" i="3"/>
  <c r="O874" i="3"/>
  <c r="O870" i="3"/>
  <c r="O866" i="3"/>
  <c r="O862" i="3"/>
  <c r="O858" i="3"/>
  <c r="O854" i="3"/>
  <c r="O850" i="3"/>
  <c r="O846" i="3"/>
  <c r="O842" i="3"/>
  <c r="O838" i="3"/>
  <c r="O834" i="3"/>
  <c r="O830" i="3"/>
  <c r="O826" i="3"/>
  <c r="O822" i="3"/>
  <c r="O818" i="3"/>
  <c r="O814" i="3"/>
  <c r="O810" i="3"/>
  <c r="O806" i="3"/>
  <c r="O802" i="3"/>
  <c r="O798" i="3"/>
  <c r="O794" i="3"/>
  <c r="O790" i="3"/>
  <c r="O786" i="3"/>
  <c r="O782" i="3"/>
  <c r="O778" i="3"/>
  <c r="O774" i="3"/>
  <c r="O770" i="3"/>
  <c r="O766" i="3"/>
  <c r="O762" i="3"/>
  <c r="O758" i="3"/>
  <c r="O754" i="3"/>
  <c r="O750" i="3"/>
  <c r="O746" i="3"/>
  <c r="O742" i="3"/>
  <c r="O738" i="3"/>
  <c r="O734" i="3"/>
  <c r="O730" i="3"/>
  <c r="O726" i="3"/>
  <c r="O722" i="3"/>
  <c r="O718" i="3"/>
  <c r="O714" i="3"/>
  <c r="O710" i="3"/>
  <c r="O706" i="3"/>
  <c r="O702" i="3"/>
  <c r="O698" i="3"/>
  <c r="O694" i="3"/>
  <c r="O690" i="3"/>
  <c r="O686" i="3"/>
  <c r="O682" i="3"/>
  <c r="O678" i="3"/>
  <c r="O674" i="3"/>
  <c r="O670" i="3"/>
  <c r="O666" i="3"/>
  <c r="O662" i="3"/>
  <c r="O658" i="3"/>
  <c r="O654" i="3"/>
  <c r="O650" i="3"/>
  <c r="O646" i="3"/>
  <c r="O642" i="3"/>
  <c r="O638" i="3"/>
  <c r="O634" i="3"/>
  <c r="O630" i="3"/>
  <c r="O626" i="3"/>
  <c r="O622" i="3"/>
  <c r="O618" i="3"/>
  <c r="O614" i="3"/>
  <c r="O610" i="3"/>
  <c r="O606" i="3"/>
  <c r="O602" i="3"/>
  <c r="O598" i="3"/>
  <c r="O594" i="3"/>
  <c r="O590" i="3"/>
  <c r="O586" i="3"/>
  <c r="O582" i="3"/>
  <c r="O578" i="3"/>
  <c r="O574" i="3"/>
  <c r="O570" i="3"/>
  <c r="O566" i="3"/>
  <c r="O562" i="3"/>
  <c r="O558" i="3"/>
  <c r="O554" i="3"/>
  <c r="O550" i="3"/>
  <c r="O546" i="3"/>
  <c r="O542" i="3"/>
  <c r="O538" i="3"/>
  <c r="O534" i="3"/>
  <c r="O530" i="3"/>
  <c r="O526" i="3"/>
  <c r="O522" i="3"/>
  <c r="O518" i="3"/>
  <c r="O514" i="3"/>
  <c r="O510" i="3"/>
  <c r="O506" i="3"/>
  <c r="O502" i="3"/>
  <c r="O498" i="3"/>
  <c r="O494" i="3"/>
  <c r="O490" i="3"/>
  <c r="O486" i="3"/>
  <c r="O482" i="3"/>
  <c r="O478" i="3"/>
  <c r="O474" i="3"/>
  <c r="O470" i="3"/>
  <c r="O466" i="3"/>
  <c r="O462" i="3"/>
  <c r="O458" i="3"/>
  <c r="O454" i="3"/>
  <c r="O450" i="3"/>
  <c r="O446" i="3"/>
  <c r="O442" i="3"/>
  <c r="O438" i="3"/>
  <c r="O434" i="3"/>
  <c r="O430" i="3"/>
  <c r="O426" i="3"/>
  <c r="O422" i="3"/>
  <c r="O418" i="3"/>
  <c r="O414" i="3"/>
  <c r="O410" i="3"/>
  <c r="O406" i="3"/>
  <c r="O402" i="3"/>
  <c r="O398" i="3"/>
  <c r="O394" i="3"/>
  <c r="O390" i="3"/>
  <c r="O386" i="3"/>
  <c r="O382" i="3"/>
  <c r="O378" i="3"/>
  <c r="O374" i="3"/>
  <c r="O370" i="3"/>
  <c r="O366" i="3"/>
  <c r="O362" i="3"/>
  <c r="O358" i="3"/>
  <c r="O354" i="3"/>
  <c r="O350" i="3"/>
  <c r="O346" i="3"/>
  <c r="O342" i="3"/>
  <c r="O338" i="3"/>
  <c r="O334" i="3"/>
  <c r="O330" i="3"/>
  <c r="O326" i="3"/>
  <c r="O322" i="3"/>
  <c r="O318" i="3"/>
  <c r="O314" i="3"/>
  <c r="O310" i="3"/>
  <c r="O306" i="3"/>
  <c r="O302" i="3"/>
  <c r="O298" i="3"/>
  <c r="O294" i="3"/>
  <c r="O290" i="3"/>
  <c r="O286" i="3"/>
  <c r="O282" i="3"/>
  <c r="O278" i="3"/>
  <c r="O274" i="3"/>
  <c r="O270" i="3"/>
  <c r="O266" i="3"/>
  <c r="O262" i="3"/>
  <c r="O258" i="3"/>
  <c r="O254" i="3"/>
  <c r="O250" i="3"/>
  <c r="O246" i="3"/>
  <c r="O242" i="3"/>
  <c r="O238" i="3"/>
  <c r="O234" i="3"/>
  <c r="O230" i="3"/>
  <c r="O226" i="3"/>
  <c r="O222" i="3"/>
  <c r="O218" i="3"/>
  <c r="O214" i="3"/>
  <c r="O210" i="3"/>
  <c r="O206" i="3"/>
  <c r="O202" i="3"/>
  <c r="O198" i="3"/>
  <c r="O194" i="3"/>
  <c r="O190" i="3"/>
  <c r="O186" i="3"/>
  <c r="O182" i="3"/>
  <c r="O178" i="3"/>
  <c r="O174" i="3"/>
  <c r="O170" i="3"/>
  <c r="O166" i="3"/>
  <c r="O162" i="3"/>
  <c r="O158" i="3"/>
  <c r="O154" i="3"/>
  <c r="O150" i="3"/>
  <c r="O146" i="3"/>
  <c r="O142" i="3"/>
  <c r="O138" i="3"/>
  <c r="O134" i="3"/>
  <c r="O130" i="3"/>
  <c r="O126" i="3"/>
  <c r="O122" i="3"/>
  <c r="O118" i="3"/>
  <c r="O114" i="3"/>
  <c r="O110" i="3"/>
  <c r="O106" i="3"/>
  <c r="O102" i="3"/>
  <c r="O98" i="3"/>
  <c r="O94" i="3"/>
  <c r="O90" i="3"/>
  <c r="O86" i="3"/>
  <c r="O82" i="3"/>
  <c r="O78" i="3"/>
  <c r="O74" i="3"/>
  <c r="O70" i="3"/>
  <c r="O66" i="3"/>
  <c r="O62" i="3"/>
  <c r="O58" i="3"/>
  <c r="O54" i="3"/>
  <c r="O50" i="3"/>
  <c r="O46" i="3"/>
  <c r="O42" i="3"/>
  <c r="O38" i="3"/>
  <c r="O34" i="3"/>
  <c r="O30" i="3"/>
  <c r="O26" i="3"/>
  <c r="O22" i="3"/>
  <c r="O18" i="3"/>
  <c r="O14" i="3"/>
  <c r="O10" i="3"/>
  <c r="O1004" i="3"/>
  <c r="O1000" i="3"/>
  <c r="O996" i="3"/>
  <c r="O992" i="3"/>
  <c r="O988" i="3"/>
  <c r="O984" i="3"/>
  <c r="O980" i="3"/>
  <c r="O976" i="3"/>
  <c r="O972" i="3"/>
  <c r="O968" i="3"/>
  <c r="O964" i="3"/>
  <c r="O960" i="3"/>
  <c r="O956" i="3"/>
  <c r="O952" i="3"/>
  <c r="O948" i="3"/>
  <c r="O944" i="3"/>
  <c r="O940" i="3"/>
  <c r="O936" i="3"/>
  <c r="O932" i="3"/>
  <c r="O928" i="3"/>
  <c r="O924" i="3"/>
  <c r="O920" i="3"/>
  <c r="O916" i="3"/>
  <c r="O912" i="3"/>
  <c r="O908" i="3"/>
  <c r="O904" i="3"/>
  <c r="O900" i="3"/>
  <c r="O896" i="3"/>
  <c r="O892" i="3"/>
  <c r="O888" i="3"/>
  <c r="O884" i="3"/>
  <c r="O880" i="3"/>
  <c r="O876" i="3"/>
  <c r="O872" i="3"/>
  <c r="O868" i="3"/>
  <c r="O864" i="3"/>
  <c r="O860" i="3"/>
  <c r="O856" i="3"/>
  <c r="O852" i="3"/>
  <c r="O848" i="3"/>
  <c r="O844" i="3"/>
  <c r="O840" i="3"/>
  <c r="O836" i="3"/>
  <c r="O832" i="3"/>
  <c r="O828" i="3"/>
  <c r="O824" i="3"/>
  <c r="O820" i="3"/>
  <c r="O816" i="3"/>
  <c r="O812" i="3"/>
  <c r="O808" i="3"/>
  <c r="O804" i="3"/>
  <c r="O800" i="3"/>
  <c r="O796" i="3"/>
  <c r="O792" i="3"/>
  <c r="O788" i="3"/>
  <c r="O784" i="3"/>
  <c r="O780" i="3"/>
  <c r="O776" i="3"/>
  <c r="O772" i="3"/>
  <c r="O768" i="3"/>
  <c r="O764" i="3"/>
  <c r="O760" i="3"/>
  <c r="O756" i="3"/>
  <c r="O752" i="3"/>
  <c r="O748" i="3"/>
  <c r="O744" i="3"/>
  <c r="O740" i="3"/>
  <c r="O736" i="3"/>
  <c r="O732" i="3"/>
  <c r="O728" i="3"/>
  <c r="O724" i="3"/>
  <c r="O720" i="3"/>
  <c r="O716" i="3"/>
  <c r="O712" i="3"/>
  <c r="O708" i="3"/>
  <c r="O704" i="3"/>
  <c r="O700" i="3"/>
  <c r="O696" i="3"/>
  <c r="O692" i="3"/>
  <c r="O688" i="3"/>
  <c r="O684" i="3"/>
  <c r="O680" i="3"/>
  <c r="O676" i="3"/>
  <c r="O672" i="3"/>
  <c r="O668" i="3"/>
  <c r="O664" i="3"/>
  <c r="O660" i="3"/>
  <c r="O656" i="3"/>
  <c r="O652" i="3"/>
  <c r="O648" i="3"/>
  <c r="O644" i="3"/>
  <c r="O640" i="3"/>
  <c r="O636" i="3"/>
  <c r="O632" i="3"/>
  <c r="O628" i="3"/>
  <c r="O624" i="3"/>
  <c r="O620" i="3"/>
  <c r="O616" i="3"/>
  <c r="O612" i="3"/>
  <c r="O608" i="3"/>
  <c r="O604" i="3"/>
  <c r="O600" i="3"/>
  <c r="O596" i="3"/>
  <c r="O592" i="3"/>
  <c r="O588" i="3"/>
  <c r="O584" i="3"/>
  <c r="O580" i="3"/>
  <c r="O576" i="3"/>
  <c r="O572" i="3"/>
  <c r="O568" i="3"/>
  <c r="O564" i="3"/>
  <c r="O560" i="3"/>
  <c r="O556" i="3"/>
  <c r="O552" i="3"/>
  <c r="O548" i="3"/>
  <c r="O544" i="3"/>
  <c r="O540" i="3"/>
  <c r="O536" i="3"/>
  <c r="O532" i="3"/>
  <c r="O528" i="3"/>
  <c r="O524" i="3"/>
  <c r="O520" i="3"/>
  <c r="O516" i="3"/>
  <c r="O512" i="3"/>
  <c r="O508" i="3"/>
  <c r="O504" i="3"/>
  <c r="O500" i="3"/>
  <c r="O496" i="3"/>
  <c r="O492" i="3"/>
  <c r="O488" i="3"/>
  <c r="O484" i="3"/>
  <c r="O480" i="3"/>
  <c r="O476" i="3"/>
  <c r="O472" i="3"/>
  <c r="O468" i="3"/>
  <c r="O464" i="3"/>
  <c r="O460" i="3"/>
  <c r="O456" i="3"/>
  <c r="O452" i="3"/>
  <c r="O448" i="3"/>
  <c r="O444" i="3"/>
  <c r="O440" i="3"/>
  <c r="O436" i="3"/>
  <c r="O432" i="3"/>
  <c r="O428" i="3"/>
  <c r="O424" i="3"/>
  <c r="O420" i="3"/>
  <c r="O416" i="3"/>
  <c r="O412" i="3"/>
  <c r="O408" i="3"/>
  <c r="O404" i="3"/>
  <c r="O400" i="3"/>
  <c r="O396" i="3"/>
  <c r="O392" i="3"/>
  <c r="O388" i="3"/>
  <c r="O384" i="3"/>
  <c r="O380" i="3"/>
  <c r="O376" i="3"/>
  <c r="O372" i="3"/>
  <c r="O368" i="3"/>
  <c r="O364" i="3"/>
  <c r="O360" i="3"/>
  <c r="O356" i="3"/>
  <c r="O352" i="3"/>
  <c r="O348" i="3"/>
  <c r="O344" i="3"/>
  <c r="O340" i="3"/>
  <c r="O336" i="3"/>
  <c r="O332" i="3"/>
  <c r="O328" i="3"/>
  <c r="O324" i="3"/>
  <c r="O320" i="3"/>
  <c r="O316" i="3"/>
  <c r="O312" i="3"/>
  <c r="O308" i="3"/>
  <c r="O304" i="3"/>
  <c r="O300" i="3"/>
  <c r="O296" i="3"/>
  <c r="O292" i="3"/>
  <c r="O288" i="3"/>
  <c r="O284" i="3"/>
  <c r="O280" i="3"/>
  <c r="O276" i="3"/>
  <c r="O272" i="3"/>
  <c r="O268" i="3"/>
  <c r="O264" i="3"/>
  <c r="O260" i="3"/>
  <c r="O256" i="3"/>
  <c r="O252" i="3"/>
  <c r="O248" i="3"/>
  <c r="O244" i="3"/>
  <c r="O240" i="3"/>
  <c r="O236" i="3"/>
  <c r="O232" i="3"/>
  <c r="O228" i="3"/>
  <c r="O224" i="3"/>
  <c r="O220" i="3"/>
  <c r="O216" i="3"/>
  <c r="O212" i="3"/>
  <c r="O208" i="3"/>
  <c r="O204" i="3"/>
  <c r="O200" i="3"/>
  <c r="O196" i="3"/>
  <c r="O192" i="3"/>
  <c r="O188" i="3"/>
  <c r="O184" i="3"/>
  <c r="O180" i="3"/>
  <c r="O176" i="3"/>
  <c r="O172" i="3"/>
  <c r="O168" i="3"/>
  <c r="O164" i="3"/>
  <c r="O160" i="3"/>
  <c r="O156" i="3"/>
  <c r="O152" i="3"/>
  <c r="O148" i="3"/>
  <c r="O144" i="3"/>
  <c r="O140" i="3"/>
  <c r="O136" i="3"/>
  <c r="O132" i="3"/>
  <c r="O128" i="3"/>
  <c r="O124" i="3"/>
  <c r="O120" i="3"/>
  <c r="O116" i="3"/>
  <c r="O112" i="3"/>
  <c r="O108" i="3"/>
  <c r="O104" i="3"/>
  <c r="O100" i="3"/>
  <c r="O96" i="3"/>
  <c r="O92" i="3"/>
  <c r="O88" i="3"/>
  <c r="O84" i="3"/>
  <c r="O80" i="3"/>
  <c r="O76" i="3"/>
  <c r="O72" i="3"/>
  <c r="O68" i="3"/>
  <c r="O64" i="3"/>
  <c r="O60" i="3"/>
  <c r="O56" i="3"/>
  <c r="O52" i="3"/>
  <c r="O48" i="3"/>
  <c r="O44" i="3"/>
  <c r="O40" i="3"/>
  <c r="O36" i="3"/>
  <c r="O32" i="3"/>
  <c r="O28" i="3"/>
  <c r="O24" i="3"/>
  <c r="O20" i="3"/>
  <c r="O16" i="3"/>
  <c r="O12" i="3"/>
  <c r="O8" i="3"/>
  <c r="O1003" i="3"/>
  <c r="O999" i="3"/>
  <c r="O995" i="3"/>
  <c r="O991" i="3"/>
  <c r="O987" i="3"/>
  <c r="O983" i="3"/>
  <c r="O979" i="3"/>
  <c r="O975" i="3"/>
  <c r="O971" i="3"/>
  <c r="O967" i="3"/>
  <c r="O963" i="3"/>
  <c r="O959" i="3"/>
  <c r="O955" i="3"/>
  <c r="O951" i="3"/>
  <c r="O947" i="3"/>
  <c r="O943" i="3"/>
  <c r="O939" i="3"/>
  <c r="O935" i="3"/>
  <c r="O931" i="3"/>
  <c r="O927" i="3"/>
  <c r="O923" i="3"/>
  <c r="O919" i="3"/>
  <c r="O915" i="3"/>
  <c r="O911" i="3"/>
  <c r="O907" i="3"/>
  <c r="O903" i="3"/>
  <c r="O899" i="3"/>
  <c r="O895" i="3"/>
  <c r="O891" i="3"/>
  <c r="O887" i="3"/>
  <c r="O883" i="3"/>
  <c r="O879" i="3"/>
  <c r="O875" i="3"/>
  <c r="O871" i="3"/>
  <c r="O867" i="3"/>
  <c r="O863" i="3"/>
  <c r="O859" i="3"/>
  <c r="O855" i="3"/>
  <c r="O851" i="3"/>
  <c r="O847" i="3"/>
  <c r="O843" i="3"/>
  <c r="O839" i="3"/>
  <c r="O835" i="3"/>
  <c r="O831" i="3"/>
  <c r="O827" i="3"/>
  <c r="O823" i="3"/>
  <c r="O819" i="3"/>
  <c r="O815" i="3"/>
  <c r="O811" i="3"/>
  <c r="O807" i="3"/>
  <c r="O803" i="3"/>
  <c r="O799" i="3"/>
  <c r="O795" i="3"/>
  <c r="O791" i="3"/>
  <c r="O787" i="3"/>
  <c r="O783" i="3"/>
  <c r="O779" i="3"/>
  <c r="O775" i="3"/>
  <c r="O771" i="3"/>
  <c r="O767" i="3"/>
  <c r="O763" i="3"/>
  <c r="O759" i="3"/>
  <c r="O755" i="3"/>
  <c r="O751" i="3"/>
  <c r="O747" i="3"/>
  <c r="O743" i="3"/>
  <c r="O739" i="3"/>
  <c r="O735" i="3"/>
  <c r="O731" i="3"/>
  <c r="O727" i="3"/>
  <c r="O723" i="3"/>
  <c r="O719" i="3"/>
  <c r="O715" i="3"/>
  <c r="O711" i="3"/>
  <c r="O707" i="3"/>
  <c r="O703" i="3"/>
  <c r="O699" i="3"/>
  <c r="O695" i="3"/>
  <c r="O691" i="3"/>
  <c r="O687" i="3"/>
  <c r="O683" i="3"/>
  <c r="O679" i="3"/>
  <c r="O675" i="3"/>
  <c r="O671" i="3"/>
  <c r="O667" i="3"/>
  <c r="O663" i="3"/>
  <c r="O659" i="3"/>
  <c r="O655" i="3"/>
  <c r="O651" i="3"/>
  <c r="O647" i="3"/>
  <c r="O643" i="3"/>
  <c r="O639" i="3"/>
  <c r="O635" i="3"/>
  <c r="O631" i="3"/>
  <c r="O627" i="3"/>
  <c r="O623" i="3"/>
  <c r="O619" i="3"/>
  <c r="O615" i="3"/>
  <c r="O611" i="3"/>
  <c r="O607" i="3"/>
  <c r="O603" i="3"/>
  <c r="O599" i="3"/>
  <c r="O595" i="3"/>
  <c r="O591" i="3"/>
  <c r="O587" i="3"/>
  <c r="O583" i="3"/>
  <c r="O579" i="3"/>
  <c r="O575" i="3"/>
  <c r="O571" i="3"/>
  <c r="O567" i="3"/>
  <c r="O563" i="3"/>
  <c r="O559" i="3"/>
  <c r="O555" i="3"/>
  <c r="O551" i="3"/>
  <c r="O547" i="3"/>
  <c r="O543" i="3"/>
  <c r="O539" i="3"/>
  <c r="O535" i="3"/>
  <c r="O531" i="3"/>
  <c r="O527" i="3"/>
  <c r="O523" i="3"/>
  <c r="O519" i="3"/>
  <c r="O515" i="3"/>
  <c r="O511" i="3"/>
  <c r="O507" i="3"/>
  <c r="O503" i="3"/>
  <c r="O499" i="3"/>
  <c r="O495" i="3"/>
  <c r="O491" i="3"/>
  <c r="O487" i="3"/>
  <c r="O483" i="3"/>
  <c r="O479" i="3"/>
  <c r="O475" i="3"/>
  <c r="O471" i="3"/>
  <c r="O467" i="3"/>
  <c r="O463" i="3"/>
  <c r="O459" i="3"/>
  <c r="O455" i="3"/>
  <c r="O451" i="3"/>
  <c r="O447" i="3"/>
  <c r="O443" i="3"/>
  <c r="O439" i="3"/>
  <c r="O435" i="3"/>
  <c r="O431" i="3"/>
  <c r="O427" i="3"/>
  <c r="O423" i="3"/>
  <c r="O419" i="3"/>
  <c r="O415" i="3"/>
  <c r="O411" i="3"/>
  <c r="O407" i="3"/>
  <c r="O403" i="3"/>
  <c r="O399" i="3"/>
  <c r="O395" i="3"/>
  <c r="O391" i="3"/>
  <c r="O387" i="3"/>
  <c r="O383" i="3"/>
  <c r="O379" i="3"/>
  <c r="O375" i="3"/>
  <c r="O371" i="3"/>
  <c r="O367" i="3"/>
  <c r="O363" i="3"/>
  <c r="O359" i="3"/>
  <c r="O355" i="3"/>
  <c r="O351" i="3"/>
  <c r="O347" i="3"/>
  <c r="O343" i="3"/>
  <c r="O339" i="3"/>
  <c r="O335" i="3"/>
  <c r="O331" i="3"/>
  <c r="O327" i="3"/>
  <c r="O323" i="3"/>
  <c r="O319" i="3"/>
  <c r="O315" i="3"/>
  <c r="O311" i="3"/>
  <c r="O307" i="3"/>
  <c r="O303" i="3"/>
  <c r="O299" i="3"/>
  <c r="O295" i="3"/>
  <c r="O291" i="3"/>
  <c r="O287" i="3"/>
  <c r="O283" i="3"/>
  <c r="O279" i="3"/>
  <c r="O275" i="3"/>
  <c r="O271" i="3"/>
  <c r="O267" i="3"/>
  <c r="O263" i="3"/>
  <c r="O259" i="3"/>
  <c r="O255" i="3"/>
  <c r="O251" i="3"/>
  <c r="O247" i="3"/>
  <c r="O243" i="3"/>
  <c r="O239" i="3"/>
  <c r="O235" i="3"/>
  <c r="O231" i="3"/>
  <c r="O227" i="3"/>
  <c r="O223" i="3"/>
  <c r="O219" i="3"/>
  <c r="O215" i="3"/>
  <c r="O211" i="3"/>
  <c r="O207" i="3"/>
  <c r="O203" i="3"/>
  <c r="O199" i="3"/>
  <c r="O195" i="3"/>
  <c r="O191" i="3"/>
  <c r="O187" i="3"/>
  <c r="O183" i="3"/>
  <c r="O179" i="3"/>
  <c r="O175" i="3"/>
  <c r="O171" i="3"/>
  <c r="O167" i="3"/>
  <c r="O163" i="3"/>
  <c r="O159" i="3"/>
  <c r="O155" i="3"/>
  <c r="O151" i="3"/>
  <c r="O147" i="3"/>
  <c r="O143" i="3"/>
  <c r="O139" i="3"/>
  <c r="O135" i="3"/>
  <c r="O131" i="3"/>
  <c r="O127" i="3"/>
  <c r="O123" i="3"/>
  <c r="O119" i="3"/>
  <c r="O115" i="3"/>
  <c r="O111" i="3"/>
  <c r="O107" i="3"/>
  <c r="O103" i="3"/>
  <c r="O99" i="3"/>
  <c r="O95" i="3"/>
  <c r="O91" i="3"/>
  <c r="O87" i="3"/>
  <c r="O83" i="3"/>
  <c r="O79" i="3"/>
  <c r="O75" i="3"/>
  <c r="O71" i="3"/>
  <c r="O67" i="3"/>
  <c r="O63" i="3"/>
  <c r="O59" i="3"/>
  <c r="O55" i="3"/>
  <c r="O51" i="3"/>
  <c r="O47" i="3"/>
  <c r="O43" i="3"/>
  <c r="O39" i="3"/>
  <c r="O35" i="3"/>
  <c r="O31" i="3"/>
  <c r="O27" i="3"/>
  <c r="O23" i="3"/>
  <c r="O19" i="3"/>
  <c r="O15" i="3"/>
  <c r="O11" i="3"/>
  <c r="O7" i="3"/>
  <c r="O1001" i="3"/>
  <c r="O985" i="3"/>
  <c r="O969" i="3"/>
  <c r="O953" i="3"/>
  <c r="O937" i="3"/>
  <c r="O921" i="3"/>
  <c r="O905" i="3"/>
  <c r="O889" i="3"/>
  <c r="O873" i="3"/>
  <c r="O857" i="3"/>
  <c r="O841" i="3"/>
  <c r="O825" i="3"/>
  <c r="O809" i="3"/>
  <c r="O793" i="3"/>
  <c r="O777" i="3"/>
  <c r="O761" i="3"/>
  <c r="O745" i="3"/>
  <c r="O729" i="3"/>
  <c r="O713" i="3"/>
  <c r="O697" i="3"/>
  <c r="O681" i="3"/>
  <c r="O665" i="3"/>
  <c r="O649" i="3"/>
  <c r="O633" i="3"/>
  <c r="O617" i="3"/>
  <c r="O601" i="3"/>
  <c r="O585" i="3"/>
  <c r="O569" i="3"/>
  <c r="O553" i="3"/>
  <c r="O537" i="3"/>
  <c r="O521" i="3"/>
  <c r="O505" i="3"/>
  <c r="O489" i="3"/>
  <c r="O473" i="3"/>
  <c r="O457" i="3"/>
  <c r="O441" i="3"/>
  <c r="O425" i="3"/>
  <c r="O409" i="3"/>
  <c r="O393" i="3"/>
  <c r="O377" i="3"/>
  <c r="O361" i="3"/>
  <c r="O345" i="3"/>
  <c r="O329" i="3"/>
  <c r="O313" i="3"/>
  <c r="O297" i="3"/>
  <c r="O281" i="3"/>
  <c r="O265" i="3"/>
  <c r="O249" i="3"/>
  <c r="O233" i="3"/>
  <c r="O217" i="3"/>
  <c r="O201" i="3"/>
  <c r="O185" i="3"/>
  <c r="O169" i="3"/>
  <c r="O153" i="3"/>
  <c r="O137" i="3"/>
  <c r="O121" i="3"/>
  <c r="O105" i="3"/>
  <c r="O89" i="3"/>
  <c r="O73" i="3"/>
  <c r="O57" i="3"/>
  <c r="O41" i="3"/>
  <c r="O25" i="3"/>
  <c r="O9" i="3"/>
  <c r="O997" i="3"/>
  <c r="O981" i="3"/>
  <c r="O965" i="3"/>
  <c r="O949" i="3"/>
  <c r="O933" i="3"/>
  <c r="O917" i="3"/>
  <c r="O901" i="3"/>
  <c r="O885" i="3"/>
  <c r="O869" i="3"/>
  <c r="O853" i="3"/>
  <c r="O837" i="3"/>
  <c r="O821" i="3"/>
  <c r="O805" i="3"/>
  <c r="O789" i="3"/>
  <c r="O773" i="3"/>
  <c r="O757" i="3"/>
  <c r="O741" i="3"/>
  <c r="O725" i="3"/>
  <c r="O709" i="3"/>
  <c r="O693" i="3"/>
  <c r="O677" i="3"/>
  <c r="O661" i="3"/>
  <c r="O645" i="3"/>
  <c r="O629" i="3"/>
  <c r="O613" i="3"/>
  <c r="O597" i="3"/>
  <c r="O581" i="3"/>
  <c r="O565" i="3"/>
  <c r="O549" i="3"/>
  <c r="O533" i="3"/>
  <c r="O517" i="3"/>
  <c r="O501" i="3"/>
  <c r="O485" i="3"/>
  <c r="O469" i="3"/>
  <c r="O453" i="3"/>
  <c r="O437" i="3"/>
  <c r="O421" i="3"/>
  <c r="O405" i="3"/>
  <c r="O389" i="3"/>
  <c r="O373" i="3"/>
  <c r="O357" i="3"/>
  <c r="O341" i="3"/>
  <c r="O325" i="3"/>
  <c r="O309" i="3"/>
  <c r="O293" i="3"/>
  <c r="O277" i="3"/>
  <c r="O261" i="3"/>
  <c r="O245" i="3"/>
  <c r="O229" i="3"/>
  <c r="O213" i="3"/>
  <c r="O197" i="3"/>
  <c r="O181" i="3"/>
  <c r="O165" i="3"/>
  <c r="O149" i="3"/>
  <c r="O133" i="3"/>
  <c r="O117" i="3"/>
  <c r="O101" i="3"/>
  <c r="O85" i="3"/>
  <c r="O69" i="3"/>
  <c r="O53" i="3"/>
  <c r="O37" i="3"/>
  <c r="O21" i="3"/>
  <c r="O6" i="3"/>
  <c r="O993" i="3"/>
  <c r="O977" i="3"/>
  <c r="O961" i="3"/>
  <c r="O945" i="3"/>
  <c r="O929" i="3"/>
  <c r="O913" i="3"/>
  <c r="O897" i="3"/>
  <c r="O881" i="3"/>
  <c r="O865" i="3"/>
  <c r="O849" i="3"/>
  <c r="O833" i="3"/>
  <c r="O817" i="3"/>
  <c r="O801" i="3"/>
  <c r="O785" i="3"/>
  <c r="O769" i="3"/>
  <c r="O753" i="3"/>
  <c r="O737" i="3"/>
  <c r="O721" i="3"/>
  <c r="O705" i="3"/>
  <c r="O689" i="3"/>
  <c r="O673" i="3"/>
  <c r="O657" i="3"/>
  <c r="O641" i="3"/>
  <c r="O625" i="3"/>
  <c r="O609" i="3"/>
  <c r="O593" i="3"/>
  <c r="O577" i="3"/>
  <c r="O561" i="3"/>
  <c r="O545" i="3"/>
  <c r="O529" i="3"/>
  <c r="O513" i="3"/>
  <c r="O497" i="3"/>
  <c r="O481" i="3"/>
  <c r="O465" i="3"/>
  <c r="O449" i="3"/>
  <c r="O433" i="3"/>
  <c r="O417" i="3"/>
  <c r="O401" i="3"/>
  <c r="O385" i="3"/>
  <c r="O369" i="3"/>
  <c r="O353" i="3"/>
  <c r="O337" i="3"/>
  <c r="O321" i="3"/>
  <c r="O305" i="3"/>
  <c r="O289" i="3"/>
  <c r="O273" i="3"/>
  <c r="O257" i="3"/>
  <c r="O241" i="3"/>
  <c r="O225" i="3"/>
  <c r="O209" i="3"/>
  <c r="O193" i="3"/>
  <c r="O177" i="3"/>
  <c r="O161" i="3"/>
  <c r="O145" i="3"/>
  <c r="O129" i="3"/>
  <c r="O113" i="3"/>
  <c r="O97" i="3"/>
  <c r="O81" i="3"/>
  <c r="O65" i="3"/>
  <c r="O49" i="3"/>
  <c r="O33" i="3"/>
  <c r="O17" i="3"/>
  <c r="O989" i="3"/>
  <c r="O957" i="3"/>
  <c r="O925" i="3"/>
  <c r="O893" i="3"/>
  <c r="O861" i="3"/>
  <c r="O829" i="3"/>
  <c r="O797" i="3"/>
  <c r="O765" i="3"/>
  <c r="O733" i="3"/>
  <c r="O701" i="3"/>
  <c r="O669" i="3"/>
  <c r="O637" i="3"/>
  <c r="O605" i="3"/>
  <c r="O573" i="3"/>
  <c r="O541" i="3"/>
  <c r="O509" i="3"/>
  <c r="O477" i="3"/>
  <c r="O445" i="3"/>
  <c r="O413" i="3"/>
  <c r="O381" i="3"/>
  <c r="O349" i="3"/>
  <c r="O317" i="3"/>
  <c r="O285" i="3"/>
  <c r="O253" i="3"/>
  <c r="O221" i="3"/>
  <c r="O189" i="3"/>
  <c r="O157" i="3"/>
  <c r="O125" i="3"/>
  <c r="O93" i="3"/>
  <c r="O61" i="3"/>
  <c r="O29" i="3"/>
  <c r="O973" i="3"/>
  <c r="O941" i="3"/>
  <c r="O909" i="3"/>
  <c r="O877" i="3"/>
  <c r="O845" i="3"/>
  <c r="O813" i="3"/>
  <c r="O781" i="3"/>
  <c r="O749" i="3"/>
  <c r="O717" i="3"/>
  <c r="O685" i="3"/>
  <c r="O653" i="3"/>
  <c r="O621" i="3"/>
  <c r="O589" i="3"/>
  <c r="O557" i="3"/>
  <c r="O525" i="3"/>
  <c r="O493" i="3"/>
  <c r="O461" i="3"/>
  <c r="O429" i="3"/>
  <c r="O397" i="3"/>
  <c r="O365" i="3"/>
  <c r="O333" i="3"/>
  <c r="O301" i="3"/>
  <c r="O269" i="3"/>
  <c r="O237" i="3"/>
  <c r="O205" i="3"/>
  <c r="O173" i="3"/>
  <c r="O141" i="3"/>
  <c r="O109" i="3"/>
  <c r="O77" i="3"/>
  <c r="O45" i="3"/>
  <c r="O13" i="3"/>
  <c r="I1000" i="37"/>
  <c r="I996" i="37"/>
  <c r="I992" i="37"/>
  <c r="I988" i="37"/>
  <c r="I984" i="37"/>
  <c r="I980" i="37"/>
  <c r="I976" i="37"/>
  <c r="I972" i="37"/>
  <c r="I968" i="37"/>
  <c r="I964" i="37"/>
  <c r="I960" i="37"/>
  <c r="I956" i="37"/>
  <c r="I952" i="37"/>
  <c r="I948" i="37"/>
  <c r="I944" i="37"/>
  <c r="I940" i="37"/>
  <c r="I936" i="37"/>
  <c r="I932" i="37"/>
  <c r="I928" i="37"/>
  <c r="I924" i="37"/>
  <c r="I920" i="37"/>
  <c r="I916" i="37"/>
  <c r="I912" i="37"/>
  <c r="I908" i="37"/>
  <c r="I904" i="37"/>
  <c r="I900" i="37"/>
  <c r="I896" i="37"/>
  <c r="I892" i="37"/>
  <c r="I888" i="37"/>
  <c r="I884" i="37"/>
  <c r="I880" i="37"/>
  <c r="I876" i="37"/>
  <c r="I872" i="37"/>
  <c r="I868" i="37"/>
  <c r="I864" i="37"/>
  <c r="I860" i="37"/>
  <c r="I856" i="37"/>
  <c r="I852" i="37"/>
  <c r="I848" i="37"/>
  <c r="I844" i="37"/>
  <c r="I840" i="37"/>
  <c r="I836" i="37"/>
  <c r="I832" i="37"/>
  <c r="I828" i="37"/>
  <c r="I824" i="37"/>
  <c r="I820" i="37"/>
  <c r="I816" i="37"/>
  <c r="I812" i="37"/>
  <c r="I808" i="37"/>
  <c r="I804" i="37"/>
  <c r="I800" i="37"/>
  <c r="I998" i="37"/>
  <c r="I994" i="37"/>
  <c r="I999" i="37"/>
  <c r="I991" i="37"/>
  <c r="I986" i="37"/>
  <c r="I981" i="37"/>
  <c r="I975" i="37"/>
  <c r="I970" i="37"/>
  <c r="I965" i="37"/>
  <c r="I959" i="37"/>
  <c r="I954" i="37"/>
  <c r="I949" i="37"/>
  <c r="I943" i="37"/>
  <c r="I938" i="37"/>
  <c r="I933" i="37"/>
  <c r="I927" i="37"/>
  <c r="I922" i="37"/>
  <c r="I917" i="37"/>
  <c r="I911" i="37"/>
  <c r="I906" i="37"/>
  <c r="I901" i="37"/>
  <c r="I895" i="37"/>
  <c r="I890" i="37"/>
  <c r="I885" i="37"/>
  <c r="I879" i="37"/>
  <c r="I874" i="37"/>
  <c r="I869" i="37"/>
  <c r="I863" i="37"/>
  <c r="I858" i="37"/>
  <c r="I853" i="37"/>
  <c r="I847" i="37"/>
  <c r="I842" i="37"/>
  <c r="I837" i="37"/>
  <c r="I831" i="37"/>
  <c r="I826" i="37"/>
  <c r="I821" i="37"/>
  <c r="I815" i="37"/>
  <c r="I810" i="37"/>
  <c r="I805" i="37"/>
  <c r="I799" i="37"/>
  <c r="I795" i="37"/>
  <c r="I791" i="37"/>
  <c r="I787" i="37"/>
  <c r="I783" i="37"/>
  <c r="I779" i="37"/>
  <c r="I775" i="37"/>
  <c r="I771" i="37"/>
  <c r="I767" i="37"/>
  <c r="I763" i="37"/>
  <c r="I759" i="37"/>
  <c r="I755" i="37"/>
  <c r="I751" i="37"/>
  <c r="I747" i="37"/>
  <c r="I743" i="37"/>
  <c r="I739" i="37"/>
  <c r="I735" i="37"/>
  <c r="I731" i="37"/>
  <c r="I727" i="37"/>
  <c r="I723" i="37"/>
  <c r="I719" i="37"/>
  <c r="I715" i="37"/>
  <c r="I711" i="37"/>
  <c r="I707" i="37"/>
  <c r="I703" i="37"/>
  <c r="I699" i="37"/>
  <c r="I695" i="37"/>
  <c r="I691" i="37"/>
  <c r="I687" i="37"/>
  <c r="I683" i="37"/>
  <c r="I679" i="37"/>
  <c r="I675" i="37"/>
  <c r="I671" i="37"/>
  <c r="I667" i="37"/>
  <c r="I663" i="37"/>
  <c r="I659" i="37"/>
  <c r="I655" i="37"/>
  <c r="I651" i="37"/>
  <c r="I647" i="37"/>
  <c r="I643" i="37"/>
  <c r="I639" i="37"/>
  <c r="I635" i="37"/>
  <c r="I631" i="37"/>
  <c r="I627" i="37"/>
  <c r="I623" i="37"/>
  <c r="I619" i="37"/>
  <c r="I615" i="37"/>
  <c r="I611" i="37"/>
  <c r="I607" i="37"/>
  <c r="I603" i="37"/>
  <c r="I599" i="37"/>
  <c r="I595" i="37"/>
  <c r="I591" i="37"/>
  <c r="I587" i="37"/>
  <c r="I583" i="37"/>
  <c r="I579" i="37"/>
  <c r="I575" i="37"/>
  <c r="I571" i="37"/>
  <c r="I567" i="37"/>
  <c r="I563" i="37"/>
  <c r="I559" i="37"/>
  <c r="I555" i="37"/>
  <c r="I551" i="37"/>
  <c r="I547" i="37"/>
  <c r="I543" i="37"/>
  <c r="I539" i="37"/>
  <c r="I535" i="37"/>
  <c r="I531" i="37"/>
  <c r="I527" i="37"/>
  <c r="I523" i="37"/>
  <c r="I519" i="37"/>
  <c r="I515" i="37"/>
  <c r="I511" i="37"/>
  <c r="I507" i="37"/>
  <c r="I503" i="37"/>
  <c r="I499" i="37"/>
  <c r="I495" i="37"/>
  <c r="I491" i="37"/>
  <c r="I487" i="37"/>
  <c r="I483" i="37"/>
  <c r="I479" i="37"/>
  <c r="I475" i="37"/>
  <c r="I471" i="37"/>
  <c r="I467" i="37"/>
  <c r="I463" i="37"/>
  <c r="I459" i="37"/>
  <c r="I455" i="37"/>
  <c r="I451" i="37"/>
  <c r="I447" i="37"/>
  <c r="I443" i="37"/>
  <c r="I439" i="37"/>
  <c r="I435" i="37"/>
  <c r="I431" i="37"/>
  <c r="I427" i="37"/>
  <c r="I423" i="37"/>
  <c r="I419" i="37"/>
  <c r="I415" i="37"/>
  <c r="I411" i="37"/>
  <c r="I407" i="37"/>
  <c r="I403" i="37"/>
  <c r="I399" i="37"/>
  <c r="I395" i="37"/>
  <c r="I391" i="37"/>
  <c r="I387" i="37"/>
  <c r="I383" i="37"/>
  <c r="I379" i="37"/>
  <c r="I375" i="37"/>
  <c r="I371" i="37"/>
  <c r="I367" i="37"/>
  <c r="I363" i="37"/>
  <c r="I359" i="37"/>
  <c r="I355" i="37"/>
  <c r="I351" i="37"/>
  <c r="I347" i="37"/>
  <c r="I343" i="37"/>
  <c r="I339" i="37"/>
  <c r="I335" i="37"/>
  <c r="I331" i="37"/>
  <c r="I327" i="37"/>
  <c r="I323" i="37"/>
  <c r="I319" i="37"/>
  <c r="I315" i="37"/>
  <c r="I311" i="37"/>
  <c r="I307" i="37"/>
  <c r="I303" i="37"/>
  <c r="I299" i="37"/>
  <c r="I295" i="37"/>
  <c r="I291" i="37"/>
  <c r="I287" i="37"/>
  <c r="I283" i="37"/>
  <c r="I279" i="37"/>
  <c r="I275" i="37"/>
  <c r="I271" i="37"/>
  <c r="I267" i="37"/>
  <c r="I263" i="37"/>
  <c r="I259" i="37"/>
  <c r="I255" i="37"/>
  <c r="I251" i="37"/>
  <c r="I247" i="37"/>
  <c r="I243" i="37"/>
  <c r="I239" i="37"/>
  <c r="I235" i="37"/>
  <c r="I231" i="37"/>
  <c r="I227" i="37"/>
  <c r="I223" i="37"/>
  <c r="I219" i="37"/>
  <c r="I215" i="37"/>
  <c r="I211" i="37"/>
  <c r="I207" i="37"/>
  <c r="I203" i="37"/>
  <c r="I199" i="37"/>
  <c r="I195" i="37"/>
  <c r="I191" i="37"/>
  <c r="I187" i="37"/>
  <c r="I183" i="37"/>
  <c r="I179" i="37"/>
  <c r="I175" i="37"/>
  <c r="I995" i="37"/>
  <c r="I989" i="37"/>
  <c r="I983" i="37"/>
  <c r="I978" i="37"/>
  <c r="I973" i="37"/>
  <c r="I967" i="37"/>
  <c r="I962" i="37"/>
  <c r="I957" i="37"/>
  <c r="I951" i="37"/>
  <c r="I946" i="37"/>
  <c r="I941" i="37"/>
  <c r="I935" i="37"/>
  <c r="I930" i="37"/>
  <c r="I925" i="37"/>
  <c r="I919" i="37"/>
  <c r="I914" i="37"/>
  <c r="I909" i="37"/>
  <c r="I903" i="37"/>
  <c r="I898" i="37"/>
  <c r="I893" i="37"/>
  <c r="I887" i="37"/>
  <c r="I882" i="37"/>
  <c r="I877" i="37"/>
  <c r="I871" i="37"/>
  <c r="I866" i="37"/>
  <c r="I861" i="37"/>
  <c r="I855" i="37"/>
  <c r="I850" i="37"/>
  <c r="I845" i="37"/>
  <c r="I839" i="37"/>
  <c r="I834" i="37"/>
  <c r="I829" i="37"/>
  <c r="I823" i="37"/>
  <c r="I818" i="37"/>
  <c r="I813" i="37"/>
  <c r="I807" i="37"/>
  <c r="I802" i="37"/>
  <c r="I797" i="37"/>
  <c r="I793" i="37"/>
  <c r="I789" i="37"/>
  <c r="I785" i="37"/>
  <c r="I781" i="37"/>
  <c r="I777" i="37"/>
  <c r="I773" i="37"/>
  <c r="I769" i="37"/>
  <c r="I765" i="37"/>
  <c r="I761" i="37"/>
  <c r="I757" i="37"/>
  <c r="I753" i="37"/>
  <c r="I749" i="37"/>
  <c r="I745" i="37"/>
  <c r="I741" i="37"/>
  <c r="I737" i="37"/>
  <c r="I733" i="37"/>
  <c r="I729" i="37"/>
  <c r="I725" i="37"/>
  <c r="I721" i="37"/>
  <c r="I717" i="37"/>
  <c r="I713" i="37"/>
  <c r="I709" i="37"/>
  <c r="I705" i="37"/>
  <c r="I701" i="37"/>
  <c r="I697" i="37"/>
  <c r="I693" i="37"/>
  <c r="I689" i="37"/>
  <c r="I685" i="37"/>
  <c r="I681" i="37"/>
  <c r="I677" i="37"/>
  <c r="I673" i="37"/>
  <c r="I669" i="37"/>
  <c r="I665" i="37"/>
  <c r="I661" i="37"/>
  <c r="I657" i="37"/>
  <c r="I653" i="37"/>
  <c r="I649" i="37"/>
  <c r="I645" i="37"/>
  <c r="I641" i="37"/>
  <c r="I637" i="37"/>
  <c r="I633" i="37"/>
  <c r="I629" i="37"/>
  <c r="I625" i="37"/>
  <c r="I621" i="37"/>
  <c r="I617" i="37"/>
  <c r="I613" i="37"/>
  <c r="I609" i="37"/>
  <c r="I605" i="37"/>
  <c r="I601" i="37"/>
  <c r="I597" i="37"/>
  <c r="I593" i="37"/>
  <c r="I589" i="37"/>
  <c r="I585" i="37"/>
  <c r="I581" i="37"/>
  <c r="I577" i="37"/>
  <c r="I573" i="37"/>
  <c r="I569" i="37"/>
  <c r="I565" i="37"/>
  <c r="I561" i="37"/>
  <c r="I557" i="37"/>
  <c r="I553" i="37"/>
  <c r="I549" i="37"/>
  <c r="I545" i="37"/>
  <c r="I541" i="37"/>
  <c r="I537" i="37"/>
  <c r="I533" i="37"/>
  <c r="I529" i="37"/>
  <c r="I525" i="37"/>
  <c r="I521" i="37"/>
  <c r="I517" i="37"/>
  <c r="I513" i="37"/>
  <c r="I509" i="37"/>
  <c r="I505" i="37"/>
  <c r="I501" i="37"/>
  <c r="I497" i="37"/>
  <c r="I493" i="37"/>
  <c r="I489" i="37"/>
  <c r="I485" i="37"/>
  <c r="I481" i="37"/>
  <c r="I477" i="37"/>
  <c r="I473" i="37"/>
  <c r="I469" i="37"/>
  <c r="I465" i="37"/>
  <c r="I461" i="37"/>
  <c r="I457" i="37"/>
  <c r="I453" i="37"/>
  <c r="I449" i="37"/>
  <c r="I445" i="37"/>
  <c r="I441" i="37"/>
  <c r="I437" i="37"/>
  <c r="I433" i="37"/>
  <c r="I429" i="37"/>
  <c r="I425" i="37"/>
  <c r="I421" i="37"/>
  <c r="I417" i="37"/>
  <c r="I413" i="37"/>
  <c r="I409" i="37"/>
  <c r="I405" i="37"/>
  <c r="I401" i="37"/>
  <c r="I397" i="37"/>
  <c r="I393" i="37"/>
  <c r="I389" i="37"/>
  <c r="I385" i="37"/>
  <c r="I381" i="37"/>
  <c r="I377" i="37"/>
  <c r="I373" i="37"/>
  <c r="I369" i="37"/>
  <c r="I365" i="37"/>
  <c r="I361" i="37"/>
  <c r="I357" i="37"/>
  <c r="I353" i="37"/>
  <c r="I349" i="37"/>
  <c r="I345" i="37"/>
  <c r="I341" i="37"/>
  <c r="I337" i="37"/>
  <c r="I333" i="37"/>
  <c r="I329" i="37"/>
  <c r="I325" i="37"/>
  <c r="I321" i="37"/>
  <c r="I317" i="37"/>
  <c r="I313" i="37"/>
  <c r="I309" i="37"/>
  <c r="I305" i="37"/>
  <c r="I301" i="37"/>
  <c r="I297" i="37"/>
  <c r="I293" i="37"/>
  <c r="I289" i="37"/>
  <c r="I285" i="37"/>
  <c r="I281" i="37"/>
  <c r="I277" i="37"/>
  <c r="I273" i="37"/>
  <c r="I269" i="37"/>
  <c r="I265" i="37"/>
  <c r="I261" i="37"/>
  <c r="I257" i="37"/>
  <c r="I253" i="37"/>
  <c r="I249" i="37"/>
  <c r="I245" i="37"/>
  <c r="I241" i="37"/>
  <c r="I237" i="37"/>
  <c r="I233" i="37"/>
  <c r="I229" i="37"/>
  <c r="I225" i="37"/>
  <c r="I221" i="37"/>
  <c r="I217" i="37"/>
  <c r="I213" i="37"/>
  <c r="I209" i="37"/>
  <c r="I205" i="37"/>
  <c r="I201" i="37"/>
  <c r="I197" i="37"/>
  <c r="I193" i="37"/>
  <c r="I189" i="37"/>
  <c r="I185" i="37"/>
  <c r="I181" i="37"/>
  <c r="I177" i="37"/>
  <c r="I173" i="37"/>
  <c r="I169" i="37"/>
  <c r="I165" i="37"/>
  <c r="I161" i="37"/>
  <c r="I990" i="37"/>
  <c r="I979" i="37"/>
  <c r="I969" i="37"/>
  <c r="I958" i="37"/>
  <c r="I947" i="37"/>
  <c r="I937" i="37"/>
  <c r="I926" i="37"/>
  <c r="I915" i="37"/>
  <c r="I905" i="37"/>
  <c r="I894" i="37"/>
  <c r="I883" i="37"/>
  <c r="I873" i="37"/>
  <c r="I862" i="37"/>
  <c r="I851" i="37"/>
  <c r="I841" i="37"/>
  <c r="I830" i="37"/>
  <c r="I819" i="37"/>
  <c r="I809" i="37"/>
  <c r="I798" i="37"/>
  <c r="I790" i="37"/>
  <c r="I782" i="37"/>
  <c r="I774" i="37"/>
  <c r="I766" i="37"/>
  <c r="I758" i="37"/>
  <c r="I750" i="37"/>
  <c r="I742" i="37"/>
  <c r="I734" i="37"/>
  <c r="I726" i="37"/>
  <c r="I718" i="37"/>
  <c r="I710" i="37"/>
  <c r="I702" i="37"/>
  <c r="I694" i="37"/>
  <c r="I686" i="37"/>
  <c r="I678" i="37"/>
  <c r="I670" i="37"/>
  <c r="I662" i="37"/>
  <c r="I654" i="37"/>
  <c r="I646" i="37"/>
  <c r="I638" i="37"/>
  <c r="I630" i="37"/>
  <c r="I622" i="37"/>
  <c r="I614" i="37"/>
  <c r="I606" i="37"/>
  <c r="I598" i="37"/>
  <c r="I590" i="37"/>
  <c r="I582" i="37"/>
  <c r="I574" i="37"/>
  <c r="I566" i="37"/>
  <c r="I558" i="37"/>
  <c r="I550" i="37"/>
  <c r="I542" i="37"/>
  <c r="I534" i="37"/>
  <c r="I526" i="37"/>
  <c r="I518" i="37"/>
  <c r="I510" i="37"/>
  <c r="I502" i="37"/>
  <c r="I494" i="37"/>
  <c r="I486" i="37"/>
  <c r="I478" i="37"/>
  <c r="I470" i="37"/>
  <c r="I462" i="37"/>
  <c r="I454" i="37"/>
  <c r="I446" i="37"/>
  <c r="I438" i="37"/>
  <c r="I430" i="37"/>
  <c r="I422" i="37"/>
  <c r="I414" i="37"/>
  <c r="I406" i="37"/>
  <c r="I398" i="37"/>
  <c r="I390" i="37"/>
  <c r="I382" i="37"/>
  <c r="I374" i="37"/>
  <c r="I366" i="37"/>
  <c r="I358" i="37"/>
  <c r="I350" i="37"/>
  <c r="I342" i="37"/>
  <c r="I334" i="37"/>
  <c r="I326" i="37"/>
  <c r="I318" i="37"/>
  <c r="I310" i="37"/>
  <c r="I302" i="37"/>
  <c r="I294" i="37"/>
  <c r="I286" i="37"/>
  <c r="I278" i="37"/>
  <c r="I270" i="37"/>
  <c r="I262" i="37"/>
  <c r="I254" i="37"/>
  <c r="I246" i="37"/>
  <c r="I238" i="37"/>
  <c r="I230" i="37"/>
  <c r="I222" i="37"/>
  <c r="I214" i="37"/>
  <c r="I206" i="37"/>
  <c r="I198" i="37"/>
  <c r="I190" i="37"/>
  <c r="I182" i="37"/>
  <c r="I174" i="37"/>
  <c r="I168" i="37"/>
  <c r="I163" i="37"/>
  <c r="I158" i="37"/>
  <c r="I154" i="37"/>
  <c r="I150" i="37"/>
  <c r="I146" i="37"/>
  <c r="I142" i="37"/>
  <c r="I138" i="37"/>
  <c r="I134" i="37"/>
  <c r="I130" i="37"/>
  <c r="I126" i="37"/>
  <c r="I122" i="37"/>
  <c r="I118" i="37"/>
  <c r="I114" i="37"/>
  <c r="I110" i="37"/>
  <c r="I106" i="37"/>
  <c r="I102" i="37"/>
  <c r="I98" i="37"/>
  <c r="I94" i="37"/>
  <c r="I90" i="37"/>
  <c r="I86" i="37"/>
  <c r="I82" i="37"/>
  <c r="I78" i="37"/>
  <c r="I74" i="37"/>
  <c r="I70" i="37"/>
  <c r="I66" i="37"/>
  <c r="I62" i="37"/>
  <c r="I58" i="37"/>
  <c r="I54" i="37"/>
  <c r="I50" i="37"/>
  <c r="I46" i="37"/>
  <c r="I42" i="37"/>
  <c r="I38" i="37"/>
  <c r="I34" i="37"/>
  <c r="I30" i="37"/>
  <c r="I26" i="37"/>
  <c r="I22" i="37"/>
  <c r="I18" i="37"/>
  <c r="I14" i="37"/>
  <c r="I10" i="37"/>
  <c r="I6" i="37"/>
  <c r="I2" i="37"/>
  <c r="I987" i="37"/>
  <c r="I977" i="37"/>
  <c r="I966" i="37"/>
  <c r="I955" i="37"/>
  <c r="I945" i="37"/>
  <c r="I934" i="37"/>
  <c r="I923" i="37"/>
  <c r="I913" i="37"/>
  <c r="I902" i="37"/>
  <c r="I891" i="37"/>
  <c r="I881" i="37"/>
  <c r="I870" i="37"/>
  <c r="I859" i="37"/>
  <c r="I849" i="37"/>
  <c r="I838" i="37"/>
  <c r="I827" i="37"/>
  <c r="I817" i="37"/>
  <c r="I806" i="37"/>
  <c r="I796" i="37"/>
  <c r="I788" i="37"/>
  <c r="I780" i="37"/>
  <c r="I772" i="37"/>
  <c r="I764" i="37"/>
  <c r="I756" i="37"/>
  <c r="I748" i="37"/>
  <c r="I740" i="37"/>
  <c r="I732" i="37"/>
  <c r="I724" i="37"/>
  <c r="I716" i="37"/>
  <c r="I708" i="37"/>
  <c r="I700" i="37"/>
  <c r="I692" i="37"/>
  <c r="I684" i="37"/>
  <c r="I676" i="37"/>
  <c r="I668" i="37"/>
  <c r="I660" i="37"/>
  <c r="I652" i="37"/>
  <c r="I644" i="37"/>
  <c r="I636" i="37"/>
  <c r="I628" i="37"/>
  <c r="I620" i="37"/>
  <c r="I612" i="37"/>
  <c r="I604" i="37"/>
  <c r="I596" i="37"/>
  <c r="I588" i="37"/>
  <c r="I580" i="37"/>
  <c r="I572" i="37"/>
  <c r="I564" i="37"/>
  <c r="I556" i="37"/>
  <c r="I548" i="37"/>
  <c r="I540" i="37"/>
  <c r="I532" i="37"/>
  <c r="I524" i="37"/>
  <c r="I516" i="37"/>
  <c r="I508" i="37"/>
  <c r="I500" i="37"/>
  <c r="I492" i="37"/>
  <c r="I484" i="37"/>
  <c r="I476" i="37"/>
  <c r="I468" i="37"/>
  <c r="I460" i="37"/>
  <c r="I452" i="37"/>
  <c r="I444" i="37"/>
  <c r="I436" i="37"/>
  <c r="I428" i="37"/>
  <c r="I420" i="37"/>
  <c r="I412" i="37"/>
  <c r="I404" i="37"/>
  <c r="I396" i="37"/>
  <c r="I388" i="37"/>
  <c r="I380" i="37"/>
  <c r="I372" i="37"/>
  <c r="I364" i="37"/>
  <c r="I356" i="37"/>
  <c r="I348" i="37"/>
  <c r="I340" i="37"/>
  <c r="I332" i="37"/>
  <c r="I324" i="37"/>
  <c r="I316" i="37"/>
  <c r="I308" i="37"/>
  <c r="I300" i="37"/>
  <c r="I292" i="37"/>
  <c r="I284" i="37"/>
  <c r="I276" i="37"/>
  <c r="I268" i="37"/>
  <c r="I260" i="37"/>
  <c r="I252" i="37"/>
  <c r="I244" i="37"/>
  <c r="I236" i="37"/>
  <c r="I228" i="37"/>
  <c r="I220" i="37"/>
  <c r="I212" i="37"/>
  <c r="I204" i="37"/>
  <c r="I196" i="37"/>
  <c r="I188" i="37"/>
  <c r="I180" i="37"/>
  <c r="I172" i="37"/>
  <c r="I167" i="37"/>
  <c r="I162" i="37"/>
  <c r="I157" i="37"/>
  <c r="I153" i="37"/>
  <c r="I149" i="37"/>
  <c r="I145" i="37"/>
  <c r="I141" i="37"/>
  <c r="I137" i="37"/>
  <c r="I133" i="37"/>
  <c r="I129" i="37"/>
  <c r="I125" i="37"/>
  <c r="I121" i="37"/>
  <c r="I117" i="37"/>
  <c r="I113" i="37"/>
  <c r="I109" i="37"/>
  <c r="I105" i="37"/>
  <c r="I101" i="37"/>
  <c r="I97" i="37"/>
  <c r="I93" i="37"/>
  <c r="I89" i="37"/>
  <c r="I85" i="37"/>
  <c r="I81" i="37"/>
  <c r="I77" i="37"/>
  <c r="I73" i="37"/>
  <c r="I69" i="37"/>
  <c r="I65" i="37"/>
  <c r="I61" i="37"/>
  <c r="I57" i="37"/>
  <c r="I53" i="37"/>
  <c r="I49" i="37"/>
  <c r="I45" i="37"/>
  <c r="I41" i="37"/>
  <c r="I37" i="37"/>
  <c r="I33" i="37"/>
  <c r="I29" i="37"/>
  <c r="I25" i="37"/>
  <c r="I21" i="37"/>
  <c r="I17" i="37"/>
  <c r="I13" i="37"/>
  <c r="I9" i="37"/>
  <c r="I5" i="37"/>
  <c r="I997" i="37"/>
  <c r="I974" i="37"/>
  <c r="I953" i="37"/>
  <c r="I931" i="37"/>
  <c r="I910" i="37"/>
  <c r="I889" i="37"/>
  <c r="I867" i="37"/>
  <c r="I846" i="37"/>
  <c r="I825" i="37"/>
  <c r="I803" i="37"/>
  <c r="I786" i="37"/>
  <c r="I770" i="37"/>
  <c r="I754" i="37"/>
  <c r="I738" i="37"/>
  <c r="I722" i="37"/>
  <c r="I706" i="37"/>
  <c r="I690" i="37"/>
  <c r="I674" i="37"/>
  <c r="I658" i="37"/>
  <c r="I642" i="37"/>
  <c r="I626" i="37"/>
  <c r="I610" i="37"/>
  <c r="I594" i="37"/>
  <c r="I578" i="37"/>
  <c r="I562" i="37"/>
  <c r="I546" i="37"/>
  <c r="I530" i="37"/>
  <c r="I514" i="37"/>
  <c r="I498" i="37"/>
  <c r="I482" i="37"/>
  <c r="I466" i="37"/>
  <c r="I450" i="37"/>
  <c r="I434" i="37"/>
  <c r="I418" i="37"/>
  <c r="I402" i="37"/>
  <c r="I386" i="37"/>
  <c r="I370" i="37"/>
  <c r="I354" i="37"/>
  <c r="I338" i="37"/>
  <c r="I322" i="37"/>
  <c r="I306" i="37"/>
  <c r="I290" i="37"/>
  <c r="I274" i="37"/>
  <c r="I258" i="37"/>
  <c r="I242" i="37"/>
  <c r="I226" i="37"/>
  <c r="I210" i="37"/>
  <c r="I194" i="37"/>
  <c r="I178" i="37"/>
  <c r="I166" i="37"/>
  <c r="I156" i="37"/>
  <c r="I148" i="37"/>
  <c r="I140" i="37"/>
  <c r="I132" i="37"/>
  <c r="I124" i="37"/>
  <c r="I116" i="37"/>
  <c r="I108" i="37"/>
  <c r="I100" i="37"/>
  <c r="I92" i="37"/>
  <c r="I84" i="37"/>
  <c r="I76" i="37"/>
  <c r="I68" i="37"/>
  <c r="I60" i="37"/>
  <c r="I52" i="37"/>
  <c r="I44" i="37"/>
  <c r="I36" i="37"/>
  <c r="I28" i="37"/>
  <c r="I20" i="37"/>
  <c r="I12" i="37"/>
  <c r="I4" i="37"/>
  <c r="I985" i="37"/>
  <c r="I963" i="37"/>
  <c r="I942" i="37"/>
  <c r="I921" i="37"/>
  <c r="I899" i="37"/>
  <c r="I878" i="37"/>
  <c r="I857" i="37"/>
  <c r="I835" i="37"/>
  <c r="I814" i="37"/>
  <c r="I794" i="37"/>
  <c r="I778" i="37"/>
  <c r="I762" i="37"/>
  <c r="I746" i="37"/>
  <c r="I730" i="37"/>
  <c r="I714" i="37"/>
  <c r="I698" i="37"/>
  <c r="I682" i="37"/>
  <c r="I666" i="37"/>
  <c r="I650" i="37"/>
  <c r="I634" i="37"/>
  <c r="I618" i="37"/>
  <c r="I602" i="37"/>
  <c r="I586" i="37"/>
  <c r="I570" i="37"/>
  <c r="I554" i="37"/>
  <c r="I538" i="37"/>
  <c r="I522" i="37"/>
  <c r="I506" i="37"/>
  <c r="I490" i="37"/>
  <c r="I474" i="37"/>
  <c r="I458" i="37"/>
  <c r="I442" i="37"/>
  <c r="I426" i="37"/>
  <c r="I410" i="37"/>
  <c r="I394" i="37"/>
  <c r="I378" i="37"/>
  <c r="I362" i="37"/>
  <c r="I346" i="37"/>
  <c r="I330" i="37"/>
  <c r="I314" i="37"/>
  <c r="I298" i="37"/>
  <c r="I282" i="37"/>
  <c r="I266" i="37"/>
  <c r="I250" i="37"/>
  <c r="I234" i="37"/>
  <c r="I218" i="37"/>
  <c r="I202" i="37"/>
  <c r="I186" i="37"/>
  <c r="I171" i="37"/>
  <c r="I160" i="37"/>
  <c r="I152" i="37"/>
  <c r="I144" i="37"/>
  <c r="I136" i="37"/>
  <c r="I128" i="37"/>
  <c r="I120" i="37"/>
  <c r="I112" i="37"/>
  <c r="I104" i="37"/>
  <c r="I96" i="37"/>
  <c r="I88" i="37"/>
  <c r="I80" i="37"/>
  <c r="I72" i="37"/>
  <c r="I64" i="37"/>
  <c r="I56" i="37"/>
  <c r="I48" i="37"/>
  <c r="I40" i="37"/>
  <c r="I32" i="37"/>
  <c r="I24" i="37"/>
  <c r="I16" i="37"/>
  <c r="I8" i="37"/>
  <c r="I1" i="37"/>
  <c r="I993" i="37"/>
  <c r="I950" i="37"/>
  <c r="I907" i="37"/>
  <c r="I865" i="37"/>
  <c r="I822" i="37"/>
  <c r="I784" i="37"/>
  <c r="I752" i="37"/>
  <c r="I720" i="37"/>
  <c r="I688" i="37"/>
  <c r="I656" i="37"/>
  <c r="I624" i="37"/>
  <c r="I592" i="37"/>
  <c r="I560" i="37"/>
  <c r="I528" i="37"/>
  <c r="I496" i="37"/>
  <c r="I464" i="37"/>
  <c r="I432" i="37"/>
  <c r="I400" i="37"/>
  <c r="I368" i="37"/>
  <c r="I336" i="37"/>
  <c r="I304" i="37"/>
  <c r="I272" i="37"/>
  <c r="I240" i="37"/>
  <c r="I208" i="37"/>
  <c r="I176" i="37"/>
  <c r="I155" i="37"/>
  <c r="I139" i="37"/>
  <c r="I123" i="37"/>
  <c r="I107" i="37"/>
  <c r="I91" i="37"/>
  <c r="I75" i="37"/>
  <c r="I59" i="37"/>
  <c r="I43" i="37"/>
  <c r="I27" i="37"/>
  <c r="I11" i="37"/>
  <c r="I982" i="37"/>
  <c r="I939" i="37"/>
  <c r="I897" i="37"/>
  <c r="I854" i="37"/>
  <c r="I811" i="37"/>
  <c r="I776" i="37"/>
  <c r="I744" i="37"/>
  <c r="I712" i="37"/>
  <c r="I680" i="37"/>
  <c r="I648" i="37"/>
  <c r="I616" i="37"/>
  <c r="I584" i="37"/>
  <c r="I552" i="37"/>
  <c r="I520" i="37"/>
  <c r="I488" i="37"/>
  <c r="I456" i="37"/>
  <c r="I424" i="37"/>
  <c r="I392" i="37"/>
  <c r="I360" i="37"/>
  <c r="I328" i="37"/>
  <c r="I296" i="37"/>
  <c r="I264" i="37"/>
  <c r="I232" i="37"/>
  <c r="I200" i="37"/>
  <c r="I170" i="37"/>
  <c r="I151" i="37"/>
  <c r="I135" i="37"/>
  <c r="I119" i="37"/>
  <c r="I103" i="37"/>
  <c r="I87" i="37"/>
  <c r="I71" i="37"/>
  <c r="I55" i="37"/>
  <c r="I39" i="37"/>
  <c r="I23" i="37"/>
  <c r="I7" i="37"/>
  <c r="I961" i="37"/>
  <c r="I875" i="37"/>
  <c r="I792" i="37"/>
  <c r="I728" i="37"/>
  <c r="I664" i="37"/>
  <c r="I600" i="37"/>
  <c r="I536" i="37"/>
  <c r="I472" i="37"/>
  <c r="I408" i="37"/>
  <c r="I344" i="37"/>
  <c r="I280" i="37"/>
  <c r="I216" i="37"/>
  <c r="I159" i="37"/>
  <c r="I127" i="37"/>
  <c r="I95" i="37"/>
  <c r="I63" i="37"/>
  <c r="I31" i="37"/>
  <c r="I918" i="37"/>
  <c r="I833" i="37"/>
  <c r="I760" i="37"/>
  <c r="I696" i="37"/>
  <c r="I632" i="37"/>
  <c r="I568" i="37"/>
  <c r="I504" i="37"/>
  <c r="I440" i="37"/>
  <c r="I376" i="37"/>
  <c r="I312" i="37"/>
  <c r="I248" i="37"/>
  <c r="I184" i="37"/>
  <c r="I143" i="37"/>
  <c r="I111" i="37"/>
  <c r="I79" i="37"/>
  <c r="I47" i="37"/>
  <c r="I15" i="37"/>
  <c r="I843" i="37"/>
  <c r="I704" i="37"/>
  <c r="I576" i="37"/>
  <c r="I448" i="37"/>
  <c r="I320" i="37"/>
  <c r="I192" i="37"/>
  <c r="I115" i="37"/>
  <c r="I51" i="37"/>
  <c r="I929" i="37"/>
  <c r="I768" i="37"/>
  <c r="I640" i="37"/>
  <c r="I512" i="37"/>
  <c r="I384" i="37"/>
  <c r="I256" i="37"/>
  <c r="I147" i="37"/>
  <c r="I83" i="37"/>
  <c r="I19" i="37"/>
  <c r="I971" i="37"/>
  <c r="I672" i="37"/>
  <c r="I416" i="37"/>
  <c r="I164" i="37"/>
  <c r="I35" i="37"/>
  <c r="I886" i="37"/>
  <c r="I608" i="37"/>
  <c r="I352" i="37"/>
  <c r="I131" i="37"/>
  <c r="I3" i="37"/>
  <c r="I544" i="37"/>
  <c r="I99" i="37"/>
  <c r="I801" i="37"/>
  <c r="I288" i="37"/>
  <c r="I67" i="37"/>
  <c r="I736" i="37"/>
  <c r="I224" i="37"/>
  <c r="I480" i="37"/>
  <c r="I997" i="30"/>
  <c r="I993" i="30"/>
  <c r="I989" i="30"/>
  <c r="I985" i="30"/>
  <c r="I981" i="30"/>
  <c r="I977" i="30"/>
  <c r="I973" i="30"/>
  <c r="I969" i="30"/>
  <c r="I965" i="30"/>
  <c r="I961" i="30"/>
  <c r="I957" i="30"/>
  <c r="I953" i="30"/>
  <c r="I949" i="30"/>
  <c r="I945" i="30"/>
  <c r="I941" i="30"/>
  <c r="I937" i="30"/>
  <c r="I933" i="30"/>
  <c r="I929" i="30"/>
  <c r="I925" i="30"/>
  <c r="I921" i="30"/>
  <c r="I917" i="30"/>
  <c r="I913" i="30"/>
  <c r="I909" i="30"/>
  <c r="I905" i="30"/>
  <c r="I901" i="30"/>
  <c r="I897" i="30"/>
  <c r="I893" i="30"/>
  <c r="I889" i="30"/>
  <c r="I885" i="30"/>
  <c r="I881" i="30"/>
  <c r="I877" i="30"/>
  <c r="I873" i="30"/>
  <c r="I869" i="30"/>
  <c r="I865" i="30"/>
  <c r="I861" i="30"/>
  <c r="I857" i="30"/>
  <c r="I853" i="30"/>
  <c r="I849" i="30"/>
  <c r="I845" i="30"/>
  <c r="I841" i="30"/>
  <c r="I837" i="30"/>
  <c r="I833" i="30"/>
  <c r="I829" i="30"/>
  <c r="I825" i="30"/>
  <c r="I821" i="30"/>
  <c r="I817" i="30"/>
  <c r="I813" i="30"/>
  <c r="I809" i="30"/>
  <c r="I805" i="30"/>
  <c r="I999" i="30"/>
  <c r="I994" i="30"/>
  <c r="I988" i="30"/>
  <c r="I983" i="30"/>
  <c r="I978" i="30"/>
  <c r="I972" i="30"/>
  <c r="I967" i="30"/>
  <c r="I962" i="30"/>
  <c r="I956" i="30"/>
  <c r="I951" i="30"/>
  <c r="I946" i="30"/>
  <c r="I940" i="30"/>
  <c r="I935" i="30"/>
  <c r="I930" i="30"/>
  <c r="I924" i="30"/>
  <c r="I919" i="30"/>
  <c r="I914" i="30"/>
  <c r="I908" i="30"/>
  <c r="I903" i="30"/>
  <c r="I898" i="30"/>
  <c r="I892" i="30"/>
  <c r="I887" i="30"/>
  <c r="I882" i="30"/>
  <c r="I876" i="30"/>
  <c r="I871" i="30"/>
  <c r="I866" i="30"/>
  <c r="I860" i="30"/>
  <c r="I855" i="30"/>
  <c r="I850" i="30"/>
  <c r="I844" i="30"/>
  <c r="I839" i="30"/>
  <c r="I834" i="30"/>
  <c r="I828" i="30"/>
  <c r="I823" i="30"/>
  <c r="I818" i="30"/>
  <c r="I812" i="30"/>
  <c r="I807" i="30"/>
  <c r="I802" i="30"/>
  <c r="I798" i="30"/>
  <c r="I794" i="30"/>
  <c r="I790" i="30"/>
  <c r="I786" i="30"/>
  <c r="I782" i="30"/>
  <c r="I778" i="30"/>
  <c r="I774" i="30"/>
  <c r="I770" i="30"/>
  <c r="I766" i="30"/>
  <c r="I762" i="30"/>
  <c r="I758" i="30"/>
  <c r="I754" i="30"/>
  <c r="I750" i="30"/>
  <c r="I746" i="30"/>
  <c r="I742" i="30"/>
  <c r="I738" i="30"/>
  <c r="I734" i="30"/>
  <c r="I730" i="30"/>
  <c r="I726" i="30"/>
  <c r="I722" i="30"/>
  <c r="I718" i="30"/>
  <c r="I714" i="30"/>
  <c r="I710" i="30"/>
  <c r="I706" i="30"/>
  <c r="I702" i="30"/>
  <c r="I698" i="30"/>
  <c r="I694" i="30"/>
  <c r="I690" i="30"/>
  <c r="I686" i="30"/>
  <c r="I682" i="30"/>
  <c r="I678" i="30"/>
  <c r="I674" i="30"/>
  <c r="I670" i="30"/>
  <c r="I666" i="30"/>
  <c r="I662" i="30"/>
  <c r="I658" i="30"/>
  <c r="I654" i="30"/>
  <c r="I650" i="30"/>
  <c r="I646" i="30"/>
  <c r="I642" i="30"/>
  <c r="I638" i="30"/>
  <c r="I634" i="30"/>
  <c r="I630" i="30"/>
  <c r="I626" i="30"/>
  <c r="I622" i="30"/>
  <c r="I618" i="30"/>
  <c r="I614" i="30"/>
  <c r="I610" i="30"/>
  <c r="I606" i="30"/>
  <c r="I602" i="30"/>
  <c r="I598" i="30"/>
  <c r="I594" i="30"/>
  <c r="I590" i="30"/>
  <c r="I586" i="30"/>
  <c r="I582" i="30"/>
  <c r="I578" i="30"/>
  <c r="I574" i="30"/>
  <c r="I570" i="30"/>
  <c r="I566" i="30"/>
  <c r="I562" i="30"/>
  <c r="I558" i="30"/>
  <c r="I554" i="30"/>
  <c r="I550" i="30"/>
  <c r="I546" i="30"/>
  <c r="I542" i="30"/>
  <c r="I538" i="30"/>
  <c r="I534" i="30"/>
  <c r="I530" i="30"/>
  <c r="I526" i="30"/>
  <c r="I522" i="30"/>
  <c r="I518" i="30"/>
  <c r="I514" i="30"/>
  <c r="I510" i="30"/>
  <c r="I506" i="30"/>
  <c r="I502" i="30"/>
  <c r="I498" i="30"/>
  <c r="I494" i="30"/>
  <c r="I490" i="30"/>
  <c r="I486" i="30"/>
  <c r="I482" i="30"/>
  <c r="I478" i="30"/>
  <c r="I474" i="30"/>
  <c r="I470" i="30"/>
  <c r="I466" i="30"/>
  <c r="I462" i="30"/>
  <c r="I458" i="30"/>
  <c r="I454" i="30"/>
  <c r="I450" i="30"/>
  <c r="I446" i="30"/>
  <c r="I442" i="30"/>
  <c r="I438" i="30"/>
  <c r="I434" i="30"/>
  <c r="I430" i="30"/>
  <c r="I426" i="30"/>
  <c r="I422" i="30"/>
  <c r="I418" i="30"/>
  <c r="I414" i="30"/>
  <c r="I410" i="30"/>
  <c r="I406" i="30"/>
  <c r="I402" i="30"/>
  <c r="I398" i="30"/>
  <c r="I394" i="30"/>
  <c r="I390" i="30"/>
  <c r="I386" i="30"/>
  <c r="I382" i="30"/>
  <c r="I378" i="30"/>
  <c r="I374" i="30"/>
  <c r="I370" i="30"/>
  <c r="I366" i="30"/>
  <c r="I362" i="30"/>
  <c r="I358" i="30"/>
  <c r="I354" i="30"/>
  <c r="I350" i="30"/>
  <c r="I346" i="30"/>
  <c r="I342" i="30"/>
  <c r="I338" i="30"/>
  <c r="I334" i="30"/>
  <c r="I330" i="30"/>
  <c r="I326" i="30"/>
  <c r="I322" i="30"/>
  <c r="I318" i="30"/>
  <c r="I314" i="30"/>
  <c r="I310" i="30"/>
  <c r="I306" i="30"/>
  <c r="I302" i="30"/>
  <c r="I298" i="30"/>
  <c r="I294" i="30"/>
  <c r="I290" i="30"/>
  <c r="I286" i="30"/>
  <c r="I282" i="30"/>
  <c r="I278" i="30"/>
  <c r="I274" i="30"/>
  <c r="I270" i="30"/>
  <c r="I266" i="30"/>
  <c r="I262" i="30"/>
  <c r="I258" i="30"/>
  <c r="I254" i="30"/>
  <c r="I250" i="30"/>
  <c r="I246" i="30"/>
  <c r="I242" i="30"/>
  <c r="I238" i="30"/>
  <c r="I234" i="30"/>
  <c r="I230" i="30"/>
  <c r="I226" i="30"/>
  <c r="I222" i="30"/>
  <c r="I218" i="30"/>
  <c r="I214" i="30"/>
  <c r="I210" i="30"/>
  <c r="I206" i="30"/>
  <c r="I202" i="30"/>
  <c r="I198" i="30"/>
  <c r="I194" i="30"/>
  <c r="I190" i="30"/>
  <c r="I186" i="30"/>
  <c r="I182" i="30"/>
  <c r="I178" i="30"/>
  <c r="I174" i="30"/>
  <c r="I170" i="30"/>
  <c r="I166" i="30"/>
  <c r="I162" i="30"/>
  <c r="I158" i="30"/>
  <c r="I154" i="30"/>
  <c r="I150" i="30"/>
  <c r="I146" i="30"/>
  <c r="I142" i="30"/>
  <c r="I138" i="30"/>
  <c r="I134" i="30"/>
  <c r="I130" i="30"/>
  <c r="I126" i="30"/>
  <c r="I122" i="30"/>
  <c r="I118" i="30"/>
  <c r="I114" i="30"/>
  <c r="I110" i="30"/>
  <c r="I106" i="30"/>
  <c r="I102" i="30"/>
  <c r="I98" i="30"/>
  <c r="I94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42" i="30"/>
  <c r="I38" i="30"/>
  <c r="I34" i="30"/>
  <c r="I30" i="30"/>
  <c r="I26" i="30"/>
  <c r="I22" i="30"/>
  <c r="I18" i="30"/>
  <c r="I14" i="30"/>
  <c r="I10" i="30"/>
  <c r="I6" i="30"/>
  <c r="I2" i="30"/>
  <c r="I996" i="30"/>
  <c r="I991" i="30"/>
  <c r="I986" i="30"/>
  <c r="I980" i="30"/>
  <c r="I975" i="30"/>
  <c r="I970" i="30"/>
  <c r="I964" i="30"/>
  <c r="I959" i="30"/>
  <c r="I954" i="30"/>
  <c r="I948" i="30"/>
  <c r="I943" i="30"/>
  <c r="I938" i="30"/>
  <c r="I932" i="30"/>
  <c r="I927" i="30"/>
  <c r="I922" i="30"/>
  <c r="I916" i="30"/>
  <c r="I911" i="30"/>
  <c r="I906" i="30"/>
  <c r="I900" i="30"/>
  <c r="I895" i="30"/>
  <c r="I890" i="30"/>
  <c r="I884" i="30"/>
  <c r="I879" i="30"/>
  <c r="I874" i="30"/>
  <c r="I868" i="30"/>
  <c r="I863" i="30"/>
  <c r="I858" i="30"/>
  <c r="I852" i="30"/>
  <c r="I847" i="30"/>
  <c r="I842" i="30"/>
  <c r="I836" i="30"/>
  <c r="I831" i="30"/>
  <c r="I826" i="30"/>
  <c r="I820" i="30"/>
  <c r="I815" i="30"/>
  <c r="I810" i="30"/>
  <c r="I804" i="30"/>
  <c r="I800" i="30"/>
  <c r="I796" i="30"/>
  <c r="I792" i="30"/>
  <c r="I788" i="30"/>
  <c r="I784" i="30"/>
  <c r="I780" i="30"/>
  <c r="I776" i="30"/>
  <c r="I772" i="30"/>
  <c r="I768" i="30"/>
  <c r="I764" i="30"/>
  <c r="I760" i="30"/>
  <c r="I756" i="30"/>
  <c r="I752" i="30"/>
  <c r="I748" i="30"/>
  <c r="I744" i="30"/>
  <c r="I740" i="30"/>
  <c r="I736" i="30"/>
  <c r="I732" i="30"/>
  <c r="I728" i="30"/>
  <c r="I724" i="30"/>
  <c r="I720" i="30"/>
  <c r="I716" i="30"/>
  <c r="I712" i="30"/>
  <c r="I708" i="30"/>
  <c r="I704" i="30"/>
  <c r="I700" i="30"/>
  <c r="I696" i="30"/>
  <c r="I692" i="30"/>
  <c r="I688" i="30"/>
  <c r="I684" i="30"/>
  <c r="I680" i="30"/>
  <c r="I676" i="30"/>
  <c r="I672" i="30"/>
  <c r="I668" i="30"/>
  <c r="I664" i="30"/>
  <c r="I660" i="30"/>
  <c r="I656" i="30"/>
  <c r="I652" i="30"/>
  <c r="I648" i="30"/>
  <c r="I644" i="30"/>
  <c r="I640" i="30"/>
  <c r="I636" i="30"/>
  <c r="I632" i="30"/>
  <c r="I628" i="30"/>
  <c r="I624" i="30"/>
  <c r="I620" i="30"/>
  <c r="I616" i="30"/>
  <c r="I612" i="30"/>
  <c r="I608" i="30"/>
  <c r="I604" i="30"/>
  <c r="I600" i="30"/>
  <c r="I596" i="30"/>
  <c r="I592" i="30"/>
  <c r="I588" i="30"/>
  <c r="I584" i="30"/>
  <c r="I580" i="30"/>
  <c r="I576" i="30"/>
  <c r="I572" i="30"/>
  <c r="I568" i="30"/>
  <c r="I564" i="30"/>
  <c r="I560" i="30"/>
  <c r="I556" i="30"/>
  <c r="I552" i="30"/>
  <c r="I548" i="30"/>
  <c r="I544" i="30"/>
  <c r="I540" i="30"/>
  <c r="I536" i="30"/>
  <c r="I532" i="30"/>
  <c r="I528" i="30"/>
  <c r="I524" i="30"/>
  <c r="I520" i="30"/>
  <c r="I516" i="30"/>
  <c r="I512" i="30"/>
  <c r="I508" i="30"/>
  <c r="I504" i="30"/>
  <c r="I500" i="30"/>
  <c r="I496" i="30"/>
  <c r="I492" i="30"/>
  <c r="I488" i="30"/>
  <c r="I484" i="30"/>
  <c r="I480" i="30"/>
  <c r="I476" i="30"/>
  <c r="I472" i="30"/>
  <c r="I468" i="30"/>
  <c r="I464" i="30"/>
  <c r="I460" i="30"/>
  <c r="I456" i="30"/>
  <c r="I452" i="30"/>
  <c r="I448" i="30"/>
  <c r="I444" i="30"/>
  <c r="I440" i="30"/>
  <c r="I436" i="30"/>
  <c r="I432" i="30"/>
  <c r="I428" i="30"/>
  <c r="I424" i="30"/>
  <c r="I420" i="30"/>
  <c r="I416" i="30"/>
  <c r="I412" i="30"/>
  <c r="I408" i="30"/>
  <c r="I404" i="30"/>
  <c r="I400" i="30"/>
  <c r="I396" i="30"/>
  <c r="I392" i="30"/>
  <c r="I388" i="30"/>
  <c r="I384" i="30"/>
  <c r="I380" i="30"/>
  <c r="I376" i="30"/>
  <c r="I372" i="30"/>
  <c r="I368" i="30"/>
  <c r="I364" i="30"/>
  <c r="I360" i="30"/>
  <c r="I356" i="30"/>
  <c r="I352" i="30"/>
  <c r="I348" i="30"/>
  <c r="I344" i="30"/>
  <c r="I340" i="30"/>
  <c r="I336" i="30"/>
  <c r="I332" i="30"/>
  <c r="I328" i="30"/>
  <c r="I324" i="30"/>
  <c r="I320" i="30"/>
  <c r="I316" i="30"/>
  <c r="I312" i="30"/>
  <c r="I308" i="30"/>
  <c r="I304" i="30"/>
  <c r="I300" i="30"/>
  <c r="I296" i="30"/>
  <c r="I292" i="30"/>
  <c r="I288" i="30"/>
  <c r="I284" i="30"/>
  <c r="I280" i="30"/>
  <c r="I276" i="30"/>
  <c r="I272" i="30"/>
  <c r="I268" i="30"/>
  <c r="I264" i="30"/>
  <c r="I260" i="30"/>
  <c r="I256" i="30"/>
  <c r="I252" i="30"/>
  <c r="I248" i="30"/>
  <c r="I244" i="30"/>
  <c r="I240" i="30"/>
  <c r="I236" i="30"/>
  <c r="I232" i="30"/>
  <c r="I228" i="30"/>
  <c r="I224" i="30"/>
  <c r="I220" i="30"/>
  <c r="I216" i="30"/>
  <c r="I212" i="30"/>
  <c r="I208" i="30"/>
  <c r="I204" i="30"/>
  <c r="I200" i="30"/>
  <c r="I196" i="30"/>
  <c r="I192" i="30"/>
  <c r="I188" i="30"/>
  <c r="I184" i="30"/>
  <c r="I180" i="30"/>
  <c r="I176" i="30"/>
  <c r="I172" i="30"/>
  <c r="I168" i="30"/>
  <c r="I164" i="30"/>
  <c r="I160" i="30"/>
  <c r="I156" i="30"/>
  <c r="I152" i="30"/>
  <c r="I148" i="30"/>
  <c r="I144" i="30"/>
  <c r="I140" i="30"/>
  <c r="I136" i="30"/>
  <c r="I132" i="30"/>
  <c r="I128" i="30"/>
  <c r="I124" i="30"/>
  <c r="I120" i="30"/>
  <c r="I116" i="30"/>
  <c r="I112" i="30"/>
  <c r="I108" i="30"/>
  <c r="I104" i="30"/>
  <c r="I100" i="30"/>
  <c r="I96" i="30"/>
  <c r="I92" i="30"/>
  <c r="I88" i="30"/>
  <c r="I84" i="30"/>
  <c r="I80" i="30"/>
  <c r="I76" i="30"/>
  <c r="I72" i="30"/>
  <c r="I68" i="30"/>
  <c r="I64" i="30"/>
  <c r="I60" i="30"/>
  <c r="I56" i="30"/>
  <c r="I52" i="30"/>
  <c r="I48" i="30"/>
  <c r="I44" i="30"/>
  <c r="I40" i="30"/>
  <c r="I36" i="30"/>
  <c r="I32" i="30"/>
  <c r="I28" i="30"/>
  <c r="I24" i="30"/>
  <c r="I20" i="30"/>
  <c r="I16" i="30"/>
  <c r="I12" i="30"/>
  <c r="I8" i="30"/>
  <c r="I4" i="30"/>
  <c r="I1" i="30"/>
  <c r="I995" i="30"/>
  <c r="I984" i="30"/>
  <c r="I974" i="30"/>
  <c r="I963" i="30"/>
  <c r="I952" i="30"/>
  <c r="I942" i="30"/>
  <c r="I931" i="30"/>
  <c r="I920" i="30"/>
  <c r="I910" i="30"/>
  <c r="I899" i="30"/>
  <c r="I888" i="30"/>
  <c r="I878" i="30"/>
  <c r="I867" i="30"/>
  <c r="I856" i="30"/>
  <c r="I846" i="30"/>
  <c r="I835" i="30"/>
  <c r="I824" i="30"/>
  <c r="I814" i="30"/>
  <c r="I803" i="30"/>
  <c r="I795" i="30"/>
  <c r="I787" i="30"/>
  <c r="I779" i="30"/>
  <c r="I771" i="30"/>
  <c r="I763" i="30"/>
  <c r="I755" i="30"/>
  <c r="I747" i="30"/>
  <c r="I739" i="30"/>
  <c r="I731" i="30"/>
  <c r="I723" i="30"/>
  <c r="I715" i="30"/>
  <c r="I707" i="30"/>
  <c r="I699" i="30"/>
  <c r="I691" i="30"/>
  <c r="I683" i="30"/>
  <c r="I675" i="30"/>
  <c r="I667" i="30"/>
  <c r="I659" i="30"/>
  <c r="I651" i="30"/>
  <c r="I643" i="30"/>
  <c r="I635" i="30"/>
  <c r="I627" i="30"/>
  <c r="I619" i="30"/>
  <c r="I611" i="30"/>
  <c r="I603" i="30"/>
  <c r="I595" i="30"/>
  <c r="I587" i="30"/>
  <c r="I579" i="30"/>
  <c r="I571" i="30"/>
  <c r="I563" i="30"/>
  <c r="I555" i="30"/>
  <c r="I547" i="30"/>
  <c r="I539" i="30"/>
  <c r="I531" i="30"/>
  <c r="I523" i="30"/>
  <c r="I515" i="30"/>
  <c r="I507" i="30"/>
  <c r="I499" i="30"/>
  <c r="I491" i="30"/>
  <c r="I483" i="30"/>
  <c r="I475" i="30"/>
  <c r="I467" i="30"/>
  <c r="I459" i="30"/>
  <c r="I451" i="30"/>
  <c r="I443" i="30"/>
  <c r="I435" i="30"/>
  <c r="I427" i="30"/>
  <c r="I419" i="30"/>
  <c r="I411" i="30"/>
  <c r="I403" i="30"/>
  <c r="I395" i="30"/>
  <c r="I387" i="30"/>
  <c r="I379" i="30"/>
  <c r="I371" i="30"/>
  <c r="I363" i="30"/>
  <c r="I355" i="30"/>
  <c r="I347" i="30"/>
  <c r="I339" i="30"/>
  <c r="I331" i="30"/>
  <c r="I323" i="30"/>
  <c r="I315" i="30"/>
  <c r="I307" i="30"/>
  <c r="I299" i="30"/>
  <c r="I291" i="30"/>
  <c r="I283" i="30"/>
  <c r="I275" i="30"/>
  <c r="I267" i="30"/>
  <c r="I259" i="30"/>
  <c r="I251" i="30"/>
  <c r="I243" i="30"/>
  <c r="I235" i="30"/>
  <c r="I227" i="30"/>
  <c r="I219" i="30"/>
  <c r="I211" i="30"/>
  <c r="I203" i="30"/>
  <c r="I195" i="30"/>
  <c r="I187" i="30"/>
  <c r="I179" i="30"/>
  <c r="I171" i="30"/>
  <c r="I163" i="30"/>
  <c r="I155" i="30"/>
  <c r="I147" i="30"/>
  <c r="I139" i="30"/>
  <c r="I131" i="30"/>
  <c r="I123" i="30"/>
  <c r="I115" i="30"/>
  <c r="I107" i="30"/>
  <c r="I99" i="30"/>
  <c r="I91" i="30"/>
  <c r="I83" i="30"/>
  <c r="I75" i="30"/>
  <c r="I67" i="30"/>
  <c r="I59" i="30"/>
  <c r="I51" i="30"/>
  <c r="I43" i="30"/>
  <c r="I35" i="30"/>
  <c r="I27" i="30"/>
  <c r="I19" i="30"/>
  <c r="I11" i="30"/>
  <c r="I3" i="30"/>
  <c r="I992" i="30"/>
  <c r="I982" i="30"/>
  <c r="I971" i="30"/>
  <c r="I960" i="30"/>
  <c r="I950" i="30"/>
  <c r="I939" i="30"/>
  <c r="I928" i="30"/>
  <c r="I918" i="30"/>
  <c r="I907" i="30"/>
  <c r="I896" i="30"/>
  <c r="I886" i="30"/>
  <c r="I875" i="30"/>
  <c r="I864" i="30"/>
  <c r="I854" i="30"/>
  <c r="I843" i="30"/>
  <c r="I832" i="30"/>
  <c r="I822" i="30"/>
  <c r="I811" i="30"/>
  <c r="I801" i="30"/>
  <c r="I793" i="30"/>
  <c r="I785" i="30"/>
  <c r="I777" i="30"/>
  <c r="I769" i="30"/>
  <c r="I761" i="30"/>
  <c r="I753" i="30"/>
  <c r="I745" i="30"/>
  <c r="I737" i="30"/>
  <c r="I729" i="30"/>
  <c r="I721" i="30"/>
  <c r="I713" i="30"/>
  <c r="I705" i="30"/>
  <c r="I697" i="30"/>
  <c r="I689" i="30"/>
  <c r="I681" i="30"/>
  <c r="I673" i="30"/>
  <c r="I665" i="30"/>
  <c r="I657" i="30"/>
  <c r="I649" i="30"/>
  <c r="I641" i="30"/>
  <c r="I633" i="30"/>
  <c r="I625" i="30"/>
  <c r="I617" i="30"/>
  <c r="I609" i="30"/>
  <c r="I601" i="30"/>
  <c r="I593" i="30"/>
  <c r="I585" i="30"/>
  <c r="I577" i="30"/>
  <c r="I569" i="30"/>
  <c r="I561" i="30"/>
  <c r="I553" i="30"/>
  <c r="I545" i="30"/>
  <c r="I537" i="30"/>
  <c r="I529" i="30"/>
  <c r="I521" i="30"/>
  <c r="I513" i="30"/>
  <c r="I505" i="30"/>
  <c r="I497" i="30"/>
  <c r="I489" i="30"/>
  <c r="I481" i="30"/>
  <c r="I473" i="30"/>
  <c r="I465" i="30"/>
  <c r="I457" i="30"/>
  <c r="I449" i="30"/>
  <c r="I441" i="30"/>
  <c r="I433" i="30"/>
  <c r="I425" i="30"/>
  <c r="I417" i="30"/>
  <c r="I409" i="30"/>
  <c r="I401" i="30"/>
  <c r="I393" i="30"/>
  <c r="I385" i="30"/>
  <c r="I377" i="30"/>
  <c r="I369" i="30"/>
  <c r="I361" i="30"/>
  <c r="I353" i="30"/>
  <c r="I345" i="30"/>
  <c r="I337" i="30"/>
  <c r="I329" i="30"/>
  <c r="I321" i="30"/>
  <c r="I313" i="30"/>
  <c r="I305" i="30"/>
  <c r="I297" i="30"/>
  <c r="I289" i="30"/>
  <c r="I281" i="30"/>
  <c r="I273" i="30"/>
  <c r="I265" i="30"/>
  <c r="I257" i="30"/>
  <c r="I249" i="30"/>
  <c r="I241" i="30"/>
  <c r="I233" i="30"/>
  <c r="I225" i="30"/>
  <c r="I217" i="30"/>
  <c r="I209" i="30"/>
  <c r="I201" i="30"/>
  <c r="I193" i="30"/>
  <c r="I185" i="30"/>
  <c r="I177" i="30"/>
  <c r="I169" i="30"/>
  <c r="I161" i="30"/>
  <c r="I153" i="30"/>
  <c r="I145" i="30"/>
  <c r="I137" i="30"/>
  <c r="I129" i="30"/>
  <c r="I121" i="30"/>
  <c r="I113" i="30"/>
  <c r="I105" i="30"/>
  <c r="I97" i="30"/>
  <c r="I89" i="30"/>
  <c r="I81" i="30"/>
  <c r="I73" i="30"/>
  <c r="I65" i="30"/>
  <c r="I57" i="30"/>
  <c r="I49" i="30"/>
  <c r="I41" i="30"/>
  <c r="I33" i="30"/>
  <c r="I25" i="30"/>
  <c r="I17" i="30"/>
  <c r="I9" i="30"/>
  <c r="I987" i="30"/>
  <c r="I966" i="30"/>
  <c r="I944" i="30"/>
  <c r="I923" i="30"/>
  <c r="I902" i="30"/>
  <c r="I880" i="30"/>
  <c r="I859" i="30"/>
  <c r="I838" i="30"/>
  <c r="I816" i="30"/>
  <c r="I797" i="30"/>
  <c r="I781" i="30"/>
  <c r="I765" i="30"/>
  <c r="I749" i="30"/>
  <c r="I733" i="30"/>
  <c r="I717" i="30"/>
  <c r="I701" i="30"/>
  <c r="I685" i="30"/>
  <c r="I669" i="30"/>
  <c r="I653" i="30"/>
  <c r="I637" i="30"/>
  <c r="I621" i="30"/>
  <c r="I605" i="30"/>
  <c r="I589" i="30"/>
  <c r="I573" i="30"/>
  <c r="I557" i="30"/>
  <c r="I541" i="30"/>
  <c r="I525" i="30"/>
  <c r="I509" i="30"/>
  <c r="I493" i="30"/>
  <c r="I477" i="30"/>
  <c r="I461" i="30"/>
  <c r="I445" i="30"/>
  <c r="I429" i="30"/>
  <c r="I413" i="30"/>
  <c r="I397" i="30"/>
  <c r="I381" i="30"/>
  <c r="I365" i="30"/>
  <c r="I349" i="30"/>
  <c r="I333" i="30"/>
  <c r="I317" i="30"/>
  <c r="I301" i="30"/>
  <c r="I285" i="30"/>
  <c r="I269" i="30"/>
  <c r="I253" i="30"/>
  <c r="I237" i="30"/>
  <c r="I221" i="30"/>
  <c r="I205" i="30"/>
  <c r="I189" i="30"/>
  <c r="I173" i="30"/>
  <c r="I157" i="30"/>
  <c r="I141" i="30"/>
  <c r="I125" i="30"/>
  <c r="I109" i="30"/>
  <c r="I93" i="30"/>
  <c r="I77" i="30"/>
  <c r="I61" i="30"/>
  <c r="I45" i="30"/>
  <c r="I29" i="30"/>
  <c r="I13" i="30"/>
  <c r="I998" i="30"/>
  <c r="I976" i="30"/>
  <c r="I955" i="30"/>
  <c r="I934" i="30"/>
  <c r="I912" i="30"/>
  <c r="I891" i="30"/>
  <c r="I870" i="30"/>
  <c r="I848" i="30"/>
  <c r="I827" i="30"/>
  <c r="I806" i="30"/>
  <c r="I789" i="30"/>
  <c r="I773" i="30"/>
  <c r="I757" i="30"/>
  <c r="I741" i="30"/>
  <c r="I725" i="30"/>
  <c r="I709" i="30"/>
  <c r="I693" i="30"/>
  <c r="I677" i="30"/>
  <c r="I661" i="30"/>
  <c r="I645" i="30"/>
  <c r="I629" i="30"/>
  <c r="I613" i="30"/>
  <c r="I597" i="30"/>
  <c r="I581" i="30"/>
  <c r="I565" i="30"/>
  <c r="I549" i="30"/>
  <c r="I533" i="30"/>
  <c r="I517" i="30"/>
  <c r="I501" i="30"/>
  <c r="I485" i="30"/>
  <c r="I469" i="30"/>
  <c r="I453" i="30"/>
  <c r="I437" i="30"/>
  <c r="I421" i="30"/>
  <c r="I405" i="30"/>
  <c r="I389" i="30"/>
  <c r="I373" i="30"/>
  <c r="I357" i="30"/>
  <c r="I341" i="30"/>
  <c r="I325" i="30"/>
  <c r="I309" i="30"/>
  <c r="I293" i="30"/>
  <c r="I277" i="30"/>
  <c r="I261" i="30"/>
  <c r="I245" i="30"/>
  <c r="I229" i="30"/>
  <c r="I213" i="30"/>
  <c r="I197" i="30"/>
  <c r="I181" i="30"/>
  <c r="I165" i="30"/>
  <c r="I149" i="30"/>
  <c r="I133" i="30"/>
  <c r="I117" i="30"/>
  <c r="I101" i="30"/>
  <c r="I85" i="30"/>
  <c r="I69" i="30"/>
  <c r="I53" i="30"/>
  <c r="I37" i="30"/>
  <c r="I21" i="30"/>
  <c r="I5" i="30"/>
  <c r="I968" i="30"/>
  <c r="I926" i="30"/>
  <c r="I883" i="30"/>
  <c r="I840" i="30"/>
  <c r="I799" i="30"/>
  <c r="I767" i="30"/>
  <c r="I735" i="30"/>
  <c r="I703" i="30"/>
  <c r="I671" i="30"/>
  <c r="I639" i="30"/>
  <c r="I607" i="30"/>
  <c r="I575" i="30"/>
  <c r="I543" i="30"/>
  <c r="I511" i="30"/>
  <c r="I479" i="30"/>
  <c r="I447" i="30"/>
  <c r="I415" i="30"/>
  <c r="I383" i="30"/>
  <c r="I351" i="30"/>
  <c r="I319" i="30"/>
  <c r="I287" i="30"/>
  <c r="I255" i="30"/>
  <c r="I223" i="30"/>
  <c r="I191" i="30"/>
  <c r="I159" i="30"/>
  <c r="I127" i="30"/>
  <c r="I95" i="30"/>
  <c r="I63" i="30"/>
  <c r="I31" i="30"/>
  <c r="I1000" i="30"/>
  <c r="I958" i="30"/>
  <c r="I915" i="30"/>
  <c r="I872" i="30"/>
  <c r="I830" i="30"/>
  <c r="I791" i="30"/>
  <c r="I759" i="30"/>
  <c r="I727" i="30"/>
  <c r="I695" i="30"/>
  <c r="I663" i="30"/>
  <c r="I631" i="30"/>
  <c r="I599" i="30"/>
  <c r="I567" i="30"/>
  <c r="I535" i="30"/>
  <c r="I503" i="30"/>
  <c r="I471" i="30"/>
  <c r="I439" i="30"/>
  <c r="I407" i="30"/>
  <c r="I375" i="30"/>
  <c r="I343" i="30"/>
  <c r="I311" i="30"/>
  <c r="I279" i="30"/>
  <c r="I247" i="30"/>
  <c r="I215" i="30"/>
  <c r="I183" i="30"/>
  <c r="I151" i="30"/>
  <c r="I119" i="30"/>
  <c r="I87" i="30"/>
  <c r="I55" i="30"/>
  <c r="I23" i="30"/>
  <c r="I990" i="30"/>
  <c r="I904" i="30"/>
  <c r="I819" i="30"/>
  <c r="I751" i="30"/>
  <c r="I687" i="30"/>
  <c r="I623" i="30"/>
  <c r="I559" i="30"/>
  <c r="I495" i="30"/>
  <c r="I431" i="30"/>
  <c r="I367" i="30"/>
  <c r="I303" i="30"/>
  <c r="I239" i="30"/>
  <c r="I175" i="30"/>
  <c r="I111" i="30"/>
  <c r="I47" i="30"/>
  <c r="I979" i="30"/>
  <c r="I894" i="30"/>
  <c r="I808" i="30"/>
  <c r="I743" i="30"/>
  <c r="I679" i="30"/>
  <c r="I615" i="30"/>
  <c r="I551" i="30"/>
  <c r="I487" i="30"/>
  <c r="I423" i="30"/>
  <c r="I359" i="30"/>
  <c r="I295" i="30"/>
  <c r="I231" i="30"/>
  <c r="I167" i="30"/>
  <c r="I103" i="30"/>
  <c r="I39" i="30"/>
  <c r="I851" i="30"/>
  <c r="I711" i="30"/>
  <c r="I583" i="30"/>
  <c r="I455" i="30"/>
  <c r="I327" i="30"/>
  <c r="I199" i="30"/>
  <c r="I71" i="30"/>
  <c r="I936" i="30"/>
  <c r="I775" i="30"/>
  <c r="I647" i="30"/>
  <c r="I519" i="30"/>
  <c r="I391" i="30"/>
  <c r="I263" i="30"/>
  <c r="I135" i="30"/>
  <c r="I7" i="30"/>
  <c r="I947" i="30"/>
  <c r="I655" i="30"/>
  <c r="I399" i="30"/>
  <c r="I143" i="30"/>
  <c r="I783" i="30"/>
  <c r="I527" i="30"/>
  <c r="I271" i="30"/>
  <c r="I15" i="30"/>
  <c r="I719" i="30"/>
  <c r="I207" i="30"/>
  <c r="I463" i="30"/>
  <c r="I335" i="30"/>
  <c r="I862" i="30"/>
  <c r="I591" i="30"/>
  <c r="I79" i="30"/>
  <c r="I997" i="13"/>
  <c r="I993" i="13"/>
  <c r="I989" i="13"/>
  <c r="I985" i="13"/>
  <c r="I981" i="13"/>
  <c r="I977" i="13"/>
  <c r="I973" i="13"/>
  <c r="I969" i="13"/>
  <c r="I965" i="13"/>
  <c r="I961" i="13"/>
  <c r="I957" i="13"/>
  <c r="I953" i="13"/>
  <c r="I949" i="13"/>
  <c r="I945" i="13"/>
  <c r="I941" i="13"/>
  <c r="I937" i="13"/>
  <c r="I933" i="13"/>
  <c r="I929" i="13"/>
  <c r="I925" i="13"/>
  <c r="I921" i="13"/>
  <c r="I917" i="13"/>
  <c r="I913" i="13"/>
  <c r="I909" i="13"/>
  <c r="I905" i="13"/>
  <c r="I901" i="13"/>
  <c r="I897" i="13"/>
  <c r="I893" i="13"/>
  <c r="I889" i="13"/>
  <c r="I885" i="13"/>
  <c r="I881" i="13"/>
  <c r="I877" i="13"/>
  <c r="I873" i="13"/>
  <c r="I869" i="13"/>
  <c r="I865" i="13"/>
  <c r="I861" i="13"/>
  <c r="I857" i="13"/>
  <c r="I853" i="13"/>
  <c r="I849" i="13"/>
  <c r="I845" i="13"/>
  <c r="I841" i="13"/>
  <c r="I837" i="13"/>
  <c r="I833" i="13"/>
  <c r="I829" i="13"/>
  <c r="I825" i="13"/>
  <c r="I821" i="13"/>
  <c r="I817" i="13"/>
  <c r="I813" i="13"/>
  <c r="I809" i="13"/>
  <c r="I805" i="13"/>
  <c r="I801" i="13"/>
  <c r="I797" i="13"/>
  <c r="I793" i="13"/>
  <c r="I789" i="13"/>
  <c r="I785" i="13"/>
  <c r="I781" i="13"/>
  <c r="I777" i="13"/>
  <c r="I773" i="13"/>
  <c r="I769" i="13"/>
  <c r="I765" i="13"/>
  <c r="I761" i="13"/>
  <c r="I757" i="13"/>
  <c r="I753" i="13"/>
  <c r="I749" i="13"/>
  <c r="I745" i="13"/>
  <c r="I741" i="13"/>
  <c r="I737" i="13"/>
  <c r="I733" i="13"/>
  <c r="I729" i="13"/>
  <c r="I725" i="13"/>
  <c r="I721" i="13"/>
  <c r="I717" i="13"/>
  <c r="I713" i="13"/>
  <c r="I709" i="13"/>
  <c r="I705" i="13"/>
  <c r="I701" i="13"/>
  <c r="I697" i="13"/>
  <c r="I693" i="13"/>
  <c r="I689" i="13"/>
  <c r="I685" i="13"/>
  <c r="I681" i="13"/>
  <c r="I677" i="13"/>
  <c r="I673" i="13"/>
  <c r="I669" i="13"/>
  <c r="I665" i="13"/>
  <c r="I661" i="13"/>
  <c r="I657" i="13"/>
  <c r="I653" i="13"/>
  <c r="I649" i="13"/>
  <c r="I645" i="13"/>
  <c r="I641" i="13"/>
  <c r="I637" i="13"/>
  <c r="I633" i="13"/>
  <c r="I629" i="13"/>
  <c r="I625" i="13"/>
  <c r="I621" i="13"/>
  <c r="I617" i="13"/>
  <c r="I613" i="13"/>
  <c r="I609" i="13"/>
  <c r="I605" i="13"/>
  <c r="I601" i="13"/>
  <c r="I597" i="13"/>
  <c r="I593" i="13"/>
  <c r="I589" i="13"/>
  <c r="I585" i="13"/>
  <c r="I581" i="13"/>
  <c r="I577" i="13"/>
  <c r="I573" i="13"/>
  <c r="I569" i="13"/>
  <c r="I565" i="13"/>
  <c r="I561" i="13"/>
  <c r="I557" i="13"/>
  <c r="I553" i="13"/>
  <c r="I549" i="13"/>
  <c r="I545" i="13"/>
  <c r="I541" i="13"/>
  <c r="I537" i="13"/>
  <c r="I533" i="13"/>
  <c r="I529" i="13"/>
  <c r="I525" i="13"/>
  <c r="I521" i="13"/>
  <c r="I517" i="13"/>
  <c r="I513" i="13"/>
  <c r="I509" i="13"/>
  <c r="I505" i="13"/>
  <c r="I501" i="13"/>
  <c r="I497" i="13"/>
  <c r="I493" i="13"/>
  <c r="I489" i="13"/>
  <c r="I485" i="13"/>
  <c r="I481" i="13"/>
  <c r="I477" i="13"/>
  <c r="I473" i="13"/>
  <c r="I469" i="13"/>
  <c r="I465" i="13"/>
  <c r="I461" i="13"/>
  <c r="I457" i="13"/>
  <c r="I453" i="13"/>
  <c r="I449" i="13"/>
  <c r="I445" i="13"/>
  <c r="I441" i="13"/>
  <c r="I437" i="13"/>
  <c r="I433" i="13"/>
  <c r="I429" i="13"/>
  <c r="I425" i="13"/>
  <c r="I421" i="13"/>
  <c r="I417" i="13"/>
  <c r="I413" i="13"/>
  <c r="I409" i="13"/>
  <c r="I405" i="13"/>
  <c r="I401" i="13"/>
  <c r="I397" i="13"/>
  <c r="I393" i="13"/>
  <c r="I389" i="13"/>
  <c r="I385" i="13"/>
  <c r="I381" i="13"/>
  <c r="I377" i="13"/>
  <c r="I373" i="13"/>
  <c r="I369" i="13"/>
  <c r="I365" i="13"/>
  <c r="I361" i="13"/>
  <c r="I357" i="13"/>
  <c r="I353" i="13"/>
  <c r="I349" i="13"/>
  <c r="I345" i="13"/>
  <c r="I341" i="13"/>
  <c r="I337" i="13"/>
  <c r="I333" i="13"/>
  <c r="I329" i="13"/>
  <c r="I325" i="13"/>
  <c r="I321" i="13"/>
  <c r="I317" i="13"/>
  <c r="I313" i="13"/>
  <c r="I309" i="13"/>
  <c r="I305" i="13"/>
  <c r="I301" i="13"/>
  <c r="I297" i="13"/>
  <c r="I293" i="13"/>
  <c r="I289" i="13"/>
  <c r="I285" i="13"/>
  <c r="I281" i="13"/>
  <c r="I277" i="13"/>
  <c r="I273" i="13"/>
  <c r="I269" i="13"/>
  <c r="I265" i="13"/>
  <c r="I261" i="13"/>
  <c r="I257" i="13"/>
  <c r="I253" i="13"/>
  <c r="I249" i="13"/>
  <c r="I245" i="13"/>
  <c r="I241" i="13"/>
  <c r="I237" i="13"/>
  <c r="I233" i="13"/>
  <c r="I229" i="13"/>
  <c r="I225" i="13"/>
  <c r="I221" i="13"/>
  <c r="I217" i="13"/>
  <c r="I213" i="13"/>
  <c r="I209" i="13"/>
  <c r="I205" i="13"/>
  <c r="I201" i="13"/>
  <c r="I197" i="13"/>
  <c r="I193" i="13"/>
  <c r="I189" i="13"/>
  <c r="I185" i="13"/>
  <c r="I181" i="13"/>
  <c r="I177" i="13"/>
  <c r="I173" i="13"/>
  <c r="I169" i="13"/>
  <c r="I165" i="13"/>
  <c r="I161" i="13"/>
  <c r="I157" i="13"/>
  <c r="I153" i="13"/>
  <c r="I149" i="13"/>
  <c r="I145" i="13"/>
  <c r="I141" i="13"/>
  <c r="I137" i="13"/>
  <c r="I133" i="13"/>
  <c r="I129" i="13"/>
  <c r="I125" i="13"/>
  <c r="I121" i="13"/>
  <c r="I117" i="13"/>
  <c r="I113" i="13"/>
  <c r="I109" i="13"/>
  <c r="I105" i="13"/>
  <c r="I101" i="13"/>
  <c r="I97" i="13"/>
  <c r="I93" i="13"/>
  <c r="I89" i="13"/>
  <c r="I85" i="13"/>
  <c r="I81" i="13"/>
  <c r="I77" i="13"/>
  <c r="I73" i="13"/>
  <c r="I69" i="13"/>
  <c r="I65" i="13"/>
  <c r="I61" i="13"/>
  <c r="I57" i="13"/>
  <c r="I53" i="13"/>
  <c r="I49" i="13"/>
  <c r="I45" i="13"/>
  <c r="I41" i="13"/>
  <c r="I37" i="13"/>
  <c r="I33" i="13"/>
  <c r="I29" i="13"/>
  <c r="I25" i="13"/>
  <c r="I21" i="13"/>
  <c r="I17" i="13"/>
  <c r="I13" i="13"/>
  <c r="I9" i="13"/>
  <c r="I5" i="13"/>
  <c r="I1000" i="13"/>
  <c r="I996" i="13"/>
  <c r="I992" i="13"/>
  <c r="I988" i="13"/>
  <c r="I984" i="13"/>
  <c r="I980" i="13"/>
  <c r="I976" i="13"/>
  <c r="I972" i="13"/>
  <c r="I968" i="13"/>
  <c r="I964" i="13"/>
  <c r="I960" i="13"/>
  <c r="I956" i="13"/>
  <c r="I952" i="13"/>
  <c r="I948" i="13"/>
  <c r="I944" i="13"/>
  <c r="I940" i="13"/>
  <c r="I936" i="13"/>
  <c r="I932" i="13"/>
  <c r="I928" i="13"/>
  <c r="I924" i="13"/>
  <c r="I920" i="13"/>
  <c r="I916" i="13"/>
  <c r="I912" i="13"/>
  <c r="I908" i="13"/>
  <c r="I904" i="13"/>
  <c r="I900" i="13"/>
  <c r="I896" i="13"/>
  <c r="I892" i="13"/>
  <c r="I888" i="13"/>
  <c r="I884" i="13"/>
  <c r="I880" i="13"/>
  <c r="I876" i="13"/>
  <c r="I872" i="13"/>
  <c r="I868" i="13"/>
  <c r="I864" i="13"/>
  <c r="I860" i="13"/>
  <c r="I856" i="13"/>
  <c r="I852" i="13"/>
  <c r="I848" i="13"/>
  <c r="I844" i="13"/>
  <c r="I840" i="13"/>
  <c r="I836" i="13"/>
  <c r="I832" i="13"/>
  <c r="I828" i="13"/>
  <c r="I824" i="13"/>
  <c r="I820" i="13"/>
  <c r="I816" i="13"/>
  <c r="I812" i="13"/>
  <c r="I808" i="13"/>
  <c r="I804" i="13"/>
  <c r="I800" i="13"/>
  <c r="I796" i="13"/>
  <c r="I792" i="13"/>
  <c r="I788" i="13"/>
  <c r="I784" i="13"/>
  <c r="I780" i="13"/>
  <c r="I776" i="13"/>
  <c r="I772" i="13"/>
  <c r="I768" i="13"/>
  <c r="I764" i="13"/>
  <c r="I760" i="13"/>
  <c r="I756" i="13"/>
  <c r="I752" i="13"/>
  <c r="I748" i="13"/>
  <c r="I744" i="13"/>
  <c r="I740" i="13"/>
  <c r="I736" i="13"/>
  <c r="I732" i="13"/>
  <c r="I728" i="13"/>
  <c r="I724" i="13"/>
  <c r="I720" i="13"/>
  <c r="I716" i="13"/>
  <c r="I712" i="13"/>
  <c r="I708" i="13"/>
  <c r="I704" i="13"/>
  <c r="I700" i="13"/>
  <c r="I696" i="13"/>
  <c r="I692" i="13"/>
  <c r="I688" i="13"/>
  <c r="I684" i="13"/>
  <c r="I680" i="13"/>
  <c r="I676" i="13"/>
  <c r="I672" i="13"/>
  <c r="I668" i="13"/>
  <c r="I664" i="13"/>
  <c r="I660" i="13"/>
  <c r="I656" i="13"/>
  <c r="I652" i="13"/>
  <c r="I648" i="13"/>
  <c r="I644" i="13"/>
  <c r="I640" i="13"/>
  <c r="I636" i="13"/>
  <c r="I632" i="13"/>
  <c r="I628" i="13"/>
  <c r="I624" i="13"/>
  <c r="I620" i="13"/>
  <c r="I616" i="13"/>
  <c r="I612" i="13"/>
  <c r="I608" i="13"/>
  <c r="I604" i="13"/>
  <c r="I600" i="13"/>
  <c r="I596" i="13"/>
  <c r="I592" i="13"/>
  <c r="I588" i="13"/>
  <c r="I584" i="13"/>
  <c r="I580" i="13"/>
  <c r="I576" i="13"/>
  <c r="I572" i="13"/>
  <c r="I568" i="13"/>
  <c r="I564" i="13"/>
  <c r="I560" i="13"/>
  <c r="I556" i="13"/>
  <c r="I552" i="13"/>
  <c r="I548" i="13"/>
  <c r="I544" i="13"/>
  <c r="I540" i="13"/>
  <c r="I536" i="13"/>
  <c r="I532" i="13"/>
  <c r="I528" i="13"/>
  <c r="I524" i="13"/>
  <c r="I520" i="13"/>
  <c r="I516" i="13"/>
  <c r="I512" i="13"/>
  <c r="I508" i="13"/>
  <c r="I504" i="13"/>
  <c r="I500" i="13"/>
  <c r="I496" i="13"/>
  <c r="I492" i="13"/>
  <c r="I488" i="13"/>
  <c r="I484" i="13"/>
  <c r="I480" i="13"/>
  <c r="I476" i="13"/>
  <c r="I472" i="13"/>
  <c r="I468" i="13"/>
  <c r="I464" i="13"/>
  <c r="I460" i="13"/>
  <c r="I456" i="13"/>
  <c r="I452" i="13"/>
  <c r="I448" i="13"/>
  <c r="I444" i="13"/>
  <c r="I440" i="13"/>
  <c r="I436" i="13"/>
  <c r="I432" i="13"/>
  <c r="I428" i="13"/>
  <c r="I424" i="13"/>
  <c r="I420" i="13"/>
  <c r="I416" i="13"/>
  <c r="I412" i="13"/>
  <c r="I408" i="13"/>
  <c r="I404" i="13"/>
  <c r="I400" i="13"/>
  <c r="I396" i="13"/>
  <c r="I392" i="13"/>
  <c r="I388" i="13"/>
  <c r="I384" i="13"/>
  <c r="I380" i="13"/>
  <c r="I376" i="13"/>
  <c r="I372" i="13"/>
  <c r="I368" i="13"/>
  <c r="I364" i="13"/>
  <c r="I360" i="13"/>
  <c r="I356" i="13"/>
  <c r="I352" i="13"/>
  <c r="I348" i="13"/>
  <c r="I344" i="13"/>
  <c r="I340" i="13"/>
  <c r="I336" i="13"/>
  <c r="I332" i="13"/>
  <c r="I328" i="13"/>
  <c r="I324" i="13"/>
  <c r="I320" i="13"/>
  <c r="I316" i="13"/>
  <c r="I312" i="13"/>
  <c r="I308" i="13"/>
  <c r="I304" i="13"/>
  <c r="I300" i="13"/>
  <c r="I296" i="13"/>
  <c r="I292" i="13"/>
  <c r="I288" i="13"/>
  <c r="I284" i="13"/>
  <c r="I280" i="13"/>
  <c r="I276" i="13"/>
  <c r="I272" i="13"/>
  <c r="I268" i="13"/>
  <c r="I264" i="13"/>
  <c r="I260" i="13"/>
  <c r="I256" i="13"/>
  <c r="I252" i="13"/>
  <c r="I248" i="13"/>
  <c r="I244" i="13"/>
  <c r="I240" i="13"/>
  <c r="I236" i="13"/>
  <c r="I232" i="13"/>
  <c r="I228" i="13"/>
  <c r="I224" i="13"/>
  <c r="I220" i="13"/>
  <c r="I216" i="13"/>
  <c r="I212" i="13"/>
  <c r="I208" i="13"/>
  <c r="I204" i="13"/>
  <c r="I200" i="13"/>
  <c r="I196" i="13"/>
  <c r="I192" i="13"/>
  <c r="I188" i="13"/>
  <c r="I184" i="13"/>
  <c r="I180" i="13"/>
  <c r="I176" i="13"/>
  <c r="I172" i="13"/>
  <c r="I168" i="13"/>
  <c r="I164" i="13"/>
  <c r="I160" i="13"/>
  <c r="I156" i="13"/>
  <c r="I152" i="13"/>
  <c r="I148" i="13"/>
  <c r="I144" i="13"/>
  <c r="I140" i="13"/>
  <c r="I136" i="13"/>
  <c r="I132" i="13"/>
  <c r="I128" i="13"/>
  <c r="I124" i="13"/>
  <c r="I120" i="13"/>
  <c r="I116" i="13"/>
  <c r="I112" i="13"/>
  <c r="I108" i="13"/>
  <c r="I104" i="13"/>
  <c r="I100" i="13"/>
  <c r="I96" i="13"/>
  <c r="I92" i="13"/>
  <c r="I88" i="13"/>
  <c r="I84" i="13"/>
  <c r="I80" i="13"/>
  <c r="I76" i="13"/>
  <c r="I72" i="13"/>
  <c r="I68" i="13"/>
  <c r="I64" i="13"/>
  <c r="I60" i="13"/>
  <c r="I56" i="13"/>
  <c r="I52" i="13"/>
  <c r="I48" i="13"/>
  <c r="I44" i="13"/>
  <c r="I40" i="13"/>
  <c r="I36" i="13"/>
  <c r="I32" i="13"/>
  <c r="I28" i="13"/>
  <c r="I24" i="13"/>
  <c r="I20" i="13"/>
  <c r="I16" i="13"/>
  <c r="I12" i="13"/>
  <c r="I8" i="13"/>
  <c r="I4" i="13"/>
  <c r="I1" i="13"/>
  <c r="I994" i="13"/>
  <c r="I986" i="13"/>
  <c r="I978" i="13"/>
  <c r="I970" i="13"/>
  <c r="I962" i="13"/>
  <c r="I954" i="13"/>
  <c r="I946" i="13"/>
  <c r="I938" i="13"/>
  <c r="I930" i="13"/>
  <c r="I922" i="13"/>
  <c r="I914" i="13"/>
  <c r="I906" i="13"/>
  <c r="I898" i="13"/>
  <c r="I890" i="13"/>
  <c r="I882" i="13"/>
  <c r="I874" i="13"/>
  <c r="I866" i="13"/>
  <c r="I858" i="13"/>
  <c r="I850" i="13"/>
  <c r="I842" i="13"/>
  <c r="I834" i="13"/>
  <c r="I826" i="13"/>
  <c r="I818" i="13"/>
  <c r="I810" i="13"/>
  <c r="I802" i="13"/>
  <c r="I794" i="13"/>
  <c r="I786" i="13"/>
  <c r="I778" i="13"/>
  <c r="I770" i="13"/>
  <c r="I762" i="13"/>
  <c r="I754" i="13"/>
  <c r="I746" i="13"/>
  <c r="I738" i="13"/>
  <c r="I730" i="13"/>
  <c r="I722" i="13"/>
  <c r="I714" i="13"/>
  <c r="I706" i="13"/>
  <c r="I698" i="13"/>
  <c r="I690" i="13"/>
  <c r="I682" i="13"/>
  <c r="I674" i="13"/>
  <c r="I666" i="13"/>
  <c r="I658" i="13"/>
  <c r="I650" i="13"/>
  <c r="I642" i="13"/>
  <c r="I634" i="13"/>
  <c r="I626" i="13"/>
  <c r="I618" i="13"/>
  <c r="I610" i="13"/>
  <c r="I602" i="13"/>
  <c r="I594" i="13"/>
  <c r="I586" i="13"/>
  <c r="I578" i="13"/>
  <c r="I570" i="13"/>
  <c r="I562" i="13"/>
  <c r="I554" i="13"/>
  <c r="I546" i="13"/>
  <c r="I538" i="13"/>
  <c r="I530" i="13"/>
  <c r="I522" i="13"/>
  <c r="I514" i="13"/>
  <c r="I506" i="13"/>
  <c r="I498" i="13"/>
  <c r="I490" i="13"/>
  <c r="I482" i="13"/>
  <c r="I474" i="13"/>
  <c r="I466" i="13"/>
  <c r="I458" i="13"/>
  <c r="I450" i="13"/>
  <c r="I442" i="13"/>
  <c r="I434" i="13"/>
  <c r="I426" i="13"/>
  <c r="I418" i="13"/>
  <c r="I410" i="13"/>
  <c r="I402" i="13"/>
  <c r="I394" i="13"/>
  <c r="I386" i="13"/>
  <c r="I378" i="13"/>
  <c r="I370" i="13"/>
  <c r="I362" i="13"/>
  <c r="I354" i="13"/>
  <c r="I346" i="13"/>
  <c r="I338" i="13"/>
  <c r="I330" i="13"/>
  <c r="I322" i="13"/>
  <c r="I314" i="13"/>
  <c r="I306" i="13"/>
  <c r="I298" i="13"/>
  <c r="I290" i="13"/>
  <c r="I282" i="13"/>
  <c r="I274" i="13"/>
  <c r="I266" i="13"/>
  <c r="I258" i="13"/>
  <c r="I250" i="13"/>
  <c r="I242" i="13"/>
  <c r="I234" i="13"/>
  <c r="I226" i="13"/>
  <c r="I218" i="13"/>
  <c r="I210" i="13"/>
  <c r="I202" i="13"/>
  <c r="I194" i="13"/>
  <c r="I186" i="13"/>
  <c r="I178" i="13"/>
  <c r="I170" i="13"/>
  <c r="I162" i="13"/>
  <c r="I154" i="13"/>
  <c r="I146" i="13"/>
  <c r="I138" i="13"/>
  <c r="I130" i="13"/>
  <c r="I122" i="13"/>
  <c r="I114" i="13"/>
  <c r="I106" i="13"/>
  <c r="I98" i="13"/>
  <c r="I90" i="13"/>
  <c r="I82" i="13"/>
  <c r="I74" i="13"/>
  <c r="I66" i="13"/>
  <c r="I58" i="13"/>
  <c r="I50" i="13"/>
  <c r="I42" i="13"/>
  <c r="I34" i="13"/>
  <c r="I26" i="13"/>
  <c r="I18" i="13"/>
  <c r="I10" i="13"/>
  <c r="I2" i="13"/>
  <c r="I998" i="13"/>
  <c r="I990" i="13"/>
  <c r="I982" i="13"/>
  <c r="I974" i="13"/>
  <c r="I966" i="13"/>
  <c r="I958" i="13"/>
  <c r="I950" i="13"/>
  <c r="I942" i="13"/>
  <c r="I934" i="13"/>
  <c r="I926" i="13"/>
  <c r="I918" i="13"/>
  <c r="I910" i="13"/>
  <c r="I902" i="13"/>
  <c r="I894" i="13"/>
  <c r="I886" i="13"/>
  <c r="I878" i="13"/>
  <c r="I870" i="13"/>
  <c r="I862" i="13"/>
  <c r="I854" i="13"/>
  <c r="I846" i="13"/>
  <c r="I838" i="13"/>
  <c r="I830" i="13"/>
  <c r="I822" i="13"/>
  <c r="I814" i="13"/>
  <c r="I806" i="13"/>
  <c r="I798" i="13"/>
  <c r="I790" i="13"/>
  <c r="I782" i="13"/>
  <c r="I774" i="13"/>
  <c r="I766" i="13"/>
  <c r="I758" i="13"/>
  <c r="I750" i="13"/>
  <c r="I742" i="13"/>
  <c r="I734" i="13"/>
  <c r="I726" i="13"/>
  <c r="I718" i="13"/>
  <c r="I710" i="13"/>
  <c r="I702" i="13"/>
  <c r="I694" i="13"/>
  <c r="I686" i="13"/>
  <c r="I678" i="13"/>
  <c r="I670" i="13"/>
  <c r="I662" i="13"/>
  <c r="I654" i="13"/>
  <c r="I646" i="13"/>
  <c r="I638" i="13"/>
  <c r="I630" i="13"/>
  <c r="I622" i="13"/>
  <c r="I614" i="13"/>
  <c r="I606" i="13"/>
  <c r="I598" i="13"/>
  <c r="I590" i="13"/>
  <c r="I582" i="13"/>
  <c r="I574" i="13"/>
  <c r="I566" i="13"/>
  <c r="I558" i="13"/>
  <c r="I550" i="13"/>
  <c r="I542" i="13"/>
  <c r="I534" i="13"/>
  <c r="I526" i="13"/>
  <c r="I518" i="13"/>
  <c r="I510" i="13"/>
  <c r="I502" i="13"/>
  <c r="I494" i="13"/>
  <c r="I486" i="13"/>
  <c r="I478" i="13"/>
  <c r="I470" i="13"/>
  <c r="I462" i="13"/>
  <c r="I454" i="13"/>
  <c r="I446" i="13"/>
  <c r="I438" i="13"/>
  <c r="I430" i="13"/>
  <c r="I422" i="13"/>
  <c r="I414" i="13"/>
  <c r="I406" i="13"/>
  <c r="I398" i="13"/>
  <c r="I390" i="13"/>
  <c r="I382" i="13"/>
  <c r="I374" i="13"/>
  <c r="I366" i="13"/>
  <c r="I358" i="13"/>
  <c r="I350" i="13"/>
  <c r="I342" i="13"/>
  <c r="I334" i="13"/>
  <c r="I326" i="13"/>
  <c r="I318" i="13"/>
  <c r="I310" i="13"/>
  <c r="I302" i="13"/>
  <c r="I294" i="13"/>
  <c r="I286" i="13"/>
  <c r="I278" i="13"/>
  <c r="I270" i="13"/>
  <c r="I262" i="13"/>
  <c r="I254" i="13"/>
  <c r="I246" i="13"/>
  <c r="I238" i="13"/>
  <c r="I230" i="13"/>
  <c r="I222" i="13"/>
  <c r="I214" i="13"/>
  <c r="I206" i="13"/>
  <c r="I198" i="13"/>
  <c r="I190" i="13"/>
  <c r="I182" i="13"/>
  <c r="I174" i="13"/>
  <c r="I166" i="13"/>
  <c r="I158" i="13"/>
  <c r="I150" i="13"/>
  <c r="I142" i="13"/>
  <c r="I134" i="13"/>
  <c r="I126" i="13"/>
  <c r="I118" i="13"/>
  <c r="I110" i="13"/>
  <c r="I102" i="13"/>
  <c r="I94" i="13"/>
  <c r="I86" i="13"/>
  <c r="I78" i="13"/>
  <c r="I70" i="13"/>
  <c r="I62" i="13"/>
  <c r="I54" i="13"/>
  <c r="I46" i="13"/>
  <c r="I38" i="13"/>
  <c r="I30" i="13"/>
  <c r="I22" i="13"/>
  <c r="I14" i="13"/>
  <c r="I6" i="13"/>
  <c r="I999" i="13"/>
  <c r="I983" i="13"/>
  <c r="I967" i="13"/>
  <c r="I951" i="13"/>
  <c r="I935" i="13"/>
  <c r="I919" i="13"/>
  <c r="I903" i="13"/>
  <c r="I887" i="13"/>
  <c r="I871" i="13"/>
  <c r="I855" i="13"/>
  <c r="I839" i="13"/>
  <c r="I823" i="13"/>
  <c r="I807" i="13"/>
  <c r="I791" i="13"/>
  <c r="I775" i="13"/>
  <c r="I759" i="13"/>
  <c r="I743" i="13"/>
  <c r="I727" i="13"/>
  <c r="I711" i="13"/>
  <c r="I695" i="13"/>
  <c r="I679" i="13"/>
  <c r="I663" i="13"/>
  <c r="I647" i="13"/>
  <c r="I631" i="13"/>
  <c r="I615" i="13"/>
  <c r="I599" i="13"/>
  <c r="I583" i="13"/>
  <c r="I567" i="13"/>
  <c r="I551" i="13"/>
  <c r="I535" i="13"/>
  <c r="I519" i="13"/>
  <c r="I503" i="13"/>
  <c r="I487" i="13"/>
  <c r="I471" i="13"/>
  <c r="I455" i="13"/>
  <c r="I439" i="13"/>
  <c r="I423" i="13"/>
  <c r="I407" i="13"/>
  <c r="I391" i="13"/>
  <c r="I375" i="13"/>
  <c r="I359" i="13"/>
  <c r="I343" i="13"/>
  <c r="I327" i="13"/>
  <c r="I311" i="13"/>
  <c r="I295" i="13"/>
  <c r="I279" i="13"/>
  <c r="I263" i="13"/>
  <c r="I247" i="13"/>
  <c r="I231" i="13"/>
  <c r="I215" i="13"/>
  <c r="I199" i="13"/>
  <c r="I183" i="13"/>
  <c r="I167" i="13"/>
  <c r="I151" i="13"/>
  <c r="I135" i="13"/>
  <c r="I119" i="13"/>
  <c r="I103" i="13"/>
  <c r="I87" i="13"/>
  <c r="I71" i="13"/>
  <c r="I55" i="13"/>
  <c r="I39" i="13"/>
  <c r="I23" i="13"/>
  <c r="I7" i="13"/>
  <c r="I991" i="13"/>
  <c r="I975" i="13"/>
  <c r="I959" i="13"/>
  <c r="I943" i="13"/>
  <c r="I927" i="13"/>
  <c r="I911" i="13"/>
  <c r="I895" i="13"/>
  <c r="I879" i="13"/>
  <c r="I863" i="13"/>
  <c r="I847" i="13"/>
  <c r="I831" i="13"/>
  <c r="I815" i="13"/>
  <c r="I799" i="13"/>
  <c r="I783" i="13"/>
  <c r="I767" i="13"/>
  <c r="I751" i="13"/>
  <c r="I735" i="13"/>
  <c r="I719" i="13"/>
  <c r="I703" i="13"/>
  <c r="I687" i="13"/>
  <c r="I671" i="13"/>
  <c r="I655" i="13"/>
  <c r="I639" i="13"/>
  <c r="I623" i="13"/>
  <c r="I607" i="13"/>
  <c r="I591" i="13"/>
  <c r="I575" i="13"/>
  <c r="I559" i="13"/>
  <c r="I543" i="13"/>
  <c r="I527" i="13"/>
  <c r="I511" i="13"/>
  <c r="I495" i="13"/>
  <c r="I479" i="13"/>
  <c r="I463" i="13"/>
  <c r="I447" i="13"/>
  <c r="I431" i="13"/>
  <c r="I415" i="13"/>
  <c r="I399" i="13"/>
  <c r="I383" i="13"/>
  <c r="I367" i="13"/>
  <c r="I351" i="13"/>
  <c r="I335" i="13"/>
  <c r="I319" i="13"/>
  <c r="I303" i="13"/>
  <c r="I287" i="13"/>
  <c r="I271" i="13"/>
  <c r="I255" i="13"/>
  <c r="I239" i="13"/>
  <c r="I223" i="13"/>
  <c r="I207" i="13"/>
  <c r="I191" i="13"/>
  <c r="I175" i="13"/>
  <c r="I159" i="13"/>
  <c r="I143" i="13"/>
  <c r="I127" i="13"/>
  <c r="I111" i="13"/>
  <c r="I95" i="13"/>
  <c r="I79" i="13"/>
  <c r="I63" i="13"/>
  <c r="I47" i="13"/>
  <c r="I31" i="13"/>
  <c r="I15" i="13"/>
  <c r="I971" i="13"/>
  <c r="I939" i="13"/>
  <c r="I907" i="13"/>
  <c r="I875" i="13"/>
  <c r="I843" i="13"/>
  <c r="I811" i="13"/>
  <c r="I779" i="13"/>
  <c r="I747" i="13"/>
  <c r="I715" i="13"/>
  <c r="I683" i="13"/>
  <c r="I651" i="13"/>
  <c r="I619" i="13"/>
  <c r="I587" i="13"/>
  <c r="I555" i="13"/>
  <c r="I523" i="13"/>
  <c r="I491" i="13"/>
  <c r="I459" i="13"/>
  <c r="I427" i="13"/>
  <c r="I395" i="13"/>
  <c r="I363" i="13"/>
  <c r="I331" i="13"/>
  <c r="I299" i="13"/>
  <c r="I267" i="13"/>
  <c r="I235" i="13"/>
  <c r="I203" i="13"/>
  <c r="I171" i="13"/>
  <c r="I139" i="13"/>
  <c r="I107" i="13"/>
  <c r="I75" i="13"/>
  <c r="I43" i="13"/>
  <c r="I11" i="13"/>
  <c r="I987" i="13"/>
  <c r="I955" i="13"/>
  <c r="I923" i="13"/>
  <c r="I891" i="13"/>
  <c r="I859" i="13"/>
  <c r="I827" i="13"/>
  <c r="I795" i="13"/>
  <c r="I763" i="13"/>
  <c r="I731" i="13"/>
  <c r="I699" i="13"/>
  <c r="I667" i="13"/>
  <c r="I635" i="13"/>
  <c r="I603" i="13"/>
  <c r="I571" i="13"/>
  <c r="I539" i="13"/>
  <c r="I507" i="13"/>
  <c r="I475" i="13"/>
  <c r="I443" i="13"/>
  <c r="I411" i="13"/>
  <c r="I379" i="13"/>
  <c r="I347" i="13"/>
  <c r="I315" i="13"/>
  <c r="I283" i="13"/>
  <c r="I251" i="13"/>
  <c r="I219" i="13"/>
  <c r="I187" i="13"/>
  <c r="I155" i="13"/>
  <c r="I123" i="13"/>
  <c r="I91" i="13"/>
  <c r="I59" i="13"/>
  <c r="I27" i="13"/>
  <c r="I963" i="13"/>
  <c r="I899" i="13"/>
  <c r="I835" i="13"/>
  <c r="I771" i="13"/>
  <c r="I707" i="13"/>
  <c r="I643" i="13"/>
  <c r="I579" i="13"/>
  <c r="I515" i="13"/>
  <c r="I451" i="13"/>
  <c r="I387" i="13"/>
  <c r="I323" i="13"/>
  <c r="I259" i="13"/>
  <c r="I195" i="13"/>
  <c r="I131" i="13"/>
  <c r="I67" i="13"/>
  <c r="I3" i="13"/>
  <c r="I995" i="13"/>
  <c r="I931" i="13"/>
  <c r="I867" i="13"/>
  <c r="I803" i="13"/>
  <c r="I739" i="13"/>
  <c r="I675" i="13"/>
  <c r="I611" i="13"/>
  <c r="I547" i="13"/>
  <c r="I483" i="13"/>
  <c r="I419" i="13"/>
  <c r="I355" i="13"/>
  <c r="I291" i="13"/>
  <c r="I227" i="13"/>
  <c r="I163" i="13"/>
  <c r="I99" i="13"/>
  <c r="I35" i="13"/>
  <c r="I979" i="13"/>
  <c r="I915" i="13"/>
  <c r="I851" i="13"/>
  <c r="I787" i="13"/>
  <c r="I723" i="13"/>
  <c r="I659" i="13"/>
  <c r="I595" i="13"/>
  <c r="I531" i="13"/>
  <c r="I467" i="13"/>
  <c r="I403" i="13"/>
  <c r="I339" i="13"/>
  <c r="I275" i="13"/>
  <c r="I211" i="13"/>
  <c r="I147" i="13"/>
  <c r="I83" i="13"/>
  <c r="I19" i="13"/>
  <c r="I947" i="13"/>
  <c r="I691" i="13"/>
  <c r="I435" i="13"/>
  <c r="I179" i="13"/>
  <c r="I755" i="13"/>
  <c r="I499" i="13"/>
  <c r="I243" i="13"/>
  <c r="I883" i="13"/>
  <c r="I627" i="13"/>
  <c r="I371" i="13"/>
  <c r="I115" i="13"/>
  <c r="I819" i="13"/>
  <c r="I563" i="13"/>
  <c r="I307" i="13"/>
  <c r="I51" i="13"/>
  <c r="I999" i="29"/>
  <c r="I995" i="29"/>
  <c r="I991" i="29"/>
  <c r="I987" i="29"/>
  <c r="I983" i="29"/>
  <c r="I979" i="29"/>
  <c r="I975" i="29"/>
  <c r="I971" i="29"/>
  <c r="I967" i="29"/>
  <c r="I963" i="29"/>
  <c r="I959" i="29"/>
  <c r="I955" i="29"/>
  <c r="I951" i="29"/>
  <c r="I947" i="29"/>
  <c r="I943" i="29"/>
  <c r="I939" i="29"/>
  <c r="I935" i="29"/>
  <c r="I931" i="29"/>
  <c r="I927" i="29"/>
  <c r="I923" i="29"/>
  <c r="I919" i="29"/>
  <c r="I915" i="29"/>
  <c r="I911" i="29"/>
  <c r="I907" i="29"/>
  <c r="I903" i="29"/>
  <c r="I899" i="29"/>
  <c r="I895" i="29"/>
  <c r="I891" i="29"/>
  <c r="I887" i="29"/>
  <c r="I883" i="29"/>
  <c r="I879" i="29"/>
  <c r="I875" i="29"/>
  <c r="I871" i="29"/>
  <c r="I867" i="29"/>
  <c r="I863" i="29"/>
  <c r="I859" i="29"/>
  <c r="I855" i="29"/>
  <c r="I851" i="29"/>
  <c r="I847" i="29"/>
  <c r="I843" i="29"/>
  <c r="I839" i="29"/>
  <c r="I835" i="29"/>
  <c r="I831" i="29"/>
  <c r="I827" i="29"/>
  <c r="I823" i="29"/>
  <c r="I819" i="29"/>
  <c r="I815" i="29"/>
  <c r="I811" i="29"/>
  <c r="I807" i="29"/>
  <c r="I803" i="29"/>
  <c r="I799" i="29"/>
  <c r="I795" i="29"/>
  <c r="I791" i="29"/>
  <c r="I787" i="29"/>
  <c r="I783" i="29"/>
  <c r="I779" i="29"/>
  <c r="I775" i="29"/>
  <c r="I771" i="29"/>
  <c r="I767" i="29"/>
  <c r="I763" i="29"/>
  <c r="I759" i="29"/>
  <c r="I755" i="29"/>
  <c r="I751" i="29"/>
  <c r="I747" i="29"/>
  <c r="I743" i="29"/>
  <c r="I739" i="29"/>
  <c r="I735" i="29"/>
  <c r="I731" i="29"/>
  <c r="I727" i="29"/>
  <c r="I723" i="29"/>
  <c r="I719" i="29"/>
  <c r="I715" i="29"/>
  <c r="I711" i="29"/>
  <c r="I707" i="29"/>
  <c r="I703" i="29"/>
  <c r="I699" i="29"/>
  <c r="I695" i="29"/>
  <c r="I691" i="29"/>
  <c r="I687" i="29"/>
  <c r="I683" i="29"/>
  <c r="I679" i="29"/>
  <c r="I675" i="29"/>
  <c r="I671" i="29"/>
  <c r="I667" i="29"/>
  <c r="I663" i="29"/>
  <c r="I659" i="29"/>
  <c r="I655" i="29"/>
  <c r="I651" i="29"/>
  <c r="I647" i="29"/>
  <c r="I643" i="29"/>
  <c r="I639" i="29"/>
  <c r="I635" i="29"/>
  <c r="I631" i="29"/>
  <c r="I627" i="29"/>
  <c r="I623" i="29"/>
  <c r="I619" i="29"/>
  <c r="I615" i="29"/>
  <c r="I611" i="29"/>
  <c r="I607" i="29"/>
  <c r="I603" i="29"/>
  <c r="I599" i="29"/>
  <c r="I595" i="29"/>
  <c r="I591" i="29"/>
  <c r="I587" i="29"/>
  <c r="I583" i="29"/>
  <c r="I579" i="29"/>
  <c r="I575" i="29"/>
  <c r="I571" i="29"/>
  <c r="I567" i="29"/>
  <c r="I563" i="29"/>
  <c r="I559" i="29"/>
  <c r="I555" i="29"/>
  <c r="I551" i="29"/>
  <c r="I547" i="29"/>
  <c r="I543" i="29"/>
  <c r="I539" i="29"/>
  <c r="I535" i="29"/>
  <c r="I531" i="29"/>
  <c r="I527" i="29"/>
  <c r="I523" i="29"/>
  <c r="I519" i="29"/>
  <c r="I515" i="29"/>
  <c r="I511" i="29"/>
  <c r="I507" i="29"/>
  <c r="I503" i="29"/>
  <c r="I499" i="29"/>
  <c r="I495" i="29"/>
  <c r="I491" i="29"/>
  <c r="I487" i="29"/>
  <c r="I483" i="29"/>
  <c r="I479" i="29"/>
  <c r="I475" i="29"/>
  <c r="I471" i="29"/>
  <c r="I467" i="29"/>
  <c r="I463" i="29"/>
  <c r="I459" i="29"/>
  <c r="I455" i="29"/>
  <c r="I451" i="29"/>
  <c r="I447" i="29"/>
  <c r="I443" i="29"/>
  <c r="I439" i="29"/>
  <c r="I435" i="29"/>
  <c r="I431" i="29"/>
  <c r="I427" i="29"/>
  <c r="I423" i="29"/>
  <c r="I419" i="29"/>
  <c r="I415" i="29"/>
  <c r="I411" i="29"/>
  <c r="I407" i="29"/>
  <c r="I403" i="29"/>
  <c r="I399" i="29"/>
  <c r="I395" i="29"/>
  <c r="I391" i="29"/>
  <c r="I387" i="29"/>
  <c r="I383" i="29"/>
  <c r="I379" i="29"/>
  <c r="I375" i="29"/>
  <c r="I371" i="29"/>
  <c r="I367" i="29"/>
  <c r="I363" i="29"/>
  <c r="I359" i="29"/>
  <c r="I355" i="29"/>
  <c r="I351" i="29"/>
  <c r="I347" i="29"/>
  <c r="I343" i="29"/>
  <c r="I339" i="29"/>
  <c r="I335" i="29"/>
  <c r="I331" i="29"/>
  <c r="I327" i="29"/>
  <c r="I323" i="29"/>
  <c r="I319" i="29"/>
  <c r="I315" i="29"/>
  <c r="I311" i="29"/>
  <c r="I307" i="29"/>
  <c r="I303" i="29"/>
  <c r="I299" i="29"/>
  <c r="I295" i="29"/>
  <c r="I291" i="29"/>
  <c r="I287" i="29"/>
  <c r="I283" i="29"/>
  <c r="I279" i="29"/>
  <c r="I275" i="29"/>
  <c r="I271" i="29"/>
  <c r="I267" i="29"/>
  <c r="I263" i="29"/>
  <c r="I259" i="29"/>
  <c r="I255" i="29"/>
  <c r="I251" i="29"/>
  <c r="I247" i="29"/>
  <c r="I243" i="29"/>
  <c r="I239" i="29"/>
  <c r="I235" i="29"/>
  <c r="I231" i="29"/>
  <c r="I227" i="29"/>
  <c r="I223" i="29"/>
  <c r="I219" i="29"/>
  <c r="I215" i="29"/>
  <c r="I211" i="29"/>
  <c r="I207" i="29"/>
  <c r="I203" i="29"/>
  <c r="I199" i="29"/>
  <c r="I195" i="29"/>
  <c r="I191" i="29"/>
  <c r="I187" i="29"/>
  <c r="I183" i="29"/>
  <c r="I179" i="29"/>
  <c r="I175" i="29"/>
  <c r="I171" i="29"/>
  <c r="I167" i="29"/>
  <c r="I163" i="29"/>
  <c r="I159" i="29"/>
  <c r="I155" i="29"/>
  <c r="I151" i="29"/>
  <c r="I147" i="29"/>
  <c r="I143" i="29"/>
  <c r="I139" i="29"/>
  <c r="I135" i="29"/>
  <c r="I131" i="29"/>
  <c r="I127" i="29"/>
  <c r="I123" i="29"/>
  <c r="I119" i="29"/>
  <c r="I115" i="29"/>
  <c r="I111" i="29"/>
  <c r="I107" i="29"/>
  <c r="I103" i="29"/>
  <c r="I99" i="29"/>
  <c r="I95" i="29"/>
  <c r="I91" i="29"/>
  <c r="I87" i="29"/>
  <c r="I83" i="29"/>
  <c r="I79" i="29"/>
  <c r="I75" i="29"/>
  <c r="I71" i="29"/>
  <c r="I67" i="29"/>
  <c r="I63" i="29"/>
  <c r="I59" i="29"/>
  <c r="I55" i="29"/>
  <c r="I51" i="29"/>
  <c r="I47" i="29"/>
  <c r="I43" i="29"/>
  <c r="I39" i="29"/>
  <c r="I35" i="29"/>
  <c r="I31" i="29"/>
  <c r="I27" i="29"/>
  <c r="I23" i="29"/>
  <c r="I19" i="29"/>
  <c r="I15" i="29"/>
  <c r="I11" i="29"/>
  <c r="I7" i="29"/>
  <c r="I3" i="29"/>
  <c r="I997" i="29"/>
  <c r="I993" i="29"/>
  <c r="I989" i="29"/>
  <c r="I985" i="29"/>
  <c r="I981" i="29"/>
  <c r="I977" i="29"/>
  <c r="I973" i="29"/>
  <c r="I969" i="29"/>
  <c r="I965" i="29"/>
  <c r="I961" i="29"/>
  <c r="I957" i="29"/>
  <c r="I953" i="29"/>
  <c r="I949" i="29"/>
  <c r="I945" i="29"/>
  <c r="I941" i="29"/>
  <c r="I937" i="29"/>
  <c r="I933" i="29"/>
  <c r="I929" i="29"/>
  <c r="I925" i="29"/>
  <c r="I921" i="29"/>
  <c r="I917" i="29"/>
  <c r="I913" i="29"/>
  <c r="I909" i="29"/>
  <c r="I905" i="29"/>
  <c r="I901" i="29"/>
  <c r="I897" i="29"/>
  <c r="I893" i="29"/>
  <c r="I889" i="29"/>
  <c r="I885" i="29"/>
  <c r="I881" i="29"/>
  <c r="I877" i="29"/>
  <c r="I873" i="29"/>
  <c r="I869" i="29"/>
  <c r="I865" i="29"/>
  <c r="I861" i="29"/>
  <c r="I857" i="29"/>
  <c r="I853" i="29"/>
  <c r="I849" i="29"/>
  <c r="I845" i="29"/>
  <c r="I841" i="29"/>
  <c r="I837" i="29"/>
  <c r="I833" i="29"/>
  <c r="I829" i="29"/>
  <c r="I825" i="29"/>
  <c r="I821" i="29"/>
  <c r="I817" i="29"/>
  <c r="I813" i="29"/>
  <c r="I809" i="29"/>
  <c r="I805" i="29"/>
  <c r="I801" i="29"/>
  <c r="I797" i="29"/>
  <c r="I793" i="29"/>
  <c r="I789" i="29"/>
  <c r="I785" i="29"/>
  <c r="I781" i="29"/>
  <c r="I777" i="29"/>
  <c r="I773" i="29"/>
  <c r="I769" i="29"/>
  <c r="I765" i="29"/>
  <c r="I761" i="29"/>
  <c r="I757" i="29"/>
  <c r="I753" i="29"/>
  <c r="I749" i="29"/>
  <c r="I745" i="29"/>
  <c r="I741" i="29"/>
  <c r="I737" i="29"/>
  <c r="I733" i="29"/>
  <c r="I729" i="29"/>
  <c r="I725" i="29"/>
  <c r="I721" i="29"/>
  <c r="I717" i="29"/>
  <c r="I713" i="29"/>
  <c r="I709" i="29"/>
  <c r="I705" i="29"/>
  <c r="I701" i="29"/>
  <c r="I697" i="29"/>
  <c r="I693" i="29"/>
  <c r="I689" i="29"/>
  <c r="I685" i="29"/>
  <c r="I681" i="29"/>
  <c r="I677" i="29"/>
  <c r="I673" i="29"/>
  <c r="I669" i="29"/>
  <c r="I665" i="29"/>
  <c r="I661" i="29"/>
  <c r="I657" i="29"/>
  <c r="I653" i="29"/>
  <c r="I649" i="29"/>
  <c r="I645" i="29"/>
  <c r="I641" i="29"/>
  <c r="I637" i="29"/>
  <c r="I633" i="29"/>
  <c r="I629" i="29"/>
  <c r="I625" i="29"/>
  <c r="I621" i="29"/>
  <c r="I617" i="29"/>
  <c r="I613" i="29"/>
  <c r="I609" i="29"/>
  <c r="I605" i="29"/>
  <c r="I601" i="29"/>
  <c r="I597" i="29"/>
  <c r="I593" i="29"/>
  <c r="I589" i="29"/>
  <c r="I585" i="29"/>
  <c r="I581" i="29"/>
  <c r="I577" i="29"/>
  <c r="I573" i="29"/>
  <c r="I569" i="29"/>
  <c r="I565" i="29"/>
  <c r="I561" i="29"/>
  <c r="I557" i="29"/>
  <c r="I553" i="29"/>
  <c r="I549" i="29"/>
  <c r="I545" i="29"/>
  <c r="I541" i="29"/>
  <c r="I537" i="29"/>
  <c r="I533" i="29"/>
  <c r="I529" i="29"/>
  <c r="I525" i="29"/>
  <c r="I521" i="29"/>
  <c r="I517" i="29"/>
  <c r="I513" i="29"/>
  <c r="I509" i="29"/>
  <c r="I505" i="29"/>
  <c r="I501" i="29"/>
  <c r="I497" i="29"/>
  <c r="I493" i="29"/>
  <c r="I489" i="29"/>
  <c r="I485" i="29"/>
  <c r="I481" i="29"/>
  <c r="I477" i="29"/>
  <c r="I473" i="29"/>
  <c r="I469" i="29"/>
  <c r="I465" i="29"/>
  <c r="I461" i="29"/>
  <c r="I457" i="29"/>
  <c r="I453" i="29"/>
  <c r="I449" i="29"/>
  <c r="I445" i="29"/>
  <c r="I441" i="29"/>
  <c r="I437" i="29"/>
  <c r="I433" i="29"/>
  <c r="I429" i="29"/>
  <c r="I425" i="29"/>
  <c r="I421" i="29"/>
  <c r="I417" i="29"/>
  <c r="I413" i="29"/>
  <c r="I409" i="29"/>
  <c r="I405" i="29"/>
  <c r="I401" i="29"/>
  <c r="I397" i="29"/>
  <c r="I393" i="29"/>
  <c r="I389" i="29"/>
  <c r="I385" i="29"/>
  <c r="I381" i="29"/>
  <c r="I377" i="29"/>
  <c r="I373" i="29"/>
  <c r="I369" i="29"/>
  <c r="I365" i="29"/>
  <c r="I361" i="29"/>
  <c r="I357" i="29"/>
  <c r="I353" i="29"/>
  <c r="I349" i="29"/>
  <c r="I345" i="29"/>
  <c r="I341" i="29"/>
  <c r="I337" i="29"/>
  <c r="I333" i="29"/>
  <c r="I329" i="29"/>
  <c r="I325" i="29"/>
  <c r="I321" i="29"/>
  <c r="I317" i="29"/>
  <c r="I313" i="29"/>
  <c r="I309" i="29"/>
  <c r="I305" i="29"/>
  <c r="I301" i="29"/>
  <c r="I297" i="29"/>
  <c r="I293" i="29"/>
  <c r="I289" i="29"/>
  <c r="I285" i="29"/>
  <c r="I281" i="29"/>
  <c r="I277" i="29"/>
  <c r="I273" i="29"/>
  <c r="I269" i="29"/>
  <c r="I265" i="29"/>
  <c r="I261" i="29"/>
  <c r="I257" i="29"/>
  <c r="I253" i="29"/>
  <c r="I249" i="29"/>
  <c r="I245" i="29"/>
  <c r="I241" i="29"/>
  <c r="I237" i="29"/>
  <c r="I233" i="29"/>
  <c r="I229" i="29"/>
  <c r="I225" i="29"/>
  <c r="I221" i="29"/>
  <c r="I217" i="29"/>
  <c r="I213" i="29"/>
  <c r="I209" i="29"/>
  <c r="I205" i="29"/>
  <c r="I201" i="29"/>
  <c r="I197" i="29"/>
  <c r="I193" i="29"/>
  <c r="I189" i="29"/>
  <c r="I185" i="29"/>
  <c r="I181" i="29"/>
  <c r="I177" i="29"/>
  <c r="I173" i="29"/>
  <c r="I169" i="29"/>
  <c r="I165" i="29"/>
  <c r="I161" i="29"/>
  <c r="I157" i="29"/>
  <c r="I153" i="29"/>
  <c r="I149" i="29"/>
  <c r="I145" i="29"/>
  <c r="I141" i="29"/>
  <c r="I137" i="29"/>
  <c r="I133" i="29"/>
  <c r="I129" i="29"/>
  <c r="I125" i="29"/>
  <c r="I121" i="29"/>
  <c r="I117" i="29"/>
  <c r="I113" i="29"/>
  <c r="I109" i="29"/>
  <c r="I105" i="29"/>
  <c r="I101" i="29"/>
  <c r="I97" i="29"/>
  <c r="I93" i="29"/>
  <c r="I89" i="29"/>
  <c r="I85" i="29"/>
  <c r="I81" i="29"/>
  <c r="I77" i="29"/>
  <c r="I73" i="29"/>
  <c r="I69" i="29"/>
  <c r="I65" i="29"/>
  <c r="I61" i="29"/>
  <c r="I57" i="29"/>
  <c r="I53" i="29"/>
  <c r="I49" i="29"/>
  <c r="I45" i="29"/>
  <c r="I41" i="29"/>
  <c r="I37" i="29"/>
  <c r="I33" i="29"/>
  <c r="I29" i="29"/>
  <c r="I25" i="29"/>
  <c r="I21" i="29"/>
  <c r="I17" i="29"/>
  <c r="I13" i="29"/>
  <c r="I9" i="29"/>
  <c r="I5" i="29"/>
  <c r="I996" i="29"/>
  <c r="I988" i="29"/>
  <c r="I980" i="29"/>
  <c r="I972" i="29"/>
  <c r="I964" i="29"/>
  <c r="I956" i="29"/>
  <c r="I948" i="29"/>
  <c r="I940" i="29"/>
  <c r="I932" i="29"/>
  <c r="I924" i="29"/>
  <c r="I916" i="29"/>
  <c r="I908" i="29"/>
  <c r="I900" i="29"/>
  <c r="I892" i="29"/>
  <c r="I884" i="29"/>
  <c r="I876" i="29"/>
  <c r="I868" i="29"/>
  <c r="I860" i="29"/>
  <c r="I852" i="29"/>
  <c r="I844" i="29"/>
  <c r="I836" i="29"/>
  <c r="I828" i="29"/>
  <c r="I820" i="29"/>
  <c r="I812" i="29"/>
  <c r="I804" i="29"/>
  <c r="I796" i="29"/>
  <c r="I788" i="29"/>
  <c r="I780" i="29"/>
  <c r="I772" i="29"/>
  <c r="I764" i="29"/>
  <c r="I756" i="29"/>
  <c r="I748" i="29"/>
  <c r="I740" i="29"/>
  <c r="I732" i="29"/>
  <c r="I724" i="29"/>
  <c r="I716" i="29"/>
  <c r="I708" i="29"/>
  <c r="I700" i="29"/>
  <c r="I692" i="29"/>
  <c r="I684" i="29"/>
  <c r="I676" i="29"/>
  <c r="I668" i="29"/>
  <c r="I660" i="29"/>
  <c r="I652" i="29"/>
  <c r="I644" i="29"/>
  <c r="I636" i="29"/>
  <c r="I628" i="29"/>
  <c r="I620" i="29"/>
  <c r="I612" i="29"/>
  <c r="I604" i="29"/>
  <c r="I596" i="29"/>
  <c r="I588" i="29"/>
  <c r="I580" i="29"/>
  <c r="I572" i="29"/>
  <c r="I564" i="29"/>
  <c r="I556" i="29"/>
  <c r="I548" i="29"/>
  <c r="I540" i="29"/>
  <c r="I532" i="29"/>
  <c r="I524" i="29"/>
  <c r="I516" i="29"/>
  <c r="I508" i="29"/>
  <c r="I500" i="29"/>
  <c r="I492" i="29"/>
  <c r="I484" i="29"/>
  <c r="I476" i="29"/>
  <c r="I468" i="29"/>
  <c r="I460" i="29"/>
  <c r="I452" i="29"/>
  <c r="I444" i="29"/>
  <c r="I436" i="29"/>
  <c r="I428" i="29"/>
  <c r="I420" i="29"/>
  <c r="I412" i="29"/>
  <c r="I404" i="29"/>
  <c r="I396" i="29"/>
  <c r="I388" i="29"/>
  <c r="I380" i="29"/>
  <c r="I372" i="29"/>
  <c r="I364" i="29"/>
  <c r="I356" i="29"/>
  <c r="I348" i="29"/>
  <c r="I340" i="29"/>
  <c r="I332" i="29"/>
  <c r="I324" i="29"/>
  <c r="I316" i="29"/>
  <c r="I308" i="29"/>
  <c r="I300" i="29"/>
  <c r="I292" i="29"/>
  <c r="I284" i="29"/>
  <c r="I276" i="29"/>
  <c r="I268" i="29"/>
  <c r="I260" i="29"/>
  <c r="I252" i="29"/>
  <c r="I244" i="29"/>
  <c r="I236" i="29"/>
  <c r="I228" i="29"/>
  <c r="I220" i="29"/>
  <c r="I212" i="29"/>
  <c r="I204" i="29"/>
  <c r="I196" i="29"/>
  <c r="I188" i="29"/>
  <c r="I180" i="29"/>
  <c r="I172" i="29"/>
  <c r="I164" i="29"/>
  <c r="I156" i="29"/>
  <c r="I148" i="29"/>
  <c r="I140" i="29"/>
  <c r="I132" i="29"/>
  <c r="I124" i="29"/>
  <c r="I116" i="29"/>
  <c r="I108" i="29"/>
  <c r="I100" i="29"/>
  <c r="I92" i="29"/>
  <c r="I84" i="29"/>
  <c r="I76" i="29"/>
  <c r="I68" i="29"/>
  <c r="I60" i="29"/>
  <c r="I52" i="29"/>
  <c r="I44" i="29"/>
  <c r="I36" i="29"/>
  <c r="I28" i="29"/>
  <c r="I20" i="29"/>
  <c r="I12" i="29"/>
  <c r="I4" i="29"/>
  <c r="I994" i="29"/>
  <c r="I986" i="29"/>
  <c r="I978" i="29"/>
  <c r="I970" i="29"/>
  <c r="I962" i="29"/>
  <c r="I954" i="29"/>
  <c r="I946" i="29"/>
  <c r="I938" i="29"/>
  <c r="I930" i="29"/>
  <c r="I922" i="29"/>
  <c r="I914" i="29"/>
  <c r="I906" i="29"/>
  <c r="I898" i="29"/>
  <c r="I890" i="29"/>
  <c r="I882" i="29"/>
  <c r="I874" i="29"/>
  <c r="I866" i="29"/>
  <c r="I858" i="29"/>
  <c r="I850" i="29"/>
  <c r="I842" i="29"/>
  <c r="I834" i="29"/>
  <c r="I826" i="29"/>
  <c r="I818" i="29"/>
  <c r="I810" i="29"/>
  <c r="I802" i="29"/>
  <c r="I794" i="29"/>
  <c r="I786" i="29"/>
  <c r="I778" i="29"/>
  <c r="I770" i="29"/>
  <c r="I762" i="29"/>
  <c r="I754" i="29"/>
  <c r="I746" i="29"/>
  <c r="I738" i="29"/>
  <c r="I730" i="29"/>
  <c r="I722" i="29"/>
  <c r="I714" i="29"/>
  <c r="I706" i="29"/>
  <c r="I698" i="29"/>
  <c r="I690" i="29"/>
  <c r="I682" i="29"/>
  <c r="I674" i="29"/>
  <c r="I666" i="29"/>
  <c r="I658" i="29"/>
  <c r="I650" i="29"/>
  <c r="I642" i="29"/>
  <c r="I634" i="29"/>
  <c r="I626" i="29"/>
  <c r="I618" i="29"/>
  <c r="I610" i="29"/>
  <c r="I602" i="29"/>
  <c r="I594" i="29"/>
  <c r="I586" i="29"/>
  <c r="I578" i="29"/>
  <c r="I570" i="29"/>
  <c r="I562" i="29"/>
  <c r="I554" i="29"/>
  <c r="I546" i="29"/>
  <c r="I538" i="29"/>
  <c r="I530" i="29"/>
  <c r="I522" i="29"/>
  <c r="I514" i="29"/>
  <c r="I506" i="29"/>
  <c r="I498" i="29"/>
  <c r="I490" i="29"/>
  <c r="I482" i="29"/>
  <c r="I474" i="29"/>
  <c r="I466" i="29"/>
  <c r="I458" i="29"/>
  <c r="I450" i="29"/>
  <c r="I442" i="29"/>
  <c r="I434" i="29"/>
  <c r="I426" i="29"/>
  <c r="I418" i="29"/>
  <c r="I410" i="29"/>
  <c r="I402" i="29"/>
  <c r="I394" i="29"/>
  <c r="I386" i="29"/>
  <c r="I378" i="29"/>
  <c r="I370" i="29"/>
  <c r="I362" i="29"/>
  <c r="I354" i="29"/>
  <c r="I346" i="29"/>
  <c r="I338" i="29"/>
  <c r="I330" i="29"/>
  <c r="I322" i="29"/>
  <c r="I314" i="29"/>
  <c r="I306" i="29"/>
  <c r="I298" i="29"/>
  <c r="I290" i="29"/>
  <c r="I282" i="29"/>
  <c r="I274" i="29"/>
  <c r="I266" i="29"/>
  <c r="I258" i="29"/>
  <c r="I250" i="29"/>
  <c r="I242" i="29"/>
  <c r="I234" i="29"/>
  <c r="I226" i="29"/>
  <c r="I218" i="29"/>
  <c r="I210" i="29"/>
  <c r="I202" i="29"/>
  <c r="I194" i="29"/>
  <c r="I186" i="29"/>
  <c r="I178" i="29"/>
  <c r="I170" i="29"/>
  <c r="I162" i="29"/>
  <c r="I154" i="29"/>
  <c r="I146" i="29"/>
  <c r="I138" i="29"/>
  <c r="I130" i="29"/>
  <c r="I122" i="29"/>
  <c r="I114" i="29"/>
  <c r="I106" i="29"/>
  <c r="I98" i="29"/>
  <c r="I90" i="29"/>
  <c r="I82" i="29"/>
  <c r="I74" i="29"/>
  <c r="I66" i="29"/>
  <c r="I58" i="29"/>
  <c r="I50" i="29"/>
  <c r="I42" i="29"/>
  <c r="I34" i="29"/>
  <c r="I26" i="29"/>
  <c r="I18" i="29"/>
  <c r="I10" i="29"/>
  <c r="I2" i="29"/>
  <c r="I990" i="29"/>
  <c r="I974" i="29"/>
  <c r="I958" i="29"/>
  <c r="I942" i="29"/>
  <c r="I926" i="29"/>
  <c r="I910" i="29"/>
  <c r="I894" i="29"/>
  <c r="I878" i="29"/>
  <c r="I862" i="29"/>
  <c r="I846" i="29"/>
  <c r="I830" i="29"/>
  <c r="I814" i="29"/>
  <c r="I798" i="29"/>
  <c r="I782" i="29"/>
  <c r="I766" i="29"/>
  <c r="I750" i="29"/>
  <c r="I734" i="29"/>
  <c r="I718" i="29"/>
  <c r="I702" i="29"/>
  <c r="I686" i="29"/>
  <c r="I670" i="29"/>
  <c r="I654" i="29"/>
  <c r="I638" i="29"/>
  <c r="I622" i="29"/>
  <c r="I606" i="29"/>
  <c r="I590" i="29"/>
  <c r="I574" i="29"/>
  <c r="I558" i="29"/>
  <c r="I542" i="29"/>
  <c r="I526" i="29"/>
  <c r="I510" i="29"/>
  <c r="I494" i="29"/>
  <c r="I478" i="29"/>
  <c r="I462" i="29"/>
  <c r="I446" i="29"/>
  <c r="I430" i="29"/>
  <c r="I414" i="29"/>
  <c r="I398" i="29"/>
  <c r="I382" i="29"/>
  <c r="I366" i="29"/>
  <c r="I350" i="29"/>
  <c r="I334" i="29"/>
  <c r="I318" i="29"/>
  <c r="I302" i="29"/>
  <c r="I286" i="29"/>
  <c r="I270" i="29"/>
  <c r="I254" i="29"/>
  <c r="I238" i="29"/>
  <c r="I222" i="29"/>
  <c r="I206" i="29"/>
  <c r="I190" i="29"/>
  <c r="I174" i="29"/>
  <c r="I158" i="29"/>
  <c r="I142" i="29"/>
  <c r="I126" i="29"/>
  <c r="I110" i="29"/>
  <c r="I94" i="29"/>
  <c r="I78" i="29"/>
  <c r="I62" i="29"/>
  <c r="I46" i="29"/>
  <c r="I30" i="29"/>
  <c r="I14" i="29"/>
  <c r="I998" i="29"/>
  <c r="I982" i="29"/>
  <c r="I966" i="29"/>
  <c r="I950" i="29"/>
  <c r="I934" i="29"/>
  <c r="I918" i="29"/>
  <c r="I902" i="29"/>
  <c r="I886" i="29"/>
  <c r="I870" i="29"/>
  <c r="I854" i="29"/>
  <c r="I838" i="29"/>
  <c r="I822" i="29"/>
  <c r="I806" i="29"/>
  <c r="I790" i="29"/>
  <c r="I774" i="29"/>
  <c r="I758" i="29"/>
  <c r="I742" i="29"/>
  <c r="I726" i="29"/>
  <c r="I710" i="29"/>
  <c r="I694" i="29"/>
  <c r="I678" i="29"/>
  <c r="I662" i="29"/>
  <c r="I646" i="29"/>
  <c r="I630" i="29"/>
  <c r="I614" i="29"/>
  <c r="I598" i="29"/>
  <c r="I582" i="29"/>
  <c r="I566" i="29"/>
  <c r="I550" i="29"/>
  <c r="I534" i="29"/>
  <c r="I518" i="29"/>
  <c r="I502" i="29"/>
  <c r="I486" i="29"/>
  <c r="I470" i="29"/>
  <c r="I454" i="29"/>
  <c r="I438" i="29"/>
  <c r="I422" i="29"/>
  <c r="I406" i="29"/>
  <c r="I390" i="29"/>
  <c r="I374" i="29"/>
  <c r="I358" i="29"/>
  <c r="I342" i="29"/>
  <c r="I326" i="29"/>
  <c r="I310" i="29"/>
  <c r="I294" i="29"/>
  <c r="I278" i="29"/>
  <c r="I262" i="29"/>
  <c r="I246" i="29"/>
  <c r="I230" i="29"/>
  <c r="I214" i="29"/>
  <c r="I198" i="29"/>
  <c r="I182" i="29"/>
  <c r="I166" i="29"/>
  <c r="I150" i="29"/>
  <c r="I134" i="29"/>
  <c r="I118" i="29"/>
  <c r="I102" i="29"/>
  <c r="I86" i="29"/>
  <c r="I70" i="29"/>
  <c r="I54" i="29"/>
  <c r="I38" i="29"/>
  <c r="I22" i="29"/>
  <c r="I6" i="29"/>
  <c r="I976" i="29"/>
  <c r="I944" i="29"/>
  <c r="I912" i="29"/>
  <c r="I880" i="29"/>
  <c r="I848" i="29"/>
  <c r="I816" i="29"/>
  <c r="I784" i="29"/>
  <c r="I752" i="29"/>
  <c r="I720" i="29"/>
  <c r="I688" i="29"/>
  <c r="I656" i="29"/>
  <c r="I624" i="29"/>
  <c r="I592" i="29"/>
  <c r="I560" i="29"/>
  <c r="I528" i="29"/>
  <c r="I496" i="29"/>
  <c r="I464" i="29"/>
  <c r="I432" i="29"/>
  <c r="I400" i="29"/>
  <c r="I368" i="29"/>
  <c r="I336" i="29"/>
  <c r="I304" i="29"/>
  <c r="I272" i="29"/>
  <c r="I240" i="29"/>
  <c r="I208" i="29"/>
  <c r="I176" i="29"/>
  <c r="I144" i="29"/>
  <c r="I112" i="29"/>
  <c r="I80" i="29"/>
  <c r="I48" i="29"/>
  <c r="I16" i="29"/>
  <c r="I1000" i="29"/>
  <c r="I968" i="29"/>
  <c r="I936" i="29"/>
  <c r="I904" i="29"/>
  <c r="I872" i="29"/>
  <c r="I840" i="29"/>
  <c r="I808" i="29"/>
  <c r="I776" i="29"/>
  <c r="I744" i="29"/>
  <c r="I712" i="29"/>
  <c r="I680" i="29"/>
  <c r="I648" i="29"/>
  <c r="I616" i="29"/>
  <c r="I584" i="29"/>
  <c r="I552" i="29"/>
  <c r="I520" i="29"/>
  <c r="I488" i="29"/>
  <c r="I456" i="29"/>
  <c r="I424" i="29"/>
  <c r="I392" i="29"/>
  <c r="I360" i="29"/>
  <c r="I328" i="29"/>
  <c r="I296" i="29"/>
  <c r="I264" i="29"/>
  <c r="I232" i="29"/>
  <c r="I200" i="29"/>
  <c r="I168" i="29"/>
  <c r="I136" i="29"/>
  <c r="I104" i="29"/>
  <c r="I72" i="29"/>
  <c r="I40" i="29"/>
  <c r="I8" i="29"/>
  <c r="I992" i="29"/>
  <c r="I928" i="29"/>
  <c r="I864" i="29"/>
  <c r="I800" i="29"/>
  <c r="I736" i="29"/>
  <c r="I672" i="29"/>
  <c r="I608" i="29"/>
  <c r="I544" i="29"/>
  <c r="I480" i="29"/>
  <c r="I416" i="29"/>
  <c r="I352" i="29"/>
  <c r="I288" i="29"/>
  <c r="I224" i="29"/>
  <c r="I160" i="29"/>
  <c r="I96" i="29"/>
  <c r="I32" i="29"/>
  <c r="I984" i="29"/>
  <c r="I920" i="29"/>
  <c r="I856" i="29"/>
  <c r="I792" i="29"/>
  <c r="I728" i="29"/>
  <c r="I664" i="29"/>
  <c r="I600" i="29"/>
  <c r="I536" i="29"/>
  <c r="I472" i="29"/>
  <c r="I408" i="29"/>
  <c r="I344" i="29"/>
  <c r="I280" i="29"/>
  <c r="I216" i="29"/>
  <c r="I152" i="29"/>
  <c r="I88" i="29"/>
  <c r="I24" i="29"/>
  <c r="I952" i="29"/>
  <c r="I824" i="29"/>
  <c r="I696" i="29"/>
  <c r="I568" i="29"/>
  <c r="I440" i="29"/>
  <c r="I312" i="29"/>
  <c r="I184" i="29"/>
  <c r="I56" i="29"/>
  <c r="I888" i="29"/>
  <c r="I760" i="29"/>
  <c r="I632" i="29"/>
  <c r="I504" i="29"/>
  <c r="I376" i="29"/>
  <c r="I248" i="29"/>
  <c r="I120" i="29"/>
  <c r="I896" i="29"/>
  <c r="I640" i="29"/>
  <c r="I384" i="29"/>
  <c r="I128" i="29"/>
  <c r="I768" i="29"/>
  <c r="I512" i="29"/>
  <c r="I256" i="29"/>
  <c r="I1" i="29"/>
  <c r="I704" i="29"/>
  <c r="I192" i="29"/>
  <c r="I960" i="29"/>
  <c r="I448" i="29"/>
  <c r="I320" i="29"/>
  <c r="I832" i="29"/>
  <c r="I576" i="29"/>
  <c r="I64" i="29"/>
  <c r="I997" i="12"/>
  <c r="I993" i="12"/>
  <c r="I989" i="12"/>
  <c r="I985" i="12"/>
  <c r="I981" i="12"/>
  <c r="I977" i="12"/>
  <c r="I973" i="12"/>
  <c r="I969" i="12"/>
  <c r="I965" i="12"/>
  <c r="I961" i="12"/>
  <c r="I957" i="12"/>
  <c r="I953" i="12"/>
  <c r="I949" i="12"/>
  <c r="I945" i="12"/>
  <c r="I941" i="12"/>
  <c r="I937" i="12"/>
  <c r="I933" i="12"/>
  <c r="I929" i="12"/>
  <c r="I925" i="12"/>
  <c r="I921" i="12"/>
  <c r="I917" i="12"/>
  <c r="I913" i="12"/>
  <c r="I909" i="12"/>
  <c r="I905" i="12"/>
  <c r="I901" i="12"/>
  <c r="I897" i="12"/>
  <c r="I893" i="12"/>
  <c r="I889" i="12"/>
  <c r="I885" i="12"/>
  <c r="I881" i="12"/>
  <c r="I877" i="12"/>
  <c r="I873" i="12"/>
  <c r="I869" i="12"/>
  <c r="I865" i="12"/>
  <c r="I861" i="12"/>
  <c r="I857" i="12"/>
  <c r="I853" i="12"/>
  <c r="I849" i="12"/>
  <c r="I845" i="12"/>
  <c r="I841" i="12"/>
  <c r="I837" i="12"/>
  <c r="I833" i="12"/>
  <c r="I829" i="12"/>
  <c r="I825" i="12"/>
  <c r="I821" i="12"/>
  <c r="I817" i="12"/>
  <c r="I813" i="12"/>
  <c r="I809" i="12"/>
  <c r="I805" i="12"/>
  <c r="I801" i="12"/>
  <c r="I797" i="12"/>
  <c r="I793" i="12"/>
  <c r="I789" i="12"/>
  <c r="I785" i="12"/>
  <c r="I781" i="12"/>
  <c r="I777" i="12"/>
  <c r="I773" i="12"/>
  <c r="I769" i="12"/>
  <c r="I765" i="12"/>
  <c r="I761" i="12"/>
  <c r="I757" i="12"/>
  <c r="I753" i="12"/>
  <c r="I749" i="12"/>
  <c r="I745" i="12"/>
  <c r="I741" i="12"/>
  <c r="I737" i="12"/>
  <c r="I733" i="12"/>
  <c r="I729" i="12"/>
  <c r="I725" i="12"/>
  <c r="I721" i="12"/>
  <c r="I717" i="12"/>
  <c r="I713" i="12"/>
  <c r="I709" i="12"/>
  <c r="I705" i="12"/>
  <c r="I701" i="12"/>
  <c r="I697" i="12"/>
  <c r="I693" i="12"/>
  <c r="I689" i="12"/>
  <c r="I685" i="12"/>
  <c r="I681" i="12"/>
  <c r="I677" i="12"/>
  <c r="I673" i="12"/>
  <c r="I669" i="12"/>
  <c r="I665" i="12"/>
  <c r="I661" i="12"/>
  <c r="I657" i="12"/>
  <c r="I653" i="12"/>
  <c r="I649" i="12"/>
  <c r="I645" i="12"/>
  <c r="I641" i="12"/>
  <c r="I637" i="12"/>
  <c r="I633" i="12"/>
  <c r="I629" i="12"/>
  <c r="I625" i="12"/>
  <c r="I621" i="12"/>
  <c r="I617" i="12"/>
  <c r="I613" i="12"/>
  <c r="I609" i="12"/>
  <c r="I605" i="12"/>
  <c r="I601" i="12"/>
  <c r="I597" i="12"/>
  <c r="I593" i="12"/>
  <c r="I589" i="12"/>
  <c r="I585" i="12"/>
  <c r="I581" i="12"/>
  <c r="I577" i="12"/>
  <c r="I573" i="12"/>
  <c r="I569" i="12"/>
  <c r="I565" i="12"/>
  <c r="I561" i="12"/>
  <c r="I557" i="12"/>
  <c r="I553" i="12"/>
  <c r="I549" i="12"/>
  <c r="I545" i="12"/>
  <c r="I541" i="12"/>
  <c r="I537" i="12"/>
  <c r="I533" i="12"/>
  <c r="I529" i="12"/>
  <c r="I525" i="12"/>
  <c r="I521" i="12"/>
  <c r="I517" i="12"/>
  <c r="I513" i="12"/>
  <c r="I509" i="12"/>
  <c r="I505" i="12"/>
  <c r="I501" i="12"/>
  <c r="I497" i="12"/>
  <c r="I493" i="12"/>
  <c r="I489" i="12"/>
  <c r="I485" i="12"/>
  <c r="I481" i="12"/>
  <c r="I477" i="12"/>
  <c r="I473" i="12"/>
  <c r="I469" i="12"/>
  <c r="I465" i="12"/>
  <c r="I461" i="12"/>
  <c r="I457" i="12"/>
  <c r="I453" i="12"/>
  <c r="I449" i="12"/>
  <c r="I445" i="12"/>
  <c r="I441" i="12"/>
  <c r="I437" i="12"/>
  <c r="I433" i="12"/>
  <c r="I429" i="12"/>
  <c r="I425" i="12"/>
  <c r="I421" i="12"/>
  <c r="I417" i="12"/>
  <c r="I413" i="12"/>
  <c r="I409" i="12"/>
  <c r="I405" i="12"/>
  <c r="I401" i="12"/>
  <c r="I397" i="12"/>
  <c r="I393" i="12"/>
  <c r="I389" i="12"/>
  <c r="I385" i="12"/>
  <c r="I381" i="12"/>
  <c r="I377" i="12"/>
  <c r="I373" i="12"/>
  <c r="I369" i="12"/>
  <c r="I365" i="12"/>
  <c r="I361" i="12"/>
  <c r="I357" i="12"/>
  <c r="I353" i="12"/>
  <c r="I349" i="12"/>
  <c r="I345" i="12"/>
  <c r="I341" i="12"/>
  <c r="I337" i="12"/>
  <c r="I333" i="12"/>
  <c r="I329" i="12"/>
  <c r="I325" i="12"/>
  <c r="I321" i="12"/>
  <c r="I317" i="12"/>
  <c r="I313" i="12"/>
  <c r="I309" i="12"/>
  <c r="I305" i="12"/>
  <c r="I301" i="12"/>
  <c r="I297" i="12"/>
  <c r="I293" i="12"/>
  <c r="I289" i="12"/>
  <c r="I285" i="12"/>
  <c r="I281" i="12"/>
  <c r="I277" i="12"/>
  <c r="I273" i="12"/>
  <c r="I269" i="12"/>
  <c r="I265" i="12"/>
  <c r="I261" i="12"/>
  <c r="I257" i="12"/>
  <c r="I253" i="12"/>
  <c r="I249" i="12"/>
  <c r="I245" i="12"/>
  <c r="I241" i="12"/>
  <c r="I237" i="12"/>
  <c r="I233" i="12"/>
  <c r="I229" i="12"/>
  <c r="I225" i="12"/>
  <c r="I221" i="12"/>
  <c r="I217" i="12"/>
  <c r="I213" i="12"/>
  <c r="I209" i="12"/>
  <c r="I205" i="12"/>
  <c r="I201" i="12"/>
  <c r="I197" i="12"/>
  <c r="I193" i="12"/>
  <c r="I189" i="12"/>
  <c r="I185" i="12"/>
  <c r="I181" i="12"/>
  <c r="I177" i="12"/>
  <c r="I173" i="12"/>
  <c r="I169" i="12"/>
  <c r="I165" i="12"/>
  <c r="I161" i="12"/>
  <c r="I157" i="12"/>
  <c r="I153" i="12"/>
  <c r="I149" i="12"/>
  <c r="I145" i="12"/>
  <c r="I141" i="12"/>
  <c r="I137" i="12"/>
  <c r="I133" i="12"/>
  <c r="I129" i="12"/>
  <c r="I125" i="12"/>
  <c r="I121" i="12"/>
  <c r="I117" i="12"/>
  <c r="I113" i="12"/>
  <c r="I109" i="12"/>
  <c r="I105" i="12"/>
  <c r="I101" i="12"/>
  <c r="I97" i="12"/>
  <c r="I93" i="12"/>
  <c r="I89" i="12"/>
  <c r="I85" i="12"/>
  <c r="I81" i="12"/>
  <c r="I77" i="12"/>
  <c r="I73" i="12"/>
  <c r="I69" i="12"/>
  <c r="I65" i="12"/>
  <c r="I61" i="12"/>
  <c r="I57" i="12"/>
  <c r="I53" i="12"/>
  <c r="I49" i="12"/>
  <c r="I45" i="12"/>
  <c r="I41" i="12"/>
  <c r="I37" i="12"/>
  <c r="I33" i="12"/>
  <c r="I29" i="12"/>
  <c r="I25" i="12"/>
  <c r="I21" i="12"/>
  <c r="I17" i="12"/>
  <c r="I13" i="12"/>
  <c r="I9" i="12"/>
  <c r="I5" i="12"/>
  <c r="I999" i="12"/>
  <c r="I994" i="12"/>
  <c r="I988" i="12"/>
  <c r="I983" i="12"/>
  <c r="I978" i="12"/>
  <c r="I972" i="12"/>
  <c r="I967" i="12"/>
  <c r="I962" i="12"/>
  <c r="I956" i="12"/>
  <c r="I951" i="12"/>
  <c r="I946" i="12"/>
  <c r="I940" i="12"/>
  <c r="I935" i="12"/>
  <c r="I930" i="12"/>
  <c r="I924" i="12"/>
  <c r="I919" i="12"/>
  <c r="I914" i="12"/>
  <c r="I908" i="12"/>
  <c r="I903" i="12"/>
  <c r="I898" i="12"/>
  <c r="I892" i="12"/>
  <c r="I887" i="12"/>
  <c r="I882" i="12"/>
  <c r="I876" i="12"/>
  <c r="I871" i="12"/>
  <c r="I866" i="12"/>
  <c r="I860" i="12"/>
  <c r="I855" i="12"/>
  <c r="I850" i="12"/>
  <c r="I844" i="12"/>
  <c r="I839" i="12"/>
  <c r="I834" i="12"/>
  <c r="I828" i="12"/>
  <c r="I823" i="12"/>
  <c r="I818" i="12"/>
  <c r="I812" i="12"/>
  <c r="I807" i="12"/>
  <c r="I802" i="12"/>
  <c r="I796" i="12"/>
  <c r="I791" i="12"/>
  <c r="I786" i="12"/>
  <c r="I780" i="12"/>
  <c r="I775" i="12"/>
  <c r="I770" i="12"/>
  <c r="I764" i="12"/>
  <c r="I759" i="12"/>
  <c r="I754" i="12"/>
  <c r="I748" i="12"/>
  <c r="I743" i="12"/>
  <c r="I738" i="12"/>
  <c r="I732" i="12"/>
  <c r="I727" i="12"/>
  <c r="I722" i="12"/>
  <c r="I716" i="12"/>
  <c r="I711" i="12"/>
  <c r="I706" i="12"/>
  <c r="I700" i="12"/>
  <c r="I695" i="12"/>
  <c r="I690" i="12"/>
  <c r="I684" i="12"/>
  <c r="I679" i="12"/>
  <c r="I674" i="12"/>
  <c r="I668" i="12"/>
  <c r="I663" i="12"/>
  <c r="I658" i="12"/>
  <c r="I652" i="12"/>
  <c r="I647" i="12"/>
  <c r="I642" i="12"/>
  <c r="I636" i="12"/>
  <c r="I631" i="12"/>
  <c r="I626" i="12"/>
  <c r="I620" i="12"/>
  <c r="I615" i="12"/>
  <c r="I610" i="12"/>
  <c r="I604" i="12"/>
  <c r="I599" i="12"/>
  <c r="I594" i="12"/>
  <c r="I588" i="12"/>
  <c r="I583" i="12"/>
  <c r="I578" i="12"/>
  <c r="I572" i="12"/>
  <c r="I567" i="12"/>
  <c r="I562" i="12"/>
  <c r="I556" i="12"/>
  <c r="I551" i="12"/>
  <c r="I546" i="12"/>
  <c r="I540" i="12"/>
  <c r="I535" i="12"/>
  <c r="I530" i="12"/>
  <c r="I524" i="12"/>
  <c r="I519" i="12"/>
  <c r="I514" i="12"/>
  <c r="I508" i="12"/>
  <c r="I503" i="12"/>
  <c r="I498" i="12"/>
  <c r="I492" i="12"/>
  <c r="I487" i="12"/>
  <c r="I482" i="12"/>
  <c r="I476" i="12"/>
  <c r="I471" i="12"/>
  <c r="I466" i="12"/>
  <c r="I460" i="12"/>
  <c r="I455" i="12"/>
  <c r="I450" i="12"/>
  <c r="I444" i="12"/>
  <c r="I439" i="12"/>
  <c r="I434" i="12"/>
  <c r="I428" i="12"/>
  <c r="I423" i="12"/>
  <c r="I418" i="12"/>
  <c r="I412" i="12"/>
  <c r="I407" i="12"/>
  <c r="I402" i="12"/>
  <c r="I396" i="12"/>
  <c r="I391" i="12"/>
  <c r="I386" i="12"/>
  <c r="I380" i="12"/>
  <c r="I375" i="12"/>
  <c r="I370" i="12"/>
  <c r="I364" i="12"/>
  <c r="I359" i="12"/>
  <c r="I354" i="12"/>
  <c r="I348" i="12"/>
  <c r="I343" i="12"/>
  <c r="I338" i="12"/>
  <c r="I332" i="12"/>
  <c r="I327" i="12"/>
  <c r="I322" i="12"/>
  <c r="I316" i="12"/>
  <c r="I311" i="12"/>
  <c r="I306" i="12"/>
  <c r="I300" i="12"/>
  <c r="I295" i="12"/>
  <c r="I290" i="12"/>
  <c r="I284" i="12"/>
  <c r="I279" i="12"/>
  <c r="I274" i="12"/>
  <c r="I268" i="12"/>
  <c r="I263" i="12"/>
  <c r="I258" i="12"/>
  <c r="I252" i="12"/>
  <c r="I247" i="12"/>
  <c r="I242" i="12"/>
  <c r="I236" i="12"/>
  <c r="I231" i="12"/>
  <c r="I226" i="12"/>
  <c r="I220" i="12"/>
  <c r="I215" i="12"/>
  <c r="I210" i="12"/>
  <c r="I204" i="12"/>
  <c r="I199" i="12"/>
  <c r="I194" i="12"/>
  <c r="I188" i="12"/>
  <c r="I183" i="12"/>
  <c r="I178" i="12"/>
  <c r="I172" i="12"/>
  <c r="I167" i="12"/>
  <c r="I162" i="12"/>
  <c r="I156" i="12"/>
  <c r="I151" i="12"/>
  <c r="I146" i="12"/>
  <c r="I140" i="12"/>
  <c r="I135" i="12"/>
  <c r="I130" i="12"/>
  <c r="I124" i="12"/>
  <c r="I119" i="12"/>
  <c r="I114" i="12"/>
  <c r="I108" i="12"/>
  <c r="I103" i="12"/>
  <c r="I98" i="12"/>
  <c r="I92" i="12"/>
  <c r="I87" i="12"/>
  <c r="I82" i="12"/>
  <c r="I76" i="12"/>
  <c r="I71" i="12"/>
  <c r="I66" i="12"/>
  <c r="I60" i="12"/>
  <c r="I55" i="12"/>
  <c r="I50" i="12"/>
  <c r="I44" i="12"/>
  <c r="I39" i="12"/>
  <c r="I34" i="12"/>
  <c r="I28" i="12"/>
  <c r="I23" i="12"/>
  <c r="I18" i="12"/>
  <c r="I12" i="12"/>
  <c r="I7" i="12"/>
  <c r="I2" i="12"/>
  <c r="I996" i="12"/>
  <c r="I991" i="12"/>
  <c r="I986" i="12"/>
  <c r="I980" i="12"/>
  <c r="I975" i="12"/>
  <c r="I970" i="12"/>
  <c r="I964" i="12"/>
  <c r="I959" i="12"/>
  <c r="I954" i="12"/>
  <c r="I948" i="12"/>
  <c r="I943" i="12"/>
  <c r="I938" i="12"/>
  <c r="I932" i="12"/>
  <c r="I927" i="12"/>
  <c r="I922" i="12"/>
  <c r="I916" i="12"/>
  <c r="I911" i="12"/>
  <c r="I906" i="12"/>
  <c r="I900" i="12"/>
  <c r="I895" i="12"/>
  <c r="I890" i="12"/>
  <c r="I884" i="12"/>
  <c r="I879" i="12"/>
  <c r="I874" i="12"/>
  <c r="I868" i="12"/>
  <c r="I863" i="12"/>
  <c r="I858" i="12"/>
  <c r="I852" i="12"/>
  <c r="I847" i="12"/>
  <c r="I842" i="12"/>
  <c r="I836" i="12"/>
  <c r="I831" i="12"/>
  <c r="I826" i="12"/>
  <c r="I820" i="12"/>
  <c r="I815" i="12"/>
  <c r="I810" i="12"/>
  <c r="I804" i="12"/>
  <c r="I799" i="12"/>
  <c r="I794" i="12"/>
  <c r="I788" i="12"/>
  <c r="I783" i="12"/>
  <c r="I778" i="12"/>
  <c r="I772" i="12"/>
  <c r="I767" i="12"/>
  <c r="I762" i="12"/>
  <c r="I756" i="12"/>
  <c r="I751" i="12"/>
  <c r="I746" i="12"/>
  <c r="I740" i="12"/>
  <c r="I735" i="12"/>
  <c r="I730" i="12"/>
  <c r="I724" i="12"/>
  <c r="I719" i="12"/>
  <c r="I714" i="12"/>
  <c r="I708" i="12"/>
  <c r="I703" i="12"/>
  <c r="I698" i="12"/>
  <c r="I692" i="12"/>
  <c r="I687" i="12"/>
  <c r="I682" i="12"/>
  <c r="I676" i="12"/>
  <c r="I671" i="12"/>
  <c r="I666" i="12"/>
  <c r="I660" i="12"/>
  <c r="I655" i="12"/>
  <c r="I650" i="12"/>
  <c r="I644" i="12"/>
  <c r="I639" i="12"/>
  <c r="I634" i="12"/>
  <c r="I628" i="12"/>
  <c r="I623" i="12"/>
  <c r="I618" i="12"/>
  <c r="I612" i="12"/>
  <c r="I607" i="12"/>
  <c r="I602" i="12"/>
  <c r="I596" i="12"/>
  <c r="I591" i="12"/>
  <c r="I586" i="12"/>
  <c r="I580" i="12"/>
  <c r="I575" i="12"/>
  <c r="I570" i="12"/>
  <c r="I564" i="12"/>
  <c r="I559" i="12"/>
  <c r="I554" i="12"/>
  <c r="I548" i="12"/>
  <c r="I543" i="12"/>
  <c r="I538" i="12"/>
  <c r="I532" i="12"/>
  <c r="I527" i="12"/>
  <c r="I522" i="12"/>
  <c r="I516" i="12"/>
  <c r="I511" i="12"/>
  <c r="I506" i="12"/>
  <c r="I500" i="12"/>
  <c r="I495" i="12"/>
  <c r="I490" i="12"/>
  <c r="I484" i="12"/>
  <c r="I479" i="12"/>
  <c r="I474" i="12"/>
  <c r="I468" i="12"/>
  <c r="I463" i="12"/>
  <c r="I458" i="12"/>
  <c r="I452" i="12"/>
  <c r="I447" i="12"/>
  <c r="I442" i="12"/>
  <c r="I436" i="12"/>
  <c r="I431" i="12"/>
  <c r="I426" i="12"/>
  <c r="I420" i="12"/>
  <c r="I415" i="12"/>
  <c r="I410" i="12"/>
  <c r="I404" i="12"/>
  <c r="I399" i="12"/>
  <c r="I394" i="12"/>
  <c r="I388" i="12"/>
  <c r="I383" i="12"/>
  <c r="I378" i="12"/>
  <c r="I372" i="12"/>
  <c r="I367" i="12"/>
  <c r="I362" i="12"/>
  <c r="I356" i="12"/>
  <c r="I351" i="12"/>
  <c r="I346" i="12"/>
  <c r="I340" i="12"/>
  <c r="I335" i="12"/>
  <c r="I330" i="12"/>
  <c r="I324" i="12"/>
  <c r="I319" i="12"/>
  <c r="I314" i="12"/>
  <c r="I308" i="12"/>
  <c r="I303" i="12"/>
  <c r="I298" i="12"/>
  <c r="I292" i="12"/>
  <c r="I287" i="12"/>
  <c r="I282" i="12"/>
  <c r="I276" i="12"/>
  <c r="I271" i="12"/>
  <c r="I266" i="12"/>
  <c r="I260" i="12"/>
  <c r="I255" i="12"/>
  <c r="I250" i="12"/>
  <c r="I244" i="12"/>
  <c r="I239" i="12"/>
  <c r="I234" i="12"/>
  <c r="I228" i="12"/>
  <c r="I223" i="12"/>
  <c r="I218" i="12"/>
  <c r="I212" i="12"/>
  <c r="I207" i="12"/>
  <c r="I202" i="12"/>
  <c r="I196" i="12"/>
  <c r="I191" i="12"/>
  <c r="I186" i="12"/>
  <c r="I180" i="12"/>
  <c r="I175" i="12"/>
  <c r="I170" i="12"/>
  <c r="I164" i="12"/>
  <c r="I159" i="12"/>
  <c r="I154" i="12"/>
  <c r="I148" i="12"/>
  <c r="I143" i="12"/>
  <c r="I138" i="12"/>
  <c r="I132" i="12"/>
  <c r="I127" i="12"/>
  <c r="I122" i="12"/>
  <c r="I116" i="12"/>
  <c r="I111" i="12"/>
  <c r="I106" i="12"/>
  <c r="I100" i="12"/>
  <c r="I95" i="12"/>
  <c r="I90" i="12"/>
  <c r="I84" i="12"/>
  <c r="I79" i="12"/>
  <c r="I74" i="12"/>
  <c r="I68" i="12"/>
  <c r="I63" i="12"/>
  <c r="I58" i="12"/>
  <c r="I52" i="12"/>
  <c r="I47" i="12"/>
  <c r="I42" i="12"/>
  <c r="I36" i="12"/>
  <c r="I31" i="12"/>
  <c r="I26" i="12"/>
  <c r="I20" i="12"/>
  <c r="I15" i="12"/>
  <c r="I10" i="12"/>
  <c r="I4" i="12"/>
  <c r="I998" i="12"/>
  <c r="I987" i="12"/>
  <c r="I976" i="12"/>
  <c r="I966" i="12"/>
  <c r="I955" i="12"/>
  <c r="I944" i="12"/>
  <c r="I934" i="12"/>
  <c r="I923" i="12"/>
  <c r="I912" i="12"/>
  <c r="I902" i="12"/>
  <c r="I891" i="12"/>
  <c r="I880" i="12"/>
  <c r="I870" i="12"/>
  <c r="I859" i="12"/>
  <c r="I848" i="12"/>
  <c r="I838" i="12"/>
  <c r="I827" i="12"/>
  <c r="I816" i="12"/>
  <c r="I806" i="12"/>
  <c r="I795" i="12"/>
  <c r="I784" i="12"/>
  <c r="I774" i="12"/>
  <c r="I763" i="12"/>
  <c r="I752" i="12"/>
  <c r="I742" i="12"/>
  <c r="I731" i="12"/>
  <c r="I720" i="12"/>
  <c r="I710" i="12"/>
  <c r="I699" i="12"/>
  <c r="I688" i="12"/>
  <c r="I678" i="12"/>
  <c r="I667" i="12"/>
  <c r="I656" i="12"/>
  <c r="I646" i="12"/>
  <c r="I635" i="12"/>
  <c r="I624" i="12"/>
  <c r="I614" i="12"/>
  <c r="I603" i="12"/>
  <c r="I592" i="12"/>
  <c r="I582" i="12"/>
  <c r="I571" i="12"/>
  <c r="I560" i="12"/>
  <c r="I550" i="12"/>
  <c r="I539" i="12"/>
  <c r="I528" i="12"/>
  <c r="I518" i="12"/>
  <c r="I507" i="12"/>
  <c r="I496" i="12"/>
  <c r="I486" i="12"/>
  <c r="I475" i="12"/>
  <c r="I464" i="12"/>
  <c r="I454" i="12"/>
  <c r="I443" i="12"/>
  <c r="I432" i="12"/>
  <c r="I422" i="12"/>
  <c r="I411" i="12"/>
  <c r="I400" i="12"/>
  <c r="I390" i="12"/>
  <c r="I379" i="12"/>
  <c r="I368" i="12"/>
  <c r="I358" i="12"/>
  <c r="I347" i="12"/>
  <c r="I336" i="12"/>
  <c r="I326" i="12"/>
  <c r="I315" i="12"/>
  <c r="I304" i="12"/>
  <c r="I294" i="12"/>
  <c r="I283" i="12"/>
  <c r="I272" i="12"/>
  <c r="I262" i="12"/>
  <c r="I251" i="12"/>
  <c r="I240" i="12"/>
  <c r="I230" i="12"/>
  <c r="I219" i="12"/>
  <c r="I208" i="12"/>
  <c r="I198" i="12"/>
  <c r="I187" i="12"/>
  <c r="I176" i="12"/>
  <c r="I166" i="12"/>
  <c r="I155" i="12"/>
  <c r="I144" i="12"/>
  <c r="I134" i="12"/>
  <c r="I123" i="12"/>
  <c r="I112" i="12"/>
  <c r="I102" i="12"/>
  <c r="I91" i="12"/>
  <c r="I80" i="12"/>
  <c r="I70" i="12"/>
  <c r="I59" i="12"/>
  <c r="I48" i="12"/>
  <c r="I38" i="12"/>
  <c r="I27" i="12"/>
  <c r="I16" i="12"/>
  <c r="I6" i="12"/>
  <c r="I992" i="12"/>
  <c r="I982" i="12"/>
  <c r="I971" i="12"/>
  <c r="I960" i="12"/>
  <c r="I950" i="12"/>
  <c r="I939" i="12"/>
  <c r="I928" i="12"/>
  <c r="I918" i="12"/>
  <c r="I907" i="12"/>
  <c r="I896" i="12"/>
  <c r="I886" i="12"/>
  <c r="I875" i="12"/>
  <c r="I864" i="12"/>
  <c r="I854" i="12"/>
  <c r="I843" i="12"/>
  <c r="I832" i="12"/>
  <c r="I822" i="12"/>
  <c r="I811" i="12"/>
  <c r="I800" i="12"/>
  <c r="I790" i="12"/>
  <c r="I779" i="12"/>
  <c r="I768" i="12"/>
  <c r="I758" i="12"/>
  <c r="I747" i="12"/>
  <c r="I736" i="12"/>
  <c r="I726" i="12"/>
  <c r="I715" i="12"/>
  <c r="I704" i="12"/>
  <c r="I694" i="12"/>
  <c r="I683" i="12"/>
  <c r="I672" i="12"/>
  <c r="I662" i="12"/>
  <c r="I651" i="12"/>
  <c r="I640" i="12"/>
  <c r="I630" i="12"/>
  <c r="I619" i="12"/>
  <c r="I608" i="12"/>
  <c r="I598" i="12"/>
  <c r="I587" i="12"/>
  <c r="I576" i="12"/>
  <c r="I566" i="12"/>
  <c r="I555" i="12"/>
  <c r="I544" i="12"/>
  <c r="I534" i="12"/>
  <c r="I523" i="12"/>
  <c r="I512" i="12"/>
  <c r="I502" i="12"/>
  <c r="I491" i="12"/>
  <c r="I480" i="12"/>
  <c r="I470" i="12"/>
  <c r="I459" i="12"/>
  <c r="I448" i="12"/>
  <c r="I438" i="12"/>
  <c r="I427" i="12"/>
  <c r="I416" i="12"/>
  <c r="I406" i="12"/>
  <c r="I395" i="12"/>
  <c r="I384" i="12"/>
  <c r="I374" i="12"/>
  <c r="I363" i="12"/>
  <c r="I352" i="12"/>
  <c r="I342" i="12"/>
  <c r="I331" i="12"/>
  <c r="I320" i="12"/>
  <c r="I310" i="12"/>
  <c r="I299" i="12"/>
  <c r="I288" i="12"/>
  <c r="I278" i="12"/>
  <c r="I267" i="12"/>
  <c r="I256" i="12"/>
  <c r="I246" i="12"/>
  <c r="I235" i="12"/>
  <c r="I224" i="12"/>
  <c r="I214" i="12"/>
  <c r="I203" i="12"/>
  <c r="I192" i="12"/>
  <c r="I182" i="12"/>
  <c r="I171" i="12"/>
  <c r="I160" i="12"/>
  <c r="I150" i="12"/>
  <c r="I139" i="12"/>
  <c r="I128" i="12"/>
  <c r="I118" i="12"/>
  <c r="I107" i="12"/>
  <c r="I96" i="12"/>
  <c r="I86" i="12"/>
  <c r="I75" i="12"/>
  <c r="I64" i="12"/>
  <c r="I54" i="12"/>
  <c r="I43" i="12"/>
  <c r="I32" i="12"/>
  <c r="I22" i="12"/>
  <c r="I11" i="12"/>
  <c r="I1" i="12"/>
  <c r="I1000" i="12"/>
  <c r="I979" i="12"/>
  <c r="I958" i="12"/>
  <c r="I936" i="12"/>
  <c r="I915" i="12"/>
  <c r="I894" i="12"/>
  <c r="I872" i="12"/>
  <c r="I851" i="12"/>
  <c r="I830" i="12"/>
  <c r="I808" i="12"/>
  <c r="I787" i="12"/>
  <c r="I766" i="12"/>
  <c r="I744" i="12"/>
  <c r="I723" i="12"/>
  <c r="I702" i="12"/>
  <c r="I680" i="12"/>
  <c r="I659" i="12"/>
  <c r="I638" i="12"/>
  <c r="I616" i="12"/>
  <c r="I595" i="12"/>
  <c r="I574" i="12"/>
  <c r="I552" i="12"/>
  <c r="I531" i="12"/>
  <c r="I510" i="12"/>
  <c r="I488" i="12"/>
  <c r="I467" i="12"/>
  <c r="I446" i="12"/>
  <c r="I424" i="12"/>
  <c r="I403" i="12"/>
  <c r="I382" i="12"/>
  <c r="I360" i="12"/>
  <c r="I339" i="12"/>
  <c r="I318" i="12"/>
  <c r="I296" i="12"/>
  <c r="I275" i="12"/>
  <c r="I254" i="12"/>
  <c r="I232" i="12"/>
  <c r="I211" i="12"/>
  <c r="I190" i="12"/>
  <c r="I168" i="12"/>
  <c r="I147" i="12"/>
  <c r="I126" i="12"/>
  <c r="I104" i="12"/>
  <c r="I83" i="12"/>
  <c r="I62" i="12"/>
  <c r="I40" i="12"/>
  <c r="I19" i="12"/>
  <c r="I990" i="12"/>
  <c r="I968" i="12"/>
  <c r="I947" i="12"/>
  <c r="I926" i="12"/>
  <c r="I904" i="12"/>
  <c r="I883" i="12"/>
  <c r="I862" i="12"/>
  <c r="I840" i="12"/>
  <c r="I819" i="12"/>
  <c r="I798" i="12"/>
  <c r="I776" i="12"/>
  <c r="I755" i="12"/>
  <c r="I734" i="12"/>
  <c r="I712" i="12"/>
  <c r="I691" i="12"/>
  <c r="I670" i="12"/>
  <c r="I648" i="12"/>
  <c r="I627" i="12"/>
  <c r="I606" i="12"/>
  <c r="I584" i="12"/>
  <c r="I563" i="12"/>
  <c r="I542" i="12"/>
  <c r="I520" i="12"/>
  <c r="I499" i="12"/>
  <c r="I478" i="12"/>
  <c r="I456" i="12"/>
  <c r="I435" i="12"/>
  <c r="I414" i="12"/>
  <c r="I392" i="12"/>
  <c r="I371" i="12"/>
  <c r="I350" i="12"/>
  <c r="I328" i="12"/>
  <c r="I307" i="12"/>
  <c r="I286" i="12"/>
  <c r="I264" i="12"/>
  <c r="I243" i="12"/>
  <c r="I222" i="12"/>
  <c r="I200" i="12"/>
  <c r="I179" i="12"/>
  <c r="I158" i="12"/>
  <c r="I136" i="12"/>
  <c r="I115" i="12"/>
  <c r="I94" i="12"/>
  <c r="I72" i="12"/>
  <c r="I51" i="12"/>
  <c r="I30" i="12"/>
  <c r="I8" i="12"/>
  <c r="I974" i="12"/>
  <c r="I931" i="12"/>
  <c r="I888" i="12"/>
  <c r="I846" i="12"/>
  <c r="I803" i="12"/>
  <c r="I760" i="12"/>
  <c r="I718" i="12"/>
  <c r="I675" i="12"/>
  <c r="I632" i="12"/>
  <c r="I590" i="12"/>
  <c r="I547" i="12"/>
  <c r="I504" i="12"/>
  <c r="I462" i="12"/>
  <c r="I419" i="12"/>
  <c r="I376" i="12"/>
  <c r="I334" i="12"/>
  <c r="I291" i="12"/>
  <c r="I248" i="12"/>
  <c r="I206" i="12"/>
  <c r="I163" i="12"/>
  <c r="I120" i="12"/>
  <c r="I78" i="12"/>
  <c r="I35" i="12"/>
  <c r="I995" i="12"/>
  <c r="I952" i="12"/>
  <c r="I910" i="12"/>
  <c r="I867" i="12"/>
  <c r="I824" i="12"/>
  <c r="I782" i="12"/>
  <c r="I739" i="12"/>
  <c r="I696" i="12"/>
  <c r="I654" i="12"/>
  <c r="I611" i="12"/>
  <c r="I568" i="12"/>
  <c r="I526" i="12"/>
  <c r="I483" i="12"/>
  <c r="I440" i="12"/>
  <c r="I398" i="12"/>
  <c r="I355" i="12"/>
  <c r="I312" i="12"/>
  <c r="I270" i="12"/>
  <c r="I227" i="12"/>
  <c r="I184" i="12"/>
  <c r="I142" i="12"/>
  <c r="I99" i="12"/>
  <c r="I56" i="12"/>
  <c r="I14" i="12"/>
  <c r="I984" i="12"/>
  <c r="I942" i="12"/>
  <c r="I899" i="12"/>
  <c r="I856" i="12"/>
  <c r="I814" i="12"/>
  <c r="I771" i="12"/>
  <c r="I728" i="12"/>
  <c r="I686" i="12"/>
  <c r="I643" i="12"/>
  <c r="I600" i="12"/>
  <c r="I558" i="12"/>
  <c r="I515" i="12"/>
  <c r="I472" i="12"/>
  <c r="I430" i="12"/>
  <c r="I387" i="12"/>
  <c r="I344" i="12"/>
  <c r="I302" i="12"/>
  <c r="I259" i="12"/>
  <c r="I216" i="12"/>
  <c r="I174" i="12"/>
  <c r="I131" i="12"/>
  <c r="I88" i="12"/>
  <c r="I46" i="12"/>
  <c r="I3" i="12"/>
  <c r="I920" i="12"/>
  <c r="I750" i="12"/>
  <c r="I579" i="12"/>
  <c r="I408" i="12"/>
  <c r="I238" i="12"/>
  <c r="I67" i="12"/>
  <c r="I963" i="12"/>
  <c r="I792" i="12"/>
  <c r="I622" i="12"/>
  <c r="I451" i="12"/>
  <c r="I280" i="12"/>
  <c r="I110" i="12"/>
  <c r="I878" i="12"/>
  <c r="I707" i="12"/>
  <c r="I536" i="12"/>
  <c r="I366" i="12"/>
  <c r="I195" i="12"/>
  <c r="I24" i="12"/>
  <c r="I835" i="12"/>
  <c r="I664" i="12"/>
  <c r="I494" i="12"/>
  <c r="I323" i="12"/>
  <c r="I152" i="12"/>
  <c r="T1004" i="3"/>
  <c r="T1000" i="3"/>
  <c r="T996" i="3"/>
  <c r="T992" i="3"/>
  <c r="T988" i="3"/>
  <c r="T984" i="3"/>
  <c r="T980" i="3"/>
  <c r="T976" i="3"/>
  <c r="T972" i="3"/>
  <c r="T968" i="3"/>
  <c r="T964" i="3"/>
  <c r="T960" i="3"/>
  <c r="T956" i="3"/>
  <c r="T952" i="3"/>
  <c r="T948" i="3"/>
  <c r="T944" i="3"/>
  <c r="T940" i="3"/>
  <c r="T936" i="3"/>
  <c r="T932" i="3"/>
  <c r="T928" i="3"/>
  <c r="T924" i="3"/>
  <c r="T920" i="3"/>
  <c r="T916" i="3"/>
  <c r="T912" i="3"/>
  <c r="T908" i="3"/>
  <c r="T904" i="3"/>
  <c r="T900" i="3"/>
  <c r="T896" i="3"/>
  <c r="T892" i="3"/>
  <c r="T888" i="3"/>
  <c r="T884" i="3"/>
  <c r="T880" i="3"/>
  <c r="T876" i="3"/>
  <c r="T872" i="3"/>
  <c r="T868" i="3"/>
  <c r="T864" i="3"/>
  <c r="T860" i="3"/>
  <c r="T856" i="3"/>
  <c r="T852" i="3"/>
  <c r="T848" i="3"/>
  <c r="T844" i="3"/>
  <c r="T840" i="3"/>
  <c r="T836" i="3"/>
  <c r="T832" i="3"/>
  <c r="T828" i="3"/>
  <c r="T824" i="3"/>
  <c r="T820" i="3"/>
  <c r="T816" i="3"/>
  <c r="T812" i="3"/>
  <c r="T808" i="3"/>
  <c r="T804" i="3"/>
  <c r="T800" i="3"/>
  <c r="T796" i="3"/>
  <c r="T792" i="3"/>
  <c r="T788" i="3"/>
  <c r="T784" i="3"/>
  <c r="T780" i="3"/>
  <c r="T776" i="3"/>
  <c r="T772" i="3"/>
  <c r="T768" i="3"/>
  <c r="T764" i="3"/>
  <c r="T760" i="3"/>
  <c r="T756" i="3"/>
  <c r="T752" i="3"/>
  <c r="T748" i="3"/>
  <c r="T744" i="3"/>
  <c r="T740" i="3"/>
  <c r="T736" i="3"/>
  <c r="T732" i="3"/>
  <c r="T728" i="3"/>
  <c r="T724" i="3"/>
  <c r="T720" i="3"/>
  <c r="T716" i="3"/>
  <c r="T712" i="3"/>
  <c r="T708" i="3"/>
  <c r="T704" i="3"/>
  <c r="T700" i="3"/>
  <c r="T696" i="3"/>
  <c r="T692" i="3"/>
  <c r="T688" i="3"/>
  <c r="T684" i="3"/>
  <c r="T680" i="3"/>
  <c r="T676" i="3"/>
  <c r="T672" i="3"/>
  <c r="T668" i="3"/>
  <c r="T664" i="3"/>
  <c r="T660" i="3"/>
  <c r="T656" i="3"/>
  <c r="T652" i="3"/>
  <c r="T648" i="3"/>
  <c r="T644" i="3"/>
  <c r="T640" i="3"/>
  <c r="T636" i="3"/>
  <c r="T632" i="3"/>
  <c r="T628" i="3"/>
  <c r="T624" i="3"/>
  <c r="T620" i="3"/>
  <c r="T616" i="3"/>
  <c r="T612" i="3"/>
  <c r="T608" i="3"/>
  <c r="T604" i="3"/>
  <c r="T600" i="3"/>
  <c r="T596" i="3"/>
  <c r="T592" i="3"/>
  <c r="T588" i="3"/>
  <c r="T584" i="3"/>
  <c r="T580" i="3"/>
  <c r="T576" i="3"/>
  <c r="T572" i="3"/>
  <c r="T568" i="3"/>
  <c r="T564" i="3"/>
  <c r="T560" i="3"/>
  <c r="T556" i="3"/>
  <c r="T552" i="3"/>
  <c r="T548" i="3"/>
  <c r="T544" i="3"/>
  <c r="T540" i="3"/>
  <c r="T536" i="3"/>
  <c r="T532" i="3"/>
  <c r="T528" i="3"/>
  <c r="T524" i="3"/>
  <c r="T520" i="3"/>
  <c r="T516" i="3"/>
  <c r="T512" i="3"/>
  <c r="T508" i="3"/>
  <c r="T504" i="3"/>
  <c r="T500" i="3"/>
  <c r="T496" i="3"/>
  <c r="T492" i="3"/>
  <c r="T488" i="3"/>
  <c r="T484" i="3"/>
  <c r="T480" i="3"/>
  <c r="T476" i="3"/>
  <c r="T472" i="3"/>
  <c r="T468" i="3"/>
  <c r="T464" i="3"/>
  <c r="T460" i="3"/>
  <c r="T456" i="3"/>
  <c r="T452" i="3"/>
  <c r="T448" i="3"/>
  <c r="T444" i="3"/>
  <c r="T440" i="3"/>
  <c r="T436" i="3"/>
  <c r="T432" i="3"/>
  <c r="T428" i="3"/>
  <c r="T424" i="3"/>
  <c r="T420" i="3"/>
  <c r="T416" i="3"/>
  <c r="T412" i="3"/>
  <c r="T408" i="3"/>
  <c r="T404" i="3"/>
  <c r="T400" i="3"/>
  <c r="T396" i="3"/>
  <c r="T392" i="3"/>
  <c r="T388" i="3"/>
  <c r="T384" i="3"/>
  <c r="T380" i="3"/>
  <c r="T376" i="3"/>
  <c r="T372" i="3"/>
  <c r="T368" i="3"/>
  <c r="T364" i="3"/>
  <c r="T360" i="3"/>
  <c r="T356" i="3"/>
  <c r="T352" i="3"/>
  <c r="T348" i="3"/>
  <c r="T344" i="3"/>
  <c r="T340" i="3"/>
  <c r="T336" i="3"/>
  <c r="T332" i="3"/>
  <c r="T328" i="3"/>
  <c r="T324" i="3"/>
  <c r="T320" i="3"/>
  <c r="T316" i="3"/>
  <c r="T312" i="3"/>
  <c r="T308" i="3"/>
  <c r="T304" i="3"/>
  <c r="T300" i="3"/>
  <c r="T296" i="3"/>
  <c r="T292" i="3"/>
  <c r="T288" i="3"/>
  <c r="T284" i="3"/>
  <c r="T280" i="3"/>
  <c r="T276" i="3"/>
  <c r="T272" i="3"/>
  <c r="T268" i="3"/>
  <c r="T264" i="3"/>
  <c r="T260" i="3"/>
  <c r="T256" i="3"/>
  <c r="T252" i="3"/>
  <c r="T248" i="3"/>
  <c r="T244" i="3"/>
  <c r="T240" i="3"/>
  <c r="T236" i="3"/>
  <c r="T232" i="3"/>
  <c r="T228" i="3"/>
  <c r="T224" i="3"/>
  <c r="T220" i="3"/>
  <c r="T216" i="3"/>
  <c r="T212" i="3"/>
  <c r="T208" i="3"/>
  <c r="T204" i="3"/>
  <c r="T200" i="3"/>
  <c r="T196" i="3"/>
  <c r="T192" i="3"/>
  <c r="T188" i="3"/>
  <c r="T184" i="3"/>
  <c r="T180" i="3"/>
  <c r="T176" i="3"/>
  <c r="T172" i="3"/>
  <c r="T168" i="3"/>
  <c r="T164" i="3"/>
  <c r="T160" i="3"/>
  <c r="T156" i="3"/>
  <c r="T152" i="3"/>
  <c r="T148" i="3"/>
  <c r="T144" i="3"/>
  <c r="T140" i="3"/>
  <c r="T136" i="3"/>
  <c r="T132" i="3"/>
  <c r="T128" i="3"/>
  <c r="T124" i="3"/>
  <c r="T120" i="3"/>
  <c r="T116" i="3"/>
  <c r="T112" i="3"/>
  <c r="T108" i="3"/>
  <c r="T104" i="3"/>
  <c r="T100" i="3"/>
  <c r="T96" i="3"/>
  <c r="T92" i="3"/>
  <c r="T88" i="3"/>
  <c r="T84" i="3"/>
  <c r="T80" i="3"/>
  <c r="T76" i="3"/>
  <c r="T72" i="3"/>
  <c r="T68" i="3"/>
  <c r="T64" i="3"/>
  <c r="T60" i="3"/>
  <c r="T56" i="3"/>
  <c r="T52" i="3"/>
  <c r="T48" i="3"/>
  <c r="T44" i="3"/>
  <c r="T40" i="3"/>
  <c r="T36" i="3"/>
  <c r="T32" i="3"/>
  <c r="T28" i="3"/>
  <c r="T24" i="3"/>
  <c r="T20" i="3"/>
  <c r="T16" i="3"/>
  <c r="T12" i="3"/>
  <c r="T8" i="3"/>
  <c r="T999" i="3"/>
  <c r="T994" i="3"/>
  <c r="T989" i="3"/>
  <c r="T983" i="3"/>
  <c r="T978" i="3"/>
  <c r="T973" i="3"/>
  <c r="T967" i="3"/>
  <c r="T962" i="3"/>
  <c r="T957" i="3"/>
  <c r="T951" i="3"/>
  <c r="T946" i="3"/>
  <c r="T941" i="3"/>
  <c r="T935" i="3"/>
  <c r="T930" i="3"/>
  <c r="T925" i="3"/>
  <c r="T919" i="3"/>
  <c r="T914" i="3"/>
  <c r="T909" i="3"/>
  <c r="T903" i="3"/>
  <c r="T898" i="3"/>
  <c r="T893" i="3"/>
  <c r="T887" i="3"/>
  <c r="T882" i="3"/>
  <c r="T877" i="3"/>
  <c r="T871" i="3"/>
  <c r="T866" i="3"/>
  <c r="T861" i="3"/>
  <c r="T855" i="3"/>
  <c r="T850" i="3"/>
  <c r="T845" i="3"/>
  <c r="T839" i="3"/>
  <c r="T834" i="3"/>
  <c r="T829" i="3"/>
  <c r="T823" i="3"/>
  <c r="T818" i="3"/>
  <c r="T813" i="3"/>
  <c r="T807" i="3"/>
  <c r="T802" i="3"/>
  <c r="T797" i="3"/>
  <c r="T791" i="3"/>
  <c r="T786" i="3"/>
  <c r="T781" i="3"/>
  <c r="T775" i="3"/>
  <c r="T770" i="3"/>
  <c r="T765" i="3"/>
  <c r="T759" i="3"/>
  <c r="T754" i="3"/>
  <c r="T749" i="3"/>
  <c r="T743" i="3"/>
  <c r="T738" i="3"/>
  <c r="T733" i="3"/>
  <c r="T727" i="3"/>
  <c r="T722" i="3"/>
  <c r="T717" i="3"/>
  <c r="T711" i="3"/>
  <c r="T706" i="3"/>
  <c r="T701" i="3"/>
  <c r="T695" i="3"/>
  <c r="T690" i="3"/>
  <c r="T685" i="3"/>
  <c r="T679" i="3"/>
  <c r="T674" i="3"/>
  <c r="T669" i="3"/>
  <c r="T663" i="3"/>
  <c r="T658" i="3"/>
  <c r="T653" i="3"/>
  <c r="T647" i="3"/>
  <c r="T642" i="3"/>
  <c r="T637" i="3"/>
  <c r="T631" i="3"/>
  <c r="T626" i="3"/>
  <c r="T621" i="3"/>
  <c r="T615" i="3"/>
  <c r="T610" i="3"/>
  <c r="T605" i="3"/>
  <c r="T599" i="3"/>
  <c r="T594" i="3"/>
  <c r="T589" i="3"/>
  <c r="T583" i="3"/>
  <c r="T578" i="3"/>
  <c r="T573" i="3"/>
  <c r="T567" i="3"/>
  <c r="T562" i="3"/>
  <c r="T557" i="3"/>
  <c r="T551" i="3"/>
  <c r="T546" i="3"/>
  <c r="T541" i="3"/>
  <c r="T535" i="3"/>
  <c r="T530" i="3"/>
  <c r="T525" i="3"/>
  <c r="T519" i="3"/>
  <c r="T514" i="3"/>
  <c r="T509" i="3"/>
  <c r="T503" i="3"/>
  <c r="T498" i="3"/>
  <c r="T493" i="3"/>
  <c r="T487" i="3"/>
  <c r="T482" i="3"/>
  <c r="T477" i="3"/>
  <c r="T471" i="3"/>
  <c r="T466" i="3"/>
  <c r="T461" i="3"/>
  <c r="T455" i="3"/>
  <c r="T450" i="3"/>
  <c r="T445" i="3"/>
  <c r="T439" i="3"/>
  <c r="T434" i="3"/>
  <c r="T429" i="3"/>
  <c r="T423" i="3"/>
  <c r="T418" i="3"/>
  <c r="T413" i="3"/>
  <c r="T407" i="3"/>
  <c r="T402" i="3"/>
  <c r="T397" i="3"/>
  <c r="T391" i="3"/>
  <c r="T386" i="3"/>
  <c r="T381" i="3"/>
  <c r="T375" i="3"/>
  <c r="T370" i="3"/>
  <c r="T365" i="3"/>
  <c r="T359" i="3"/>
  <c r="T354" i="3"/>
  <c r="T349" i="3"/>
  <c r="T343" i="3"/>
  <c r="T338" i="3"/>
  <c r="T333" i="3"/>
  <c r="T327" i="3"/>
  <c r="T322" i="3"/>
  <c r="T317" i="3"/>
  <c r="T311" i="3"/>
  <c r="T306" i="3"/>
  <c r="T301" i="3"/>
  <c r="T295" i="3"/>
  <c r="T290" i="3"/>
  <c r="T285" i="3"/>
  <c r="T279" i="3"/>
  <c r="T274" i="3"/>
  <c r="T269" i="3"/>
  <c r="T263" i="3"/>
  <c r="T258" i="3"/>
  <c r="T253" i="3"/>
  <c r="T247" i="3"/>
  <c r="T242" i="3"/>
  <c r="T237" i="3"/>
  <c r="T231" i="3"/>
  <c r="T226" i="3"/>
  <c r="T221" i="3"/>
  <c r="T215" i="3"/>
  <c r="T210" i="3"/>
  <c r="T205" i="3"/>
  <c r="T199" i="3"/>
  <c r="T194" i="3"/>
  <c r="T189" i="3"/>
  <c r="T183" i="3"/>
  <c r="T178" i="3"/>
  <c r="T173" i="3"/>
  <c r="T167" i="3"/>
  <c r="T162" i="3"/>
  <c r="T157" i="3"/>
  <c r="T151" i="3"/>
  <c r="T146" i="3"/>
  <c r="T141" i="3"/>
  <c r="T135" i="3"/>
  <c r="T130" i="3"/>
  <c r="T125" i="3"/>
  <c r="T119" i="3"/>
  <c r="T114" i="3"/>
  <c r="T109" i="3"/>
  <c r="T103" i="3"/>
  <c r="T98" i="3"/>
  <c r="T93" i="3"/>
  <c r="T87" i="3"/>
  <c r="T82" i="3"/>
  <c r="T77" i="3"/>
  <c r="T71" i="3"/>
  <c r="T66" i="3"/>
  <c r="T61" i="3"/>
  <c r="T55" i="3"/>
  <c r="T50" i="3"/>
  <c r="T45" i="3"/>
  <c r="T39" i="3"/>
  <c r="T34" i="3"/>
  <c r="T29" i="3"/>
  <c r="T23" i="3"/>
  <c r="T18" i="3"/>
  <c r="T13" i="3"/>
  <c r="T7" i="3"/>
  <c r="T1002" i="3"/>
  <c r="T997" i="3"/>
  <c r="T991" i="3"/>
  <c r="T986" i="3"/>
  <c r="T981" i="3"/>
  <c r="T975" i="3"/>
  <c r="T970" i="3"/>
  <c r="T965" i="3"/>
  <c r="T959" i="3"/>
  <c r="T954" i="3"/>
  <c r="T949" i="3"/>
  <c r="T943" i="3"/>
  <c r="T938" i="3"/>
  <c r="T933" i="3"/>
  <c r="T927" i="3"/>
  <c r="T922" i="3"/>
  <c r="T917" i="3"/>
  <c r="T911" i="3"/>
  <c r="T906" i="3"/>
  <c r="T901" i="3"/>
  <c r="T895" i="3"/>
  <c r="T890" i="3"/>
  <c r="T885" i="3"/>
  <c r="T879" i="3"/>
  <c r="T874" i="3"/>
  <c r="T869" i="3"/>
  <c r="T863" i="3"/>
  <c r="T858" i="3"/>
  <c r="T853" i="3"/>
  <c r="T847" i="3"/>
  <c r="T842" i="3"/>
  <c r="T837" i="3"/>
  <c r="T831" i="3"/>
  <c r="T826" i="3"/>
  <c r="T821" i="3"/>
  <c r="T815" i="3"/>
  <c r="T810" i="3"/>
  <c r="T805" i="3"/>
  <c r="T799" i="3"/>
  <c r="T794" i="3"/>
  <c r="T789" i="3"/>
  <c r="T783" i="3"/>
  <c r="T778" i="3"/>
  <c r="T773" i="3"/>
  <c r="T767" i="3"/>
  <c r="T762" i="3"/>
  <c r="T757" i="3"/>
  <c r="T751" i="3"/>
  <c r="T746" i="3"/>
  <c r="T741" i="3"/>
  <c r="T735" i="3"/>
  <c r="T730" i="3"/>
  <c r="T725" i="3"/>
  <c r="T719" i="3"/>
  <c r="T714" i="3"/>
  <c r="T709" i="3"/>
  <c r="T703" i="3"/>
  <c r="T698" i="3"/>
  <c r="T693" i="3"/>
  <c r="T687" i="3"/>
  <c r="T682" i="3"/>
  <c r="T677" i="3"/>
  <c r="T671" i="3"/>
  <c r="T666" i="3"/>
  <c r="T661" i="3"/>
  <c r="T655" i="3"/>
  <c r="T650" i="3"/>
  <c r="T645" i="3"/>
  <c r="T639" i="3"/>
  <c r="T634" i="3"/>
  <c r="T629" i="3"/>
  <c r="T623" i="3"/>
  <c r="T618" i="3"/>
  <c r="T613" i="3"/>
  <c r="T607" i="3"/>
  <c r="T602" i="3"/>
  <c r="T597" i="3"/>
  <c r="T591" i="3"/>
  <c r="T586" i="3"/>
  <c r="T581" i="3"/>
  <c r="T575" i="3"/>
  <c r="T570" i="3"/>
  <c r="T565" i="3"/>
  <c r="T559" i="3"/>
  <c r="T554" i="3"/>
  <c r="T549" i="3"/>
  <c r="T543" i="3"/>
  <c r="T538" i="3"/>
  <c r="T533" i="3"/>
  <c r="T527" i="3"/>
  <c r="T522" i="3"/>
  <c r="T517" i="3"/>
  <c r="T511" i="3"/>
  <c r="T506" i="3"/>
  <c r="T501" i="3"/>
  <c r="T495" i="3"/>
  <c r="T490" i="3"/>
  <c r="T485" i="3"/>
  <c r="T479" i="3"/>
  <c r="T474" i="3"/>
  <c r="T469" i="3"/>
  <c r="T463" i="3"/>
  <c r="T458" i="3"/>
  <c r="T453" i="3"/>
  <c r="T447" i="3"/>
  <c r="T442" i="3"/>
  <c r="T437" i="3"/>
  <c r="T431" i="3"/>
  <c r="T426" i="3"/>
  <c r="T421" i="3"/>
  <c r="T415" i="3"/>
  <c r="T410" i="3"/>
  <c r="T405" i="3"/>
  <c r="T399" i="3"/>
  <c r="T394" i="3"/>
  <c r="T389" i="3"/>
  <c r="T383" i="3"/>
  <c r="T378" i="3"/>
  <c r="T373" i="3"/>
  <c r="T367" i="3"/>
  <c r="T362" i="3"/>
  <c r="T357" i="3"/>
  <c r="T351" i="3"/>
  <c r="T346" i="3"/>
  <c r="T341" i="3"/>
  <c r="T335" i="3"/>
  <c r="T330" i="3"/>
  <c r="T325" i="3"/>
  <c r="T319" i="3"/>
  <c r="T314" i="3"/>
  <c r="T309" i="3"/>
  <c r="T303" i="3"/>
  <c r="T298" i="3"/>
  <c r="T293" i="3"/>
  <c r="T287" i="3"/>
  <c r="T282" i="3"/>
  <c r="T277" i="3"/>
  <c r="T271" i="3"/>
  <c r="T266" i="3"/>
  <c r="T261" i="3"/>
  <c r="T255" i="3"/>
  <c r="T250" i="3"/>
  <c r="T245" i="3"/>
  <c r="T239" i="3"/>
  <c r="T234" i="3"/>
  <c r="T229" i="3"/>
  <c r="T223" i="3"/>
  <c r="T218" i="3"/>
  <c r="T213" i="3"/>
  <c r="T207" i="3"/>
  <c r="T202" i="3"/>
  <c r="T197" i="3"/>
  <c r="T191" i="3"/>
  <c r="T186" i="3"/>
  <c r="T181" i="3"/>
  <c r="T175" i="3"/>
  <c r="T170" i="3"/>
  <c r="T165" i="3"/>
  <c r="T159" i="3"/>
  <c r="T154" i="3"/>
  <c r="T149" i="3"/>
  <c r="T143" i="3"/>
  <c r="T138" i="3"/>
  <c r="T133" i="3"/>
  <c r="T127" i="3"/>
  <c r="T122" i="3"/>
  <c r="T117" i="3"/>
  <c r="T111" i="3"/>
  <c r="T106" i="3"/>
  <c r="T101" i="3"/>
  <c r="T95" i="3"/>
  <c r="T90" i="3"/>
  <c r="T85" i="3"/>
  <c r="T79" i="3"/>
  <c r="T74" i="3"/>
  <c r="T69" i="3"/>
  <c r="T63" i="3"/>
  <c r="T58" i="3"/>
  <c r="T53" i="3"/>
  <c r="T47" i="3"/>
  <c r="T42" i="3"/>
  <c r="T37" i="3"/>
  <c r="T31" i="3"/>
  <c r="T26" i="3"/>
  <c r="T21" i="3"/>
  <c r="T15" i="3"/>
  <c r="T10" i="3"/>
  <c r="T6" i="3"/>
  <c r="T1001" i="3"/>
  <c r="T995" i="3"/>
  <c r="T990" i="3"/>
  <c r="T985" i="3"/>
  <c r="T979" i="3"/>
  <c r="T974" i="3"/>
  <c r="T969" i="3"/>
  <c r="T963" i="3"/>
  <c r="T958" i="3"/>
  <c r="T953" i="3"/>
  <c r="T947" i="3"/>
  <c r="T942" i="3"/>
  <c r="T937" i="3"/>
  <c r="T931" i="3"/>
  <c r="T926" i="3"/>
  <c r="T921" i="3"/>
  <c r="T915" i="3"/>
  <c r="T910" i="3"/>
  <c r="T905" i="3"/>
  <c r="T899" i="3"/>
  <c r="T894" i="3"/>
  <c r="T889" i="3"/>
  <c r="T883" i="3"/>
  <c r="T878" i="3"/>
  <c r="T873" i="3"/>
  <c r="T867" i="3"/>
  <c r="T862" i="3"/>
  <c r="T857" i="3"/>
  <c r="T851" i="3"/>
  <c r="T846" i="3"/>
  <c r="T841" i="3"/>
  <c r="T835" i="3"/>
  <c r="T830" i="3"/>
  <c r="T825" i="3"/>
  <c r="T819" i="3"/>
  <c r="T814" i="3"/>
  <c r="T809" i="3"/>
  <c r="T803" i="3"/>
  <c r="T798" i="3"/>
  <c r="T793" i="3"/>
  <c r="T787" i="3"/>
  <c r="T782" i="3"/>
  <c r="T777" i="3"/>
  <c r="T771" i="3"/>
  <c r="T766" i="3"/>
  <c r="T761" i="3"/>
  <c r="T755" i="3"/>
  <c r="T750" i="3"/>
  <c r="T745" i="3"/>
  <c r="T739" i="3"/>
  <c r="T734" i="3"/>
  <c r="T729" i="3"/>
  <c r="T723" i="3"/>
  <c r="T718" i="3"/>
  <c r="T713" i="3"/>
  <c r="T707" i="3"/>
  <c r="T702" i="3"/>
  <c r="T697" i="3"/>
  <c r="T691" i="3"/>
  <c r="T686" i="3"/>
  <c r="T681" i="3"/>
  <c r="T675" i="3"/>
  <c r="T670" i="3"/>
  <c r="T665" i="3"/>
  <c r="T659" i="3"/>
  <c r="T654" i="3"/>
  <c r="T649" i="3"/>
  <c r="T643" i="3"/>
  <c r="T638" i="3"/>
  <c r="T633" i="3"/>
  <c r="T627" i="3"/>
  <c r="T622" i="3"/>
  <c r="T617" i="3"/>
  <c r="T611" i="3"/>
  <c r="T606" i="3"/>
  <c r="T601" i="3"/>
  <c r="T595" i="3"/>
  <c r="T590" i="3"/>
  <c r="T585" i="3"/>
  <c r="T579" i="3"/>
  <c r="T574" i="3"/>
  <c r="T569" i="3"/>
  <c r="T563" i="3"/>
  <c r="T558" i="3"/>
  <c r="T553" i="3"/>
  <c r="T547" i="3"/>
  <c r="T542" i="3"/>
  <c r="T537" i="3"/>
  <c r="T531" i="3"/>
  <c r="T526" i="3"/>
  <c r="T521" i="3"/>
  <c r="T515" i="3"/>
  <c r="T510" i="3"/>
  <c r="T505" i="3"/>
  <c r="T499" i="3"/>
  <c r="T494" i="3"/>
  <c r="T489" i="3"/>
  <c r="T483" i="3"/>
  <c r="T478" i="3"/>
  <c r="T473" i="3"/>
  <c r="T467" i="3"/>
  <c r="T462" i="3"/>
  <c r="T457" i="3"/>
  <c r="T451" i="3"/>
  <c r="T446" i="3"/>
  <c r="T441" i="3"/>
  <c r="T435" i="3"/>
  <c r="T430" i="3"/>
  <c r="T425" i="3"/>
  <c r="T419" i="3"/>
  <c r="T414" i="3"/>
  <c r="T409" i="3"/>
  <c r="T403" i="3"/>
  <c r="T398" i="3"/>
  <c r="T393" i="3"/>
  <c r="T387" i="3"/>
  <c r="T382" i="3"/>
  <c r="T377" i="3"/>
  <c r="T371" i="3"/>
  <c r="T366" i="3"/>
  <c r="T361" i="3"/>
  <c r="T355" i="3"/>
  <c r="T350" i="3"/>
  <c r="T345" i="3"/>
  <c r="T339" i="3"/>
  <c r="T334" i="3"/>
  <c r="T329" i="3"/>
  <c r="T323" i="3"/>
  <c r="T318" i="3"/>
  <c r="T313" i="3"/>
  <c r="T307" i="3"/>
  <c r="T302" i="3"/>
  <c r="T297" i="3"/>
  <c r="T291" i="3"/>
  <c r="T286" i="3"/>
  <c r="T281" i="3"/>
  <c r="T275" i="3"/>
  <c r="T270" i="3"/>
  <c r="T265" i="3"/>
  <c r="T259" i="3"/>
  <c r="T254" i="3"/>
  <c r="T249" i="3"/>
  <c r="T243" i="3"/>
  <c r="T238" i="3"/>
  <c r="T233" i="3"/>
  <c r="T227" i="3"/>
  <c r="T222" i="3"/>
  <c r="T217" i="3"/>
  <c r="T211" i="3"/>
  <c r="T206" i="3"/>
  <c r="T201" i="3"/>
  <c r="T195" i="3"/>
  <c r="T190" i="3"/>
  <c r="T185" i="3"/>
  <c r="T179" i="3"/>
  <c r="T174" i="3"/>
  <c r="T169" i="3"/>
  <c r="T163" i="3"/>
  <c r="T158" i="3"/>
  <c r="T153" i="3"/>
  <c r="T147" i="3"/>
  <c r="T142" i="3"/>
  <c r="T137" i="3"/>
  <c r="T131" i="3"/>
  <c r="T126" i="3"/>
  <c r="T121" i="3"/>
  <c r="T115" i="3"/>
  <c r="T110" i="3"/>
  <c r="T105" i="3"/>
  <c r="T99" i="3"/>
  <c r="T94" i="3"/>
  <c r="T89" i="3"/>
  <c r="T83" i="3"/>
  <c r="T78" i="3"/>
  <c r="T73" i="3"/>
  <c r="T67" i="3"/>
  <c r="T62" i="3"/>
  <c r="T57" i="3"/>
  <c r="T51" i="3"/>
  <c r="T46" i="3"/>
  <c r="T41" i="3"/>
  <c r="T35" i="3"/>
  <c r="T30" i="3"/>
  <c r="T25" i="3"/>
  <c r="T19" i="3"/>
  <c r="T14" i="3"/>
  <c r="T9" i="3"/>
  <c r="T1003" i="3"/>
  <c r="T982" i="3"/>
  <c r="T961" i="3"/>
  <c r="T939" i="3"/>
  <c r="T918" i="3"/>
  <c r="T897" i="3"/>
  <c r="T875" i="3"/>
  <c r="T854" i="3"/>
  <c r="T833" i="3"/>
  <c r="T811" i="3"/>
  <c r="T790" i="3"/>
  <c r="T769" i="3"/>
  <c r="T747" i="3"/>
  <c r="T726" i="3"/>
  <c r="T705" i="3"/>
  <c r="T683" i="3"/>
  <c r="T662" i="3"/>
  <c r="T641" i="3"/>
  <c r="T619" i="3"/>
  <c r="T598" i="3"/>
  <c r="T577" i="3"/>
  <c r="T555" i="3"/>
  <c r="T534" i="3"/>
  <c r="T513" i="3"/>
  <c r="T491" i="3"/>
  <c r="T470" i="3"/>
  <c r="T449" i="3"/>
  <c r="T427" i="3"/>
  <c r="T406" i="3"/>
  <c r="T385" i="3"/>
  <c r="T363" i="3"/>
  <c r="T342" i="3"/>
  <c r="T321" i="3"/>
  <c r="T299" i="3"/>
  <c r="T278" i="3"/>
  <c r="T257" i="3"/>
  <c r="T235" i="3"/>
  <c r="T214" i="3"/>
  <c r="T193" i="3"/>
  <c r="T171" i="3"/>
  <c r="T150" i="3"/>
  <c r="T129" i="3"/>
  <c r="T107" i="3"/>
  <c r="T86" i="3"/>
  <c r="T65" i="3"/>
  <c r="T43" i="3"/>
  <c r="T22" i="3"/>
  <c r="T998" i="3"/>
  <c r="T977" i="3"/>
  <c r="T955" i="3"/>
  <c r="T934" i="3"/>
  <c r="T913" i="3"/>
  <c r="T891" i="3"/>
  <c r="T870" i="3"/>
  <c r="T849" i="3"/>
  <c r="T827" i="3"/>
  <c r="T806" i="3"/>
  <c r="T785" i="3"/>
  <c r="T763" i="3"/>
  <c r="T742" i="3"/>
  <c r="T721" i="3"/>
  <c r="T699" i="3"/>
  <c r="T678" i="3"/>
  <c r="T657" i="3"/>
  <c r="T635" i="3"/>
  <c r="T614" i="3"/>
  <c r="T593" i="3"/>
  <c r="T571" i="3"/>
  <c r="T550" i="3"/>
  <c r="T529" i="3"/>
  <c r="T507" i="3"/>
  <c r="T486" i="3"/>
  <c r="T465" i="3"/>
  <c r="T443" i="3"/>
  <c r="T422" i="3"/>
  <c r="T401" i="3"/>
  <c r="T379" i="3"/>
  <c r="T358" i="3"/>
  <c r="T337" i="3"/>
  <c r="T315" i="3"/>
  <c r="T294" i="3"/>
  <c r="T273" i="3"/>
  <c r="T251" i="3"/>
  <c r="T230" i="3"/>
  <c r="T209" i="3"/>
  <c r="T187" i="3"/>
  <c r="T166" i="3"/>
  <c r="T145" i="3"/>
  <c r="T123" i="3"/>
  <c r="T102" i="3"/>
  <c r="T81" i="3"/>
  <c r="T59" i="3"/>
  <c r="T38" i="3"/>
  <c r="T17" i="3"/>
  <c r="T987" i="3"/>
  <c r="T966" i="3"/>
  <c r="T945" i="3"/>
  <c r="T923" i="3"/>
  <c r="T902" i="3"/>
  <c r="T881" i="3"/>
  <c r="T859" i="3"/>
  <c r="T838" i="3"/>
  <c r="T817" i="3"/>
  <c r="T795" i="3"/>
  <c r="T774" i="3"/>
  <c r="T753" i="3"/>
  <c r="T731" i="3"/>
  <c r="T710" i="3"/>
  <c r="T689" i="3"/>
  <c r="T667" i="3"/>
  <c r="T646" i="3"/>
  <c r="T625" i="3"/>
  <c r="T603" i="3"/>
  <c r="T582" i="3"/>
  <c r="T561" i="3"/>
  <c r="T539" i="3"/>
  <c r="T518" i="3"/>
  <c r="T497" i="3"/>
  <c r="T475" i="3"/>
  <c r="T454" i="3"/>
  <c r="T433" i="3"/>
  <c r="T411" i="3"/>
  <c r="T390" i="3"/>
  <c r="T369" i="3"/>
  <c r="T347" i="3"/>
  <c r="T326" i="3"/>
  <c r="T305" i="3"/>
  <c r="T283" i="3"/>
  <c r="T262" i="3"/>
  <c r="T241" i="3"/>
  <c r="T219" i="3"/>
  <c r="T198" i="3"/>
  <c r="T177" i="3"/>
  <c r="T155" i="3"/>
  <c r="T134" i="3"/>
  <c r="T113" i="3"/>
  <c r="T91" i="3"/>
  <c r="T70" i="3"/>
  <c r="T49" i="3"/>
  <c r="T27" i="3"/>
  <c r="T993" i="3"/>
  <c r="T971" i="3"/>
  <c r="T950" i="3"/>
  <c r="T929" i="3"/>
  <c r="T907" i="3"/>
  <c r="T886" i="3"/>
  <c r="T865" i="3"/>
  <c r="T843" i="3"/>
  <c r="T822" i="3"/>
  <c r="T801" i="3"/>
  <c r="T779" i="3"/>
  <c r="T758" i="3"/>
  <c r="T737" i="3"/>
  <c r="T715" i="3"/>
  <c r="T694" i="3"/>
  <c r="T673" i="3"/>
  <c r="T651" i="3"/>
  <c r="T630" i="3"/>
  <c r="T609" i="3"/>
  <c r="T587" i="3"/>
  <c r="T566" i="3"/>
  <c r="T545" i="3"/>
  <c r="T523" i="3"/>
  <c r="T502" i="3"/>
  <c r="T481" i="3"/>
  <c r="T459" i="3"/>
  <c r="T438" i="3"/>
  <c r="T417" i="3"/>
  <c r="T395" i="3"/>
  <c r="T374" i="3"/>
  <c r="T353" i="3"/>
  <c r="T331" i="3"/>
  <c r="T310" i="3"/>
  <c r="T289" i="3"/>
  <c r="T267" i="3"/>
  <c r="T246" i="3"/>
  <c r="T225" i="3"/>
  <c r="T203" i="3"/>
  <c r="T182" i="3"/>
  <c r="T161" i="3"/>
  <c r="T139" i="3"/>
  <c r="T118" i="3"/>
  <c r="T97" i="3"/>
  <c r="T75" i="3"/>
  <c r="T54" i="3"/>
  <c r="T33" i="3"/>
  <c r="T11" i="3"/>
  <c r="U1004" i="3"/>
  <c r="U1000" i="3"/>
  <c r="U996" i="3"/>
  <c r="U992" i="3"/>
  <c r="U988" i="3"/>
  <c r="U984" i="3"/>
  <c r="U980" i="3"/>
  <c r="U976" i="3"/>
  <c r="U972" i="3"/>
  <c r="U968" i="3"/>
  <c r="U964" i="3"/>
  <c r="U960" i="3"/>
  <c r="U956" i="3"/>
  <c r="U952" i="3"/>
  <c r="U948" i="3"/>
  <c r="U944" i="3"/>
  <c r="U940" i="3"/>
  <c r="U936" i="3"/>
  <c r="U932" i="3"/>
  <c r="U928" i="3"/>
  <c r="U924" i="3"/>
  <c r="U920" i="3"/>
  <c r="U916" i="3"/>
  <c r="U912" i="3"/>
  <c r="U908" i="3"/>
  <c r="U904" i="3"/>
  <c r="U900" i="3"/>
  <c r="U896" i="3"/>
  <c r="U892" i="3"/>
  <c r="U888" i="3"/>
  <c r="U884" i="3"/>
  <c r="U880" i="3"/>
  <c r="U876" i="3"/>
  <c r="U872" i="3"/>
  <c r="U868" i="3"/>
  <c r="U864" i="3"/>
  <c r="U860" i="3"/>
  <c r="U856" i="3"/>
  <c r="U852" i="3"/>
  <c r="U848" i="3"/>
  <c r="U844" i="3"/>
  <c r="U840" i="3"/>
  <c r="U836" i="3"/>
  <c r="U832" i="3"/>
  <c r="U828" i="3"/>
  <c r="U824" i="3"/>
  <c r="U820" i="3"/>
  <c r="U816" i="3"/>
  <c r="U812" i="3"/>
  <c r="U808" i="3"/>
  <c r="U804" i="3"/>
  <c r="U800" i="3"/>
  <c r="U796" i="3"/>
  <c r="U792" i="3"/>
  <c r="U788" i="3"/>
  <c r="U784" i="3"/>
  <c r="U780" i="3"/>
  <c r="U776" i="3"/>
  <c r="U772" i="3"/>
  <c r="U768" i="3"/>
  <c r="U764" i="3"/>
  <c r="U760" i="3"/>
  <c r="U756" i="3"/>
  <c r="U752" i="3"/>
  <c r="U748" i="3"/>
  <c r="U744" i="3"/>
  <c r="U740" i="3"/>
  <c r="U736" i="3"/>
  <c r="U732" i="3"/>
  <c r="U728" i="3"/>
  <c r="U724" i="3"/>
  <c r="U720" i="3"/>
  <c r="U716" i="3"/>
  <c r="U712" i="3"/>
  <c r="U708" i="3"/>
  <c r="U704" i="3"/>
  <c r="U700" i="3"/>
  <c r="U696" i="3"/>
  <c r="U692" i="3"/>
  <c r="U688" i="3"/>
  <c r="U684" i="3"/>
  <c r="U680" i="3"/>
  <c r="U676" i="3"/>
  <c r="U672" i="3"/>
  <c r="U668" i="3"/>
  <c r="U664" i="3"/>
  <c r="U660" i="3"/>
  <c r="U656" i="3"/>
  <c r="U652" i="3"/>
  <c r="U648" i="3"/>
  <c r="U644" i="3"/>
  <c r="U640" i="3"/>
  <c r="U636" i="3"/>
  <c r="U632" i="3"/>
  <c r="U628" i="3"/>
  <c r="U624" i="3"/>
  <c r="U620" i="3"/>
  <c r="U616" i="3"/>
  <c r="U612" i="3"/>
  <c r="U608" i="3"/>
  <c r="U604" i="3"/>
  <c r="U600" i="3"/>
  <c r="U596" i="3"/>
  <c r="U592" i="3"/>
  <c r="U588" i="3"/>
  <c r="U584" i="3"/>
  <c r="U580" i="3"/>
  <c r="U576" i="3"/>
  <c r="U572" i="3"/>
  <c r="U568" i="3"/>
  <c r="U564" i="3"/>
  <c r="U560" i="3"/>
  <c r="U556" i="3"/>
  <c r="U552" i="3"/>
  <c r="U548" i="3"/>
  <c r="U544" i="3"/>
  <c r="U540" i="3"/>
  <c r="U536" i="3"/>
  <c r="U532" i="3"/>
  <c r="U528" i="3"/>
  <c r="U524" i="3"/>
  <c r="U520" i="3"/>
  <c r="U516" i="3"/>
  <c r="U512" i="3"/>
  <c r="U508" i="3"/>
  <c r="U504" i="3"/>
  <c r="U500" i="3"/>
  <c r="U496" i="3"/>
  <c r="U492" i="3"/>
  <c r="U488" i="3"/>
  <c r="U484" i="3"/>
  <c r="U480" i="3"/>
  <c r="U476" i="3"/>
  <c r="U472" i="3"/>
  <c r="U468" i="3"/>
  <c r="U464" i="3"/>
  <c r="U460" i="3"/>
  <c r="U456" i="3"/>
  <c r="U452" i="3"/>
  <c r="U448" i="3"/>
  <c r="U444" i="3"/>
  <c r="U440" i="3"/>
  <c r="U436" i="3"/>
  <c r="U432" i="3"/>
  <c r="U428" i="3"/>
  <c r="U424" i="3"/>
  <c r="U420" i="3"/>
  <c r="U416" i="3"/>
  <c r="U412" i="3"/>
  <c r="U408" i="3"/>
  <c r="U404" i="3"/>
  <c r="U400" i="3"/>
  <c r="U396" i="3"/>
  <c r="U392" i="3"/>
  <c r="U388" i="3"/>
  <c r="U384" i="3"/>
  <c r="U380" i="3"/>
  <c r="U376" i="3"/>
  <c r="U372" i="3"/>
  <c r="U368" i="3"/>
  <c r="U364" i="3"/>
  <c r="U360" i="3"/>
  <c r="U356" i="3"/>
  <c r="U352" i="3"/>
  <c r="U348" i="3"/>
  <c r="U344" i="3"/>
  <c r="U340" i="3"/>
  <c r="U336" i="3"/>
  <c r="U332" i="3"/>
  <c r="U328" i="3"/>
  <c r="U324" i="3"/>
  <c r="U320" i="3"/>
  <c r="U316" i="3"/>
  <c r="U312" i="3"/>
  <c r="U308" i="3"/>
  <c r="U304" i="3"/>
  <c r="U300" i="3"/>
  <c r="U296" i="3"/>
  <c r="U292" i="3"/>
  <c r="U288" i="3"/>
  <c r="U284" i="3"/>
  <c r="U280" i="3"/>
  <c r="U276" i="3"/>
  <c r="U272" i="3"/>
  <c r="U268" i="3"/>
  <c r="U264" i="3"/>
  <c r="U260" i="3"/>
  <c r="U256" i="3"/>
  <c r="U252" i="3"/>
  <c r="U248" i="3"/>
  <c r="U244" i="3"/>
  <c r="U240" i="3"/>
  <c r="U236" i="3"/>
  <c r="U232" i="3"/>
  <c r="U228" i="3"/>
  <c r="U224" i="3"/>
  <c r="U220" i="3"/>
  <c r="U216" i="3"/>
  <c r="U212" i="3"/>
  <c r="U208" i="3"/>
  <c r="U204" i="3"/>
  <c r="U200" i="3"/>
  <c r="U196" i="3"/>
  <c r="U192" i="3"/>
  <c r="U188" i="3"/>
  <c r="U184" i="3"/>
  <c r="U180" i="3"/>
  <c r="U176" i="3"/>
  <c r="U172" i="3"/>
  <c r="U168" i="3"/>
  <c r="U164" i="3"/>
  <c r="U160" i="3"/>
  <c r="U156" i="3"/>
  <c r="U152" i="3"/>
  <c r="U148" i="3"/>
  <c r="U144" i="3"/>
  <c r="U140" i="3"/>
  <c r="U136" i="3"/>
  <c r="U132" i="3"/>
  <c r="U128" i="3"/>
  <c r="U124" i="3"/>
  <c r="U120" i="3"/>
  <c r="U116" i="3"/>
  <c r="U112" i="3"/>
  <c r="U108" i="3"/>
  <c r="U104" i="3"/>
  <c r="U100" i="3"/>
  <c r="U96" i="3"/>
  <c r="U92" i="3"/>
  <c r="U88" i="3"/>
  <c r="U84" i="3"/>
  <c r="U80" i="3"/>
  <c r="U76" i="3"/>
  <c r="U72" i="3"/>
  <c r="U68" i="3"/>
  <c r="U64" i="3"/>
  <c r="U60" i="3"/>
  <c r="U56" i="3"/>
  <c r="U52" i="3"/>
  <c r="U48" i="3"/>
  <c r="U44" i="3"/>
  <c r="U40" i="3"/>
  <c r="U36" i="3"/>
  <c r="U32" i="3"/>
  <c r="U28" i="3"/>
  <c r="U24" i="3"/>
  <c r="U20" i="3"/>
  <c r="U16" i="3"/>
  <c r="U12" i="3"/>
  <c r="U8" i="3"/>
  <c r="U1002" i="3"/>
  <c r="U997" i="3"/>
  <c r="U991" i="3"/>
  <c r="U986" i="3"/>
  <c r="U981" i="3"/>
  <c r="U975" i="3"/>
  <c r="U970" i="3"/>
  <c r="U965" i="3"/>
  <c r="U959" i="3"/>
  <c r="U954" i="3"/>
  <c r="U949" i="3"/>
  <c r="U943" i="3"/>
  <c r="U938" i="3"/>
  <c r="U933" i="3"/>
  <c r="U927" i="3"/>
  <c r="U922" i="3"/>
  <c r="U917" i="3"/>
  <c r="U911" i="3"/>
  <c r="U906" i="3"/>
  <c r="U901" i="3"/>
  <c r="U895" i="3"/>
  <c r="U890" i="3"/>
  <c r="U885" i="3"/>
  <c r="U879" i="3"/>
  <c r="U874" i="3"/>
  <c r="U869" i="3"/>
  <c r="U863" i="3"/>
  <c r="U858" i="3"/>
  <c r="U853" i="3"/>
  <c r="U847" i="3"/>
  <c r="U842" i="3"/>
  <c r="U837" i="3"/>
  <c r="U831" i="3"/>
  <c r="U826" i="3"/>
  <c r="U821" i="3"/>
  <c r="U815" i="3"/>
  <c r="U810" i="3"/>
  <c r="U805" i="3"/>
  <c r="U799" i="3"/>
  <c r="U794" i="3"/>
  <c r="U789" i="3"/>
  <c r="U783" i="3"/>
  <c r="U778" i="3"/>
  <c r="U773" i="3"/>
  <c r="U767" i="3"/>
  <c r="U762" i="3"/>
  <c r="U757" i="3"/>
  <c r="U751" i="3"/>
  <c r="U746" i="3"/>
  <c r="U741" i="3"/>
  <c r="U735" i="3"/>
  <c r="U730" i="3"/>
  <c r="U725" i="3"/>
  <c r="U719" i="3"/>
  <c r="U714" i="3"/>
  <c r="U709" i="3"/>
  <c r="U703" i="3"/>
  <c r="U698" i="3"/>
  <c r="U693" i="3"/>
  <c r="U687" i="3"/>
  <c r="U682" i="3"/>
  <c r="U677" i="3"/>
  <c r="U671" i="3"/>
  <c r="U666" i="3"/>
  <c r="U661" i="3"/>
  <c r="U655" i="3"/>
  <c r="U650" i="3"/>
  <c r="U645" i="3"/>
  <c r="U639" i="3"/>
  <c r="U634" i="3"/>
  <c r="U629" i="3"/>
  <c r="U623" i="3"/>
  <c r="U618" i="3"/>
  <c r="U613" i="3"/>
  <c r="U607" i="3"/>
  <c r="U602" i="3"/>
  <c r="U597" i="3"/>
  <c r="U591" i="3"/>
  <c r="U586" i="3"/>
  <c r="U581" i="3"/>
  <c r="U575" i="3"/>
  <c r="U570" i="3"/>
  <c r="U565" i="3"/>
  <c r="U559" i="3"/>
  <c r="U554" i="3"/>
  <c r="U549" i="3"/>
  <c r="U543" i="3"/>
  <c r="U538" i="3"/>
  <c r="U533" i="3"/>
  <c r="U527" i="3"/>
  <c r="U522" i="3"/>
  <c r="U517" i="3"/>
  <c r="U511" i="3"/>
  <c r="U506" i="3"/>
  <c r="U501" i="3"/>
  <c r="U495" i="3"/>
  <c r="U490" i="3"/>
  <c r="U485" i="3"/>
  <c r="U479" i="3"/>
  <c r="U474" i="3"/>
  <c r="U469" i="3"/>
  <c r="U463" i="3"/>
  <c r="U458" i="3"/>
  <c r="U453" i="3"/>
  <c r="U447" i="3"/>
  <c r="U442" i="3"/>
  <c r="U437" i="3"/>
  <c r="U431" i="3"/>
  <c r="U426" i="3"/>
  <c r="U421" i="3"/>
  <c r="U415" i="3"/>
  <c r="U410" i="3"/>
  <c r="U405" i="3"/>
  <c r="U399" i="3"/>
  <c r="U394" i="3"/>
  <c r="U389" i="3"/>
  <c r="U383" i="3"/>
  <c r="U378" i="3"/>
  <c r="U373" i="3"/>
  <c r="U367" i="3"/>
  <c r="U362" i="3"/>
  <c r="U357" i="3"/>
  <c r="U351" i="3"/>
  <c r="U346" i="3"/>
  <c r="U341" i="3"/>
  <c r="U335" i="3"/>
  <c r="U330" i="3"/>
  <c r="U325" i="3"/>
  <c r="U319" i="3"/>
  <c r="U314" i="3"/>
  <c r="U309" i="3"/>
  <c r="U303" i="3"/>
  <c r="U298" i="3"/>
  <c r="U293" i="3"/>
  <c r="U287" i="3"/>
  <c r="U282" i="3"/>
  <c r="U277" i="3"/>
  <c r="U271" i="3"/>
  <c r="U266" i="3"/>
  <c r="U261" i="3"/>
  <c r="U255" i="3"/>
  <c r="U250" i="3"/>
  <c r="U245" i="3"/>
  <c r="U239" i="3"/>
  <c r="U234" i="3"/>
  <c r="U229" i="3"/>
  <c r="U223" i="3"/>
  <c r="U218" i="3"/>
  <c r="U213" i="3"/>
  <c r="U207" i="3"/>
  <c r="U202" i="3"/>
  <c r="U197" i="3"/>
  <c r="U191" i="3"/>
  <c r="U186" i="3"/>
  <c r="U181" i="3"/>
  <c r="U175" i="3"/>
  <c r="U170" i="3"/>
  <c r="U165" i="3"/>
  <c r="U159" i="3"/>
  <c r="U154" i="3"/>
  <c r="U149" i="3"/>
  <c r="U143" i="3"/>
  <c r="U138" i="3"/>
  <c r="U133" i="3"/>
  <c r="U127" i="3"/>
  <c r="U122" i="3"/>
  <c r="U117" i="3"/>
  <c r="U111" i="3"/>
  <c r="U106" i="3"/>
  <c r="U101" i="3"/>
  <c r="U95" i="3"/>
  <c r="U90" i="3"/>
  <c r="U85" i="3"/>
  <c r="U79" i="3"/>
  <c r="U74" i="3"/>
  <c r="U69" i="3"/>
  <c r="U63" i="3"/>
  <c r="U58" i="3"/>
  <c r="U53" i="3"/>
  <c r="U47" i="3"/>
  <c r="U42" i="3"/>
  <c r="U37" i="3"/>
  <c r="U31" i="3"/>
  <c r="U26" i="3"/>
  <c r="U21" i="3"/>
  <c r="U15" i="3"/>
  <c r="U10" i="3"/>
  <c r="U6" i="3"/>
  <c r="U999" i="3"/>
  <c r="U994" i="3"/>
  <c r="U989" i="3"/>
  <c r="U983" i="3"/>
  <c r="U978" i="3"/>
  <c r="U973" i="3"/>
  <c r="U967" i="3"/>
  <c r="U962" i="3"/>
  <c r="U957" i="3"/>
  <c r="U951" i="3"/>
  <c r="U946" i="3"/>
  <c r="U941" i="3"/>
  <c r="U935" i="3"/>
  <c r="U930" i="3"/>
  <c r="U925" i="3"/>
  <c r="U919" i="3"/>
  <c r="U914" i="3"/>
  <c r="U909" i="3"/>
  <c r="U903" i="3"/>
  <c r="U898" i="3"/>
  <c r="U893" i="3"/>
  <c r="U887" i="3"/>
  <c r="U882" i="3"/>
  <c r="U877" i="3"/>
  <c r="U871" i="3"/>
  <c r="U866" i="3"/>
  <c r="U861" i="3"/>
  <c r="U855" i="3"/>
  <c r="U850" i="3"/>
  <c r="U845" i="3"/>
  <c r="U839" i="3"/>
  <c r="U834" i="3"/>
  <c r="U829" i="3"/>
  <c r="U823" i="3"/>
  <c r="U818" i="3"/>
  <c r="U813" i="3"/>
  <c r="U807" i="3"/>
  <c r="U802" i="3"/>
  <c r="U797" i="3"/>
  <c r="U791" i="3"/>
  <c r="U786" i="3"/>
  <c r="U781" i="3"/>
  <c r="U775" i="3"/>
  <c r="U770" i="3"/>
  <c r="U765" i="3"/>
  <c r="U759" i="3"/>
  <c r="U754" i="3"/>
  <c r="U749" i="3"/>
  <c r="U743" i="3"/>
  <c r="U738" i="3"/>
  <c r="U733" i="3"/>
  <c r="U727" i="3"/>
  <c r="U722" i="3"/>
  <c r="U717" i="3"/>
  <c r="U711" i="3"/>
  <c r="U706" i="3"/>
  <c r="U701" i="3"/>
  <c r="U695" i="3"/>
  <c r="U690" i="3"/>
  <c r="U685" i="3"/>
  <c r="U679" i="3"/>
  <c r="U674" i="3"/>
  <c r="U669" i="3"/>
  <c r="U663" i="3"/>
  <c r="U658" i="3"/>
  <c r="U653" i="3"/>
  <c r="U647" i="3"/>
  <c r="U642" i="3"/>
  <c r="U637" i="3"/>
  <c r="U631" i="3"/>
  <c r="U626" i="3"/>
  <c r="U621" i="3"/>
  <c r="U615" i="3"/>
  <c r="U610" i="3"/>
  <c r="U605" i="3"/>
  <c r="U599" i="3"/>
  <c r="U594" i="3"/>
  <c r="U589" i="3"/>
  <c r="U583" i="3"/>
  <c r="U578" i="3"/>
  <c r="U573" i="3"/>
  <c r="U567" i="3"/>
  <c r="U562" i="3"/>
  <c r="U557" i="3"/>
  <c r="U551" i="3"/>
  <c r="U546" i="3"/>
  <c r="U541" i="3"/>
  <c r="U535" i="3"/>
  <c r="U530" i="3"/>
  <c r="U525" i="3"/>
  <c r="U519" i="3"/>
  <c r="U514" i="3"/>
  <c r="U509" i="3"/>
  <c r="U503" i="3"/>
  <c r="U498" i="3"/>
  <c r="U493" i="3"/>
  <c r="U487" i="3"/>
  <c r="U482" i="3"/>
  <c r="U477" i="3"/>
  <c r="U471" i="3"/>
  <c r="U466" i="3"/>
  <c r="U461" i="3"/>
  <c r="U455" i="3"/>
  <c r="U450" i="3"/>
  <c r="U445" i="3"/>
  <c r="U439" i="3"/>
  <c r="U434" i="3"/>
  <c r="U429" i="3"/>
  <c r="U423" i="3"/>
  <c r="U418" i="3"/>
  <c r="U413" i="3"/>
  <c r="U407" i="3"/>
  <c r="U402" i="3"/>
  <c r="U397" i="3"/>
  <c r="U391" i="3"/>
  <c r="U386" i="3"/>
  <c r="U381" i="3"/>
  <c r="U375" i="3"/>
  <c r="U370" i="3"/>
  <c r="U365" i="3"/>
  <c r="U359" i="3"/>
  <c r="U354" i="3"/>
  <c r="U349" i="3"/>
  <c r="U343" i="3"/>
  <c r="U338" i="3"/>
  <c r="U333" i="3"/>
  <c r="U327" i="3"/>
  <c r="U322" i="3"/>
  <c r="U317" i="3"/>
  <c r="U311" i="3"/>
  <c r="U306" i="3"/>
  <c r="U301" i="3"/>
  <c r="U295" i="3"/>
  <c r="U290" i="3"/>
  <c r="U285" i="3"/>
  <c r="U279" i="3"/>
  <c r="U274" i="3"/>
  <c r="U269" i="3"/>
  <c r="U263" i="3"/>
  <c r="U258" i="3"/>
  <c r="U253" i="3"/>
  <c r="U247" i="3"/>
  <c r="U242" i="3"/>
  <c r="U237" i="3"/>
  <c r="U231" i="3"/>
  <c r="U226" i="3"/>
  <c r="U221" i="3"/>
  <c r="U215" i="3"/>
  <c r="U210" i="3"/>
  <c r="U205" i="3"/>
  <c r="U199" i="3"/>
  <c r="U194" i="3"/>
  <c r="U189" i="3"/>
  <c r="U183" i="3"/>
  <c r="U178" i="3"/>
  <c r="U173" i="3"/>
  <c r="U167" i="3"/>
  <c r="U162" i="3"/>
  <c r="U157" i="3"/>
  <c r="U151" i="3"/>
  <c r="U146" i="3"/>
  <c r="U141" i="3"/>
  <c r="U135" i="3"/>
  <c r="U130" i="3"/>
  <c r="U125" i="3"/>
  <c r="U119" i="3"/>
  <c r="U114" i="3"/>
  <c r="U109" i="3"/>
  <c r="U103" i="3"/>
  <c r="U98" i="3"/>
  <c r="U93" i="3"/>
  <c r="U87" i="3"/>
  <c r="U82" i="3"/>
  <c r="U77" i="3"/>
  <c r="U71" i="3"/>
  <c r="U66" i="3"/>
  <c r="U61" i="3"/>
  <c r="U55" i="3"/>
  <c r="U50" i="3"/>
  <c r="U45" i="3"/>
  <c r="U39" i="3"/>
  <c r="U34" i="3"/>
  <c r="U29" i="3"/>
  <c r="U23" i="3"/>
  <c r="U18" i="3"/>
  <c r="U13" i="3"/>
  <c r="U7" i="3"/>
  <c r="U1003" i="3"/>
  <c r="U998" i="3"/>
  <c r="U993" i="3"/>
  <c r="U987" i="3"/>
  <c r="U982" i="3"/>
  <c r="U977" i="3"/>
  <c r="U971" i="3"/>
  <c r="U966" i="3"/>
  <c r="U961" i="3"/>
  <c r="U955" i="3"/>
  <c r="U950" i="3"/>
  <c r="U945" i="3"/>
  <c r="U939" i="3"/>
  <c r="U934" i="3"/>
  <c r="U929" i="3"/>
  <c r="U923" i="3"/>
  <c r="U918" i="3"/>
  <c r="U913" i="3"/>
  <c r="U907" i="3"/>
  <c r="U902" i="3"/>
  <c r="U897" i="3"/>
  <c r="U891" i="3"/>
  <c r="U886" i="3"/>
  <c r="U881" i="3"/>
  <c r="U875" i="3"/>
  <c r="U870" i="3"/>
  <c r="U865" i="3"/>
  <c r="U859" i="3"/>
  <c r="U854" i="3"/>
  <c r="U849" i="3"/>
  <c r="U843" i="3"/>
  <c r="U838" i="3"/>
  <c r="U833" i="3"/>
  <c r="U827" i="3"/>
  <c r="U822" i="3"/>
  <c r="U817" i="3"/>
  <c r="U811" i="3"/>
  <c r="U806" i="3"/>
  <c r="U801" i="3"/>
  <c r="U795" i="3"/>
  <c r="U790" i="3"/>
  <c r="U785" i="3"/>
  <c r="U779" i="3"/>
  <c r="U774" i="3"/>
  <c r="U769" i="3"/>
  <c r="U763" i="3"/>
  <c r="U758" i="3"/>
  <c r="U753" i="3"/>
  <c r="U747" i="3"/>
  <c r="U742" i="3"/>
  <c r="U737" i="3"/>
  <c r="U731" i="3"/>
  <c r="U726" i="3"/>
  <c r="U721" i="3"/>
  <c r="U715" i="3"/>
  <c r="U710" i="3"/>
  <c r="U705" i="3"/>
  <c r="U699" i="3"/>
  <c r="U694" i="3"/>
  <c r="U689" i="3"/>
  <c r="U683" i="3"/>
  <c r="U678" i="3"/>
  <c r="U673" i="3"/>
  <c r="U667" i="3"/>
  <c r="U662" i="3"/>
  <c r="U657" i="3"/>
  <c r="U651" i="3"/>
  <c r="U646" i="3"/>
  <c r="U641" i="3"/>
  <c r="U635" i="3"/>
  <c r="U630" i="3"/>
  <c r="U625" i="3"/>
  <c r="U619" i="3"/>
  <c r="U614" i="3"/>
  <c r="U609" i="3"/>
  <c r="U603" i="3"/>
  <c r="U598" i="3"/>
  <c r="U593" i="3"/>
  <c r="U587" i="3"/>
  <c r="U582" i="3"/>
  <c r="U577" i="3"/>
  <c r="U571" i="3"/>
  <c r="U566" i="3"/>
  <c r="U561" i="3"/>
  <c r="U555" i="3"/>
  <c r="U550" i="3"/>
  <c r="U545" i="3"/>
  <c r="U539" i="3"/>
  <c r="U534" i="3"/>
  <c r="U529" i="3"/>
  <c r="U523" i="3"/>
  <c r="U518" i="3"/>
  <c r="U513" i="3"/>
  <c r="U507" i="3"/>
  <c r="U502" i="3"/>
  <c r="U497" i="3"/>
  <c r="U491" i="3"/>
  <c r="U486" i="3"/>
  <c r="U481" i="3"/>
  <c r="U475" i="3"/>
  <c r="U470" i="3"/>
  <c r="U465" i="3"/>
  <c r="U459" i="3"/>
  <c r="U454" i="3"/>
  <c r="U449" i="3"/>
  <c r="U443" i="3"/>
  <c r="U438" i="3"/>
  <c r="U433" i="3"/>
  <c r="U427" i="3"/>
  <c r="U422" i="3"/>
  <c r="U417" i="3"/>
  <c r="U411" i="3"/>
  <c r="U406" i="3"/>
  <c r="U401" i="3"/>
  <c r="U395" i="3"/>
  <c r="U390" i="3"/>
  <c r="U385" i="3"/>
  <c r="U379" i="3"/>
  <c r="U374" i="3"/>
  <c r="U369" i="3"/>
  <c r="U363" i="3"/>
  <c r="U358" i="3"/>
  <c r="U353" i="3"/>
  <c r="U347" i="3"/>
  <c r="U342" i="3"/>
  <c r="U337" i="3"/>
  <c r="U331" i="3"/>
  <c r="U326" i="3"/>
  <c r="U321" i="3"/>
  <c r="U315" i="3"/>
  <c r="U310" i="3"/>
  <c r="U305" i="3"/>
  <c r="U299" i="3"/>
  <c r="U294" i="3"/>
  <c r="U289" i="3"/>
  <c r="U283" i="3"/>
  <c r="U278" i="3"/>
  <c r="U273" i="3"/>
  <c r="U267" i="3"/>
  <c r="U262" i="3"/>
  <c r="U257" i="3"/>
  <c r="U251" i="3"/>
  <c r="U246" i="3"/>
  <c r="U241" i="3"/>
  <c r="U235" i="3"/>
  <c r="U230" i="3"/>
  <c r="U225" i="3"/>
  <c r="U219" i="3"/>
  <c r="U214" i="3"/>
  <c r="U209" i="3"/>
  <c r="U203" i="3"/>
  <c r="U198" i="3"/>
  <c r="U193" i="3"/>
  <c r="U187" i="3"/>
  <c r="U182" i="3"/>
  <c r="U177" i="3"/>
  <c r="U171" i="3"/>
  <c r="U166" i="3"/>
  <c r="U161" i="3"/>
  <c r="U155" i="3"/>
  <c r="U150" i="3"/>
  <c r="U145" i="3"/>
  <c r="U139" i="3"/>
  <c r="U134" i="3"/>
  <c r="U129" i="3"/>
  <c r="U123" i="3"/>
  <c r="U118" i="3"/>
  <c r="U113" i="3"/>
  <c r="U107" i="3"/>
  <c r="U102" i="3"/>
  <c r="U97" i="3"/>
  <c r="U91" i="3"/>
  <c r="U86" i="3"/>
  <c r="U81" i="3"/>
  <c r="U75" i="3"/>
  <c r="U70" i="3"/>
  <c r="U65" i="3"/>
  <c r="U59" i="3"/>
  <c r="U54" i="3"/>
  <c r="U49" i="3"/>
  <c r="U43" i="3"/>
  <c r="U38" i="3"/>
  <c r="U33" i="3"/>
  <c r="U27" i="3"/>
  <c r="U22" i="3"/>
  <c r="U17" i="3"/>
  <c r="U11" i="3"/>
  <c r="U985" i="3"/>
  <c r="U963" i="3"/>
  <c r="U942" i="3"/>
  <c r="U921" i="3"/>
  <c r="U899" i="3"/>
  <c r="U878" i="3"/>
  <c r="U857" i="3"/>
  <c r="U835" i="3"/>
  <c r="U814" i="3"/>
  <c r="U793" i="3"/>
  <c r="U771" i="3"/>
  <c r="U750" i="3"/>
  <c r="U729" i="3"/>
  <c r="U707" i="3"/>
  <c r="U686" i="3"/>
  <c r="U665" i="3"/>
  <c r="U643" i="3"/>
  <c r="U622" i="3"/>
  <c r="U601" i="3"/>
  <c r="U579" i="3"/>
  <c r="U558" i="3"/>
  <c r="U537" i="3"/>
  <c r="U515" i="3"/>
  <c r="U494" i="3"/>
  <c r="U473" i="3"/>
  <c r="U451" i="3"/>
  <c r="U430" i="3"/>
  <c r="U409" i="3"/>
  <c r="U387" i="3"/>
  <c r="U366" i="3"/>
  <c r="U345" i="3"/>
  <c r="U323" i="3"/>
  <c r="U302" i="3"/>
  <c r="U281" i="3"/>
  <c r="U259" i="3"/>
  <c r="U238" i="3"/>
  <c r="U217" i="3"/>
  <c r="U195" i="3"/>
  <c r="U174" i="3"/>
  <c r="U153" i="3"/>
  <c r="U131" i="3"/>
  <c r="U110" i="3"/>
  <c r="U89" i="3"/>
  <c r="U67" i="3"/>
  <c r="U46" i="3"/>
  <c r="U25" i="3"/>
  <c r="U1001" i="3"/>
  <c r="U979" i="3"/>
  <c r="U958" i="3"/>
  <c r="U937" i="3"/>
  <c r="U915" i="3"/>
  <c r="U894" i="3"/>
  <c r="U873" i="3"/>
  <c r="U851" i="3"/>
  <c r="U830" i="3"/>
  <c r="U809" i="3"/>
  <c r="U787" i="3"/>
  <c r="U766" i="3"/>
  <c r="U745" i="3"/>
  <c r="U723" i="3"/>
  <c r="U702" i="3"/>
  <c r="U681" i="3"/>
  <c r="U659" i="3"/>
  <c r="U638" i="3"/>
  <c r="U617" i="3"/>
  <c r="U595" i="3"/>
  <c r="U574" i="3"/>
  <c r="U553" i="3"/>
  <c r="U531" i="3"/>
  <c r="U510" i="3"/>
  <c r="U489" i="3"/>
  <c r="U467" i="3"/>
  <c r="U446" i="3"/>
  <c r="U425" i="3"/>
  <c r="U403" i="3"/>
  <c r="U382" i="3"/>
  <c r="U361" i="3"/>
  <c r="U339" i="3"/>
  <c r="U318" i="3"/>
  <c r="U297" i="3"/>
  <c r="U275" i="3"/>
  <c r="U254" i="3"/>
  <c r="U233" i="3"/>
  <c r="U211" i="3"/>
  <c r="U190" i="3"/>
  <c r="U169" i="3"/>
  <c r="U147" i="3"/>
  <c r="U126" i="3"/>
  <c r="U105" i="3"/>
  <c r="U83" i="3"/>
  <c r="U62" i="3"/>
  <c r="U41" i="3"/>
  <c r="U19" i="3"/>
  <c r="U990" i="3"/>
  <c r="U969" i="3"/>
  <c r="U947" i="3"/>
  <c r="U926" i="3"/>
  <c r="U905" i="3"/>
  <c r="U883" i="3"/>
  <c r="U862" i="3"/>
  <c r="U841" i="3"/>
  <c r="U819" i="3"/>
  <c r="U798" i="3"/>
  <c r="U777" i="3"/>
  <c r="U755" i="3"/>
  <c r="U734" i="3"/>
  <c r="U713" i="3"/>
  <c r="U691" i="3"/>
  <c r="U670" i="3"/>
  <c r="U649" i="3"/>
  <c r="U627" i="3"/>
  <c r="U606" i="3"/>
  <c r="U585" i="3"/>
  <c r="U563" i="3"/>
  <c r="U542" i="3"/>
  <c r="U521" i="3"/>
  <c r="U499" i="3"/>
  <c r="U478" i="3"/>
  <c r="U457" i="3"/>
  <c r="U435" i="3"/>
  <c r="U414" i="3"/>
  <c r="U393" i="3"/>
  <c r="U371" i="3"/>
  <c r="U350" i="3"/>
  <c r="U329" i="3"/>
  <c r="U307" i="3"/>
  <c r="U286" i="3"/>
  <c r="U265" i="3"/>
  <c r="U243" i="3"/>
  <c r="U222" i="3"/>
  <c r="U201" i="3"/>
  <c r="U179" i="3"/>
  <c r="U158" i="3"/>
  <c r="U137" i="3"/>
  <c r="U115" i="3"/>
  <c r="U94" i="3"/>
  <c r="U73" i="3"/>
  <c r="U51" i="3"/>
  <c r="U30" i="3"/>
  <c r="U9" i="3"/>
  <c r="U995" i="3"/>
  <c r="U974" i="3"/>
  <c r="U953" i="3"/>
  <c r="U931" i="3"/>
  <c r="U910" i="3"/>
  <c r="U889" i="3"/>
  <c r="U867" i="3"/>
  <c r="U846" i="3"/>
  <c r="U825" i="3"/>
  <c r="U803" i="3"/>
  <c r="U782" i="3"/>
  <c r="U761" i="3"/>
  <c r="U739" i="3"/>
  <c r="U718" i="3"/>
  <c r="U697" i="3"/>
  <c r="U675" i="3"/>
  <c r="U654" i="3"/>
  <c r="U633" i="3"/>
  <c r="U611" i="3"/>
  <c r="U590" i="3"/>
  <c r="U569" i="3"/>
  <c r="U547" i="3"/>
  <c r="U526" i="3"/>
  <c r="U505" i="3"/>
  <c r="U483" i="3"/>
  <c r="U462" i="3"/>
  <c r="U441" i="3"/>
  <c r="U419" i="3"/>
  <c r="U398" i="3"/>
  <c r="U377" i="3"/>
  <c r="U355" i="3"/>
  <c r="U334" i="3"/>
  <c r="U313" i="3"/>
  <c r="U291" i="3"/>
  <c r="U270" i="3"/>
  <c r="U249" i="3"/>
  <c r="U227" i="3"/>
  <c r="U206" i="3"/>
  <c r="U185" i="3"/>
  <c r="U163" i="3"/>
  <c r="U142" i="3"/>
  <c r="U121" i="3"/>
  <c r="U99" i="3"/>
  <c r="U78" i="3"/>
  <c r="U57" i="3"/>
  <c r="U35" i="3"/>
  <c r="U14" i="3"/>
  <c r="L1002" i="3"/>
  <c r="L998" i="3"/>
  <c r="L994" i="3"/>
  <c r="L990" i="3"/>
  <c r="L986" i="3"/>
  <c r="L982" i="3"/>
  <c r="L978" i="3"/>
  <c r="L974" i="3"/>
  <c r="L970" i="3"/>
  <c r="L966" i="3"/>
  <c r="L962" i="3"/>
  <c r="L958" i="3"/>
  <c r="L954" i="3"/>
  <c r="L950" i="3"/>
  <c r="L946" i="3"/>
  <c r="L942" i="3"/>
  <c r="L938" i="3"/>
  <c r="L934" i="3"/>
  <c r="L930" i="3"/>
  <c r="L926" i="3"/>
  <c r="L922" i="3"/>
  <c r="L918" i="3"/>
  <c r="L914" i="3"/>
  <c r="L910" i="3"/>
  <c r="L906" i="3"/>
  <c r="L902" i="3"/>
  <c r="L898" i="3"/>
  <c r="L894" i="3"/>
  <c r="L890" i="3"/>
  <c r="L886" i="3"/>
  <c r="L882" i="3"/>
  <c r="L878" i="3"/>
  <c r="L874" i="3"/>
  <c r="L870" i="3"/>
  <c r="L866" i="3"/>
  <c r="L862" i="3"/>
  <c r="L858" i="3"/>
  <c r="L854" i="3"/>
  <c r="L850" i="3"/>
  <c r="L846" i="3"/>
  <c r="L842" i="3"/>
  <c r="L838" i="3"/>
  <c r="L834" i="3"/>
  <c r="L830" i="3"/>
  <c r="L826" i="3"/>
  <c r="L822" i="3"/>
  <c r="L818" i="3"/>
  <c r="L814" i="3"/>
  <c r="L810" i="3"/>
  <c r="L806" i="3"/>
  <c r="L802" i="3"/>
  <c r="L798" i="3"/>
  <c r="L794" i="3"/>
  <c r="L790" i="3"/>
  <c r="L786" i="3"/>
  <c r="L782" i="3"/>
  <c r="L778" i="3"/>
  <c r="L774" i="3"/>
  <c r="L770" i="3"/>
  <c r="L766" i="3"/>
  <c r="L762" i="3"/>
  <c r="L758" i="3"/>
  <c r="L754" i="3"/>
  <c r="L750" i="3"/>
  <c r="L746" i="3"/>
  <c r="L742" i="3"/>
  <c r="L738" i="3"/>
  <c r="L734" i="3"/>
  <c r="L730" i="3"/>
  <c r="L726" i="3"/>
  <c r="L722" i="3"/>
  <c r="L718" i="3"/>
  <c r="L714" i="3"/>
  <c r="L710" i="3"/>
  <c r="L706" i="3"/>
  <c r="L702" i="3"/>
  <c r="L698" i="3"/>
  <c r="L694" i="3"/>
  <c r="L690" i="3"/>
  <c r="L686" i="3"/>
  <c r="L682" i="3"/>
  <c r="L678" i="3"/>
  <c r="L674" i="3"/>
  <c r="L670" i="3"/>
  <c r="L666" i="3"/>
  <c r="L662" i="3"/>
  <c r="L658" i="3"/>
  <c r="L654" i="3"/>
  <c r="L650" i="3"/>
  <c r="L646" i="3"/>
  <c r="L642" i="3"/>
  <c r="L638" i="3"/>
  <c r="L634" i="3"/>
  <c r="L630" i="3"/>
  <c r="L626" i="3"/>
  <c r="L622" i="3"/>
  <c r="L618" i="3"/>
  <c r="L614" i="3"/>
  <c r="L610" i="3"/>
  <c r="L606" i="3"/>
  <c r="L602" i="3"/>
  <c r="L598" i="3"/>
  <c r="L594" i="3"/>
  <c r="L590" i="3"/>
  <c r="L586" i="3"/>
  <c r="L582" i="3"/>
  <c r="L578" i="3"/>
  <c r="L574" i="3"/>
  <c r="L570" i="3"/>
  <c r="L566" i="3"/>
  <c r="L562" i="3"/>
  <c r="L558" i="3"/>
  <c r="L554" i="3"/>
  <c r="L550" i="3"/>
  <c r="L546" i="3"/>
  <c r="L542" i="3"/>
  <c r="L538" i="3"/>
  <c r="L534" i="3"/>
  <c r="L530" i="3"/>
  <c r="L526" i="3"/>
  <c r="L522" i="3"/>
  <c r="L518" i="3"/>
  <c r="L514" i="3"/>
  <c r="L510" i="3"/>
  <c r="L506" i="3"/>
  <c r="L502" i="3"/>
  <c r="L498" i="3"/>
  <c r="L494" i="3"/>
  <c r="L490" i="3"/>
  <c r="L486" i="3"/>
  <c r="L482" i="3"/>
  <c r="L478" i="3"/>
  <c r="L474" i="3"/>
  <c r="L470" i="3"/>
  <c r="L466" i="3"/>
  <c r="L462" i="3"/>
  <c r="L458" i="3"/>
  <c r="L454" i="3"/>
  <c r="L450" i="3"/>
  <c r="L446" i="3"/>
  <c r="L442" i="3"/>
  <c r="L438" i="3"/>
  <c r="L434" i="3"/>
  <c r="L430" i="3"/>
  <c r="L426" i="3"/>
  <c r="L422" i="3"/>
  <c r="L418" i="3"/>
  <c r="L414" i="3"/>
  <c r="L410" i="3"/>
  <c r="L406" i="3"/>
  <c r="L402" i="3"/>
  <c r="L398" i="3"/>
  <c r="L394" i="3"/>
  <c r="L390" i="3"/>
  <c r="L386" i="3"/>
  <c r="L382" i="3"/>
  <c r="L378" i="3"/>
  <c r="L374" i="3"/>
  <c r="L370" i="3"/>
  <c r="L366" i="3"/>
  <c r="L362" i="3"/>
  <c r="L358" i="3"/>
  <c r="L354" i="3"/>
  <c r="L350" i="3"/>
  <c r="L346" i="3"/>
  <c r="L342" i="3"/>
  <c r="L338" i="3"/>
  <c r="L334" i="3"/>
  <c r="L330" i="3"/>
  <c r="L326" i="3"/>
  <c r="L322" i="3"/>
  <c r="L318" i="3"/>
  <c r="L314" i="3"/>
  <c r="L310" i="3"/>
  <c r="L306" i="3"/>
  <c r="L302" i="3"/>
  <c r="L298" i="3"/>
  <c r="L294" i="3"/>
  <c r="L290" i="3"/>
  <c r="L286" i="3"/>
  <c r="L282" i="3"/>
  <c r="L278" i="3"/>
  <c r="L274" i="3"/>
  <c r="L270" i="3"/>
  <c r="L266" i="3"/>
  <c r="L262" i="3"/>
  <c r="L258" i="3"/>
  <c r="L254" i="3"/>
  <c r="L250" i="3"/>
  <c r="L246" i="3"/>
  <c r="L242" i="3"/>
  <c r="L238" i="3"/>
  <c r="L234" i="3"/>
  <c r="L230" i="3"/>
  <c r="L226" i="3"/>
  <c r="L222" i="3"/>
  <c r="L218" i="3"/>
  <c r="L214" i="3"/>
  <c r="L210" i="3"/>
  <c r="L206" i="3"/>
  <c r="L202" i="3"/>
  <c r="L198" i="3"/>
  <c r="L194" i="3"/>
  <c r="L190" i="3"/>
  <c r="L186" i="3"/>
  <c r="L182" i="3"/>
  <c r="L178" i="3"/>
  <c r="L174" i="3"/>
  <c r="L170" i="3"/>
  <c r="L166" i="3"/>
  <c r="L162" i="3"/>
  <c r="L158" i="3"/>
  <c r="L154" i="3"/>
  <c r="L150" i="3"/>
  <c r="L146" i="3"/>
  <c r="L142" i="3"/>
  <c r="L138" i="3"/>
  <c r="L134" i="3"/>
  <c r="L130" i="3"/>
  <c r="L126" i="3"/>
  <c r="L122" i="3"/>
  <c r="L118" i="3"/>
  <c r="L114" i="3"/>
  <c r="L110" i="3"/>
  <c r="L106" i="3"/>
  <c r="L102" i="3"/>
  <c r="L98" i="3"/>
  <c r="L94" i="3"/>
  <c r="L90" i="3"/>
  <c r="L86" i="3"/>
  <c r="L82" i="3"/>
  <c r="L78" i="3"/>
  <c r="L74" i="3"/>
  <c r="L70" i="3"/>
  <c r="L66" i="3"/>
  <c r="L62" i="3"/>
  <c r="L58" i="3"/>
  <c r="L54" i="3"/>
  <c r="L50" i="3"/>
  <c r="L46" i="3"/>
  <c r="L42" i="3"/>
  <c r="L38" i="3"/>
  <c r="L34" i="3"/>
  <c r="L30" i="3"/>
  <c r="L26" i="3"/>
  <c r="L22" i="3"/>
  <c r="L18" i="3"/>
  <c r="L14" i="3"/>
  <c r="L10" i="3"/>
  <c r="L1004" i="3"/>
  <c r="L1000" i="3"/>
  <c r="L996" i="3"/>
  <c r="L992" i="3"/>
  <c r="L988" i="3"/>
  <c r="L984" i="3"/>
  <c r="L980" i="3"/>
  <c r="L976" i="3"/>
  <c r="L972" i="3"/>
  <c r="L968" i="3"/>
  <c r="L964" i="3"/>
  <c r="L960" i="3"/>
  <c r="L956" i="3"/>
  <c r="L952" i="3"/>
  <c r="L948" i="3"/>
  <c r="L944" i="3"/>
  <c r="L940" i="3"/>
  <c r="L936" i="3"/>
  <c r="L932" i="3"/>
  <c r="L928" i="3"/>
  <c r="L924" i="3"/>
  <c r="L920" i="3"/>
  <c r="L916" i="3"/>
  <c r="L912" i="3"/>
  <c r="L908" i="3"/>
  <c r="L904" i="3"/>
  <c r="L900" i="3"/>
  <c r="L896" i="3"/>
  <c r="L892" i="3"/>
  <c r="L888" i="3"/>
  <c r="L884" i="3"/>
  <c r="L880" i="3"/>
  <c r="L876" i="3"/>
  <c r="L872" i="3"/>
  <c r="L868" i="3"/>
  <c r="L864" i="3"/>
  <c r="L860" i="3"/>
  <c r="L856" i="3"/>
  <c r="L852" i="3"/>
  <c r="L848" i="3"/>
  <c r="L844" i="3"/>
  <c r="L840" i="3"/>
  <c r="L836" i="3"/>
  <c r="L832" i="3"/>
  <c r="L828" i="3"/>
  <c r="L824" i="3"/>
  <c r="L820" i="3"/>
  <c r="L816" i="3"/>
  <c r="L812" i="3"/>
  <c r="L808" i="3"/>
  <c r="L804" i="3"/>
  <c r="L800" i="3"/>
  <c r="L796" i="3"/>
  <c r="L792" i="3"/>
  <c r="L788" i="3"/>
  <c r="L784" i="3"/>
  <c r="L780" i="3"/>
  <c r="L776" i="3"/>
  <c r="L772" i="3"/>
  <c r="L768" i="3"/>
  <c r="L764" i="3"/>
  <c r="L760" i="3"/>
  <c r="L756" i="3"/>
  <c r="L752" i="3"/>
  <c r="L748" i="3"/>
  <c r="L744" i="3"/>
  <c r="L740" i="3"/>
  <c r="L736" i="3"/>
  <c r="L732" i="3"/>
  <c r="L728" i="3"/>
  <c r="L724" i="3"/>
  <c r="L720" i="3"/>
  <c r="L716" i="3"/>
  <c r="L712" i="3"/>
  <c r="L708" i="3"/>
  <c r="L704" i="3"/>
  <c r="L700" i="3"/>
  <c r="L696" i="3"/>
  <c r="L692" i="3"/>
  <c r="L688" i="3"/>
  <c r="L684" i="3"/>
  <c r="L680" i="3"/>
  <c r="L676" i="3"/>
  <c r="L672" i="3"/>
  <c r="L668" i="3"/>
  <c r="L664" i="3"/>
  <c r="L660" i="3"/>
  <c r="L656" i="3"/>
  <c r="L652" i="3"/>
  <c r="L648" i="3"/>
  <c r="L644" i="3"/>
  <c r="L640" i="3"/>
  <c r="L636" i="3"/>
  <c r="L632" i="3"/>
  <c r="L628" i="3"/>
  <c r="L624" i="3"/>
  <c r="L620" i="3"/>
  <c r="L616" i="3"/>
  <c r="L612" i="3"/>
  <c r="L608" i="3"/>
  <c r="L604" i="3"/>
  <c r="L600" i="3"/>
  <c r="L596" i="3"/>
  <c r="L592" i="3"/>
  <c r="L588" i="3"/>
  <c r="L584" i="3"/>
  <c r="L580" i="3"/>
  <c r="L576" i="3"/>
  <c r="L572" i="3"/>
  <c r="L568" i="3"/>
  <c r="L564" i="3"/>
  <c r="L560" i="3"/>
  <c r="L556" i="3"/>
  <c r="L552" i="3"/>
  <c r="L548" i="3"/>
  <c r="L544" i="3"/>
  <c r="L540" i="3"/>
  <c r="L536" i="3"/>
  <c r="L532" i="3"/>
  <c r="L528" i="3"/>
  <c r="L524" i="3"/>
  <c r="L520" i="3"/>
  <c r="L516" i="3"/>
  <c r="L512" i="3"/>
  <c r="L508" i="3"/>
  <c r="L504" i="3"/>
  <c r="L500" i="3"/>
  <c r="L496" i="3"/>
  <c r="L492" i="3"/>
  <c r="L488" i="3"/>
  <c r="L484" i="3"/>
  <c r="L480" i="3"/>
  <c r="L476" i="3"/>
  <c r="L472" i="3"/>
  <c r="L468" i="3"/>
  <c r="L464" i="3"/>
  <c r="L460" i="3"/>
  <c r="L456" i="3"/>
  <c r="L452" i="3"/>
  <c r="L448" i="3"/>
  <c r="L444" i="3"/>
  <c r="L440" i="3"/>
  <c r="L436" i="3"/>
  <c r="L432" i="3"/>
  <c r="L428" i="3"/>
  <c r="L424" i="3"/>
  <c r="L420" i="3"/>
  <c r="L416" i="3"/>
  <c r="L412" i="3"/>
  <c r="L408" i="3"/>
  <c r="L404" i="3"/>
  <c r="L400" i="3"/>
  <c r="L396" i="3"/>
  <c r="L392" i="3"/>
  <c r="L388" i="3"/>
  <c r="L384" i="3"/>
  <c r="L380" i="3"/>
  <c r="L376" i="3"/>
  <c r="L372" i="3"/>
  <c r="L368" i="3"/>
  <c r="L364" i="3"/>
  <c r="L360" i="3"/>
  <c r="L356" i="3"/>
  <c r="L352" i="3"/>
  <c r="L348" i="3"/>
  <c r="L344" i="3"/>
  <c r="L340" i="3"/>
  <c r="L336" i="3"/>
  <c r="L332" i="3"/>
  <c r="L328" i="3"/>
  <c r="L324" i="3"/>
  <c r="L320" i="3"/>
  <c r="L316" i="3"/>
  <c r="L312" i="3"/>
  <c r="L308" i="3"/>
  <c r="L304" i="3"/>
  <c r="L300" i="3"/>
  <c r="L296" i="3"/>
  <c r="L292" i="3"/>
  <c r="L288" i="3"/>
  <c r="L284" i="3"/>
  <c r="L280" i="3"/>
  <c r="L276" i="3"/>
  <c r="L272" i="3"/>
  <c r="L268" i="3"/>
  <c r="L264" i="3"/>
  <c r="L260" i="3"/>
  <c r="L256" i="3"/>
  <c r="L252" i="3"/>
  <c r="L248" i="3"/>
  <c r="L244" i="3"/>
  <c r="L240" i="3"/>
  <c r="L236" i="3"/>
  <c r="L232" i="3"/>
  <c r="L228" i="3"/>
  <c r="L224" i="3"/>
  <c r="L220" i="3"/>
  <c r="L216" i="3"/>
  <c r="L212" i="3"/>
  <c r="L208" i="3"/>
  <c r="L204" i="3"/>
  <c r="L200" i="3"/>
  <c r="L196" i="3"/>
  <c r="L192" i="3"/>
  <c r="L188" i="3"/>
  <c r="L184" i="3"/>
  <c r="L180" i="3"/>
  <c r="L176" i="3"/>
  <c r="L172" i="3"/>
  <c r="L168" i="3"/>
  <c r="L164" i="3"/>
  <c r="L160" i="3"/>
  <c r="L156" i="3"/>
  <c r="L152" i="3"/>
  <c r="L148" i="3"/>
  <c r="L144" i="3"/>
  <c r="L140" i="3"/>
  <c r="L136" i="3"/>
  <c r="L132" i="3"/>
  <c r="L128" i="3"/>
  <c r="L124" i="3"/>
  <c r="L120" i="3"/>
  <c r="L116" i="3"/>
  <c r="L112" i="3"/>
  <c r="L108" i="3"/>
  <c r="L104" i="3"/>
  <c r="L100" i="3"/>
  <c r="L96" i="3"/>
  <c r="L92" i="3"/>
  <c r="L88" i="3"/>
  <c r="L84" i="3"/>
  <c r="L80" i="3"/>
  <c r="L76" i="3"/>
  <c r="L72" i="3"/>
  <c r="L68" i="3"/>
  <c r="L64" i="3"/>
  <c r="L60" i="3"/>
  <c r="L56" i="3"/>
  <c r="L52" i="3"/>
  <c r="L48" i="3"/>
  <c r="L44" i="3"/>
  <c r="L40" i="3"/>
  <c r="L36" i="3"/>
  <c r="L32" i="3"/>
  <c r="L28" i="3"/>
  <c r="L24" i="3"/>
  <c r="L20" i="3"/>
  <c r="L16" i="3"/>
  <c r="L12" i="3"/>
  <c r="L8" i="3"/>
  <c r="L1003" i="3"/>
  <c r="L999" i="3"/>
  <c r="L995" i="3"/>
  <c r="L991" i="3"/>
  <c r="L987" i="3"/>
  <c r="L983" i="3"/>
  <c r="L979" i="3"/>
  <c r="L975" i="3"/>
  <c r="L971" i="3"/>
  <c r="L967" i="3"/>
  <c r="L963" i="3"/>
  <c r="L959" i="3"/>
  <c r="L955" i="3"/>
  <c r="L951" i="3"/>
  <c r="L947" i="3"/>
  <c r="L943" i="3"/>
  <c r="L939" i="3"/>
  <c r="L935" i="3"/>
  <c r="L931" i="3"/>
  <c r="L927" i="3"/>
  <c r="L923" i="3"/>
  <c r="L919" i="3"/>
  <c r="L915" i="3"/>
  <c r="L911" i="3"/>
  <c r="L907" i="3"/>
  <c r="L903" i="3"/>
  <c r="L899" i="3"/>
  <c r="L895" i="3"/>
  <c r="L891" i="3"/>
  <c r="L887" i="3"/>
  <c r="L883" i="3"/>
  <c r="L879" i="3"/>
  <c r="L875" i="3"/>
  <c r="L871" i="3"/>
  <c r="L867" i="3"/>
  <c r="L863" i="3"/>
  <c r="L859" i="3"/>
  <c r="L855" i="3"/>
  <c r="L851" i="3"/>
  <c r="L847" i="3"/>
  <c r="L843" i="3"/>
  <c r="L839" i="3"/>
  <c r="L835" i="3"/>
  <c r="L831" i="3"/>
  <c r="L827" i="3"/>
  <c r="L823" i="3"/>
  <c r="L819" i="3"/>
  <c r="L815" i="3"/>
  <c r="L811" i="3"/>
  <c r="L807" i="3"/>
  <c r="L803" i="3"/>
  <c r="L799" i="3"/>
  <c r="L795" i="3"/>
  <c r="L791" i="3"/>
  <c r="L787" i="3"/>
  <c r="L783" i="3"/>
  <c r="L779" i="3"/>
  <c r="L775" i="3"/>
  <c r="L771" i="3"/>
  <c r="L767" i="3"/>
  <c r="L763" i="3"/>
  <c r="L759" i="3"/>
  <c r="L755" i="3"/>
  <c r="L751" i="3"/>
  <c r="L747" i="3"/>
  <c r="L743" i="3"/>
  <c r="L739" i="3"/>
  <c r="L735" i="3"/>
  <c r="L731" i="3"/>
  <c r="L727" i="3"/>
  <c r="L723" i="3"/>
  <c r="L719" i="3"/>
  <c r="L715" i="3"/>
  <c r="L711" i="3"/>
  <c r="L707" i="3"/>
  <c r="L703" i="3"/>
  <c r="L699" i="3"/>
  <c r="L695" i="3"/>
  <c r="L691" i="3"/>
  <c r="L687" i="3"/>
  <c r="L683" i="3"/>
  <c r="L679" i="3"/>
  <c r="L675" i="3"/>
  <c r="L671" i="3"/>
  <c r="L667" i="3"/>
  <c r="L663" i="3"/>
  <c r="L659" i="3"/>
  <c r="L655" i="3"/>
  <c r="L651" i="3"/>
  <c r="L647" i="3"/>
  <c r="L643" i="3"/>
  <c r="L639" i="3"/>
  <c r="L635" i="3"/>
  <c r="L631" i="3"/>
  <c r="L627" i="3"/>
  <c r="L623" i="3"/>
  <c r="L619" i="3"/>
  <c r="L615" i="3"/>
  <c r="L611" i="3"/>
  <c r="L607" i="3"/>
  <c r="L603" i="3"/>
  <c r="L599" i="3"/>
  <c r="L595" i="3"/>
  <c r="L591" i="3"/>
  <c r="L587" i="3"/>
  <c r="L583" i="3"/>
  <c r="L579" i="3"/>
  <c r="L575" i="3"/>
  <c r="L571" i="3"/>
  <c r="L567" i="3"/>
  <c r="L563" i="3"/>
  <c r="L559" i="3"/>
  <c r="L555" i="3"/>
  <c r="L551" i="3"/>
  <c r="L547" i="3"/>
  <c r="L543" i="3"/>
  <c r="L539" i="3"/>
  <c r="L535" i="3"/>
  <c r="L531" i="3"/>
  <c r="L527" i="3"/>
  <c r="L523" i="3"/>
  <c r="L519" i="3"/>
  <c r="L515" i="3"/>
  <c r="L511" i="3"/>
  <c r="L507" i="3"/>
  <c r="L503" i="3"/>
  <c r="L499" i="3"/>
  <c r="L495" i="3"/>
  <c r="L491" i="3"/>
  <c r="L487" i="3"/>
  <c r="L483" i="3"/>
  <c r="L479" i="3"/>
  <c r="L475" i="3"/>
  <c r="L471" i="3"/>
  <c r="L467" i="3"/>
  <c r="L463" i="3"/>
  <c r="L459" i="3"/>
  <c r="L455" i="3"/>
  <c r="L451" i="3"/>
  <c r="L447" i="3"/>
  <c r="L443" i="3"/>
  <c r="L439" i="3"/>
  <c r="L435" i="3"/>
  <c r="L431" i="3"/>
  <c r="L427" i="3"/>
  <c r="L423" i="3"/>
  <c r="L419" i="3"/>
  <c r="L415" i="3"/>
  <c r="L411" i="3"/>
  <c r="L407" i="3"/>
  <c r="L403" i="3"/>
  <c r="L399" i="3"/>
  <c r="L395" i="3"/>
  <c r="L391" i="3"/>
  <c r="L387" i="3"/>
  <c r="L383" i="3"/>
  <c r="L379" i="3"/>
  <c r="L375" i="3"/>
  <c r="L371" i="3"/>
  <c r="L367" i="3"/>
  <c r="L363" i="3"/>
  <c r="L359" i="3"/>
  <c r="L355" i="3"/>
  <c r="L351" i="3"/>
  <c r="L347" i="3"/>
  <c r="L343" i="3"/>
  <c r="L339" i="3"/>
  <c r="L335" i="3"/>
  <c r="L331" i="3"/>
  <c r="L327" i="3"/>
  <c r="L323" i="3"/>
  <c r="L319" i="3"/>
  <c r="L315" i="3"/>
  <c r="L311" i="3"/>
  <c r="L307" i="3"/>
  <c r="L303" i="3"/>
  <c r="L299" i="3"/>
  <c r="L295" i="3"/>
  <c r="L291" i="3"/>
  <c r="L287" i="3"/>
  <c r="L283" i="3"/>
  <c r="L279" i="3"/>
  <c r="L275" i="3"/>
  <c r="L271" i="3"/>
  <c r="L267" i="3"/>
  <c r="L263" i="3"/>
  <c r="L259" i="3"/>
  <c r="L255" i="3"/>
  <c r="L251" i="3"/>
  <c r="L247" i="3"/>
  <c r="L243" i="3"/>
  <c r="L239" i="3"/>
  <c r="L235" i="3"/>
  <c r="L231" i="3"/>
  <c r="L227" i="3"/>
  <c r="L223" i="3"/>
  <c r="L219" i="3"/>
  <c r="L215" i="3"/>
  <c r="L211" i="3"/>
  <c r="L207" i="3"/>
  <c r="L203" i="3"/>
  <c r="L199" i="3"/>
  <c r="L195" i="3"/>
  <c r="L191" i="3"/>
  <c r="L187" i="3"/>
  <c r="L183" i="3"/>
  <c r="L179" i="3"/>
  <c r="L175" i="3"/>
  <c r="L171" i="3"/>
  <c r="L167" i="3"/>
  <c r="L163" i="3"/>
  <c r="L159" i="3"/>
  <c r="L155" i="3"/>
  <c r="L151" i="3"/>
  <c r="L147" i="3"/>
  <c r="L143" i="3"/>
  <c r="L139" i="3"/>
  <c r="L135" i="3"/>
  <c r="L131" i="3"/>
  <c r="L127" i="3"/>
  <c r="L123" i="3"/>
  <c r="L119" i="3"/>
  <c r="L115" i="3"/>
  <c r="L111" i="3"/>
  <c r="L107" i="3"/>
  <c r="L103" i="3"/>
  <c r="L99" i="3"/>
  <c r="L95" i="3"/>
  <c r="L91" i="3"/>
  <c r="L87" i="3"/>
  <c r="L83" i="3"/>
  <c r="L79" i="3"/>
  <c r="L75" i="3"/>
  <c r="L71" i="3"/>
  <c r="L67" i="3"/>
  <c r="L63" i="3"/>
  <c r="L59" i="3"/>
  <c r="L55" i="3"/>
  <c r="L51" i="3"/>
  <c r="L47" i="3"/>
  <c r="L43" i="3"/>
  <c r="L39" i="3"/>
  <c r="L35" i="3"/>
  <c r="L31" i="3"/>
  <c r="L27" i="3"/>
  <c r="L23" i="3"/>
  <c r="L19" i="3"/>
  <c r="L15" i="3"/>
  <c r="L11" i="3"/>
  <c r="L7" i="3"/>
  <c r="L993" i="3"/>
  <c r="L977" i="3"/>
  <c r="L961" i="3"/>
  <c r="L945" i="3"/>
  <c r="L929" i="3"/>
  <c r="L913" i="3"/>
  <c r="L897" i="3"/>
  <c r="L881" i="3"/>
  <c r="L865" i="3"/>
  <c r="L849" i="3"/>
  <c r="L833" i="3"/>
  <c r="L817" i="3"/>
  <c r="L801" i="3"/>
  <c r="L785" i="3"/>
  <c r="L769" i="3"/>
  <c r="L753" i="3"/>
  <c r="L737" i="3"/>
  <c r="L721" i="3"/>
  <c r="L705" i="3"/>
  <c r="L689" i="3"/>
  <c r="L673" i="3"/>
  <c r="L657" i="3"/>
  <c r="L641" i="3"/>
  <c r="L625" i="3"/>
  <c r="L609" i="3"/>
  <c r="L593" i="3"/>
  <c r="L577" i="3"/>
  <c r="L561" i="3"/>
  <c r="L545" i="3"/>
  <c r="L529" i="3"/>
  <c r="L513" i="3"/>
  <c r="L497" i="3"/>
  <c r="L481" i="3"/>
  <c r="L465" i="3"/>
  <c r="L449" i="3"/>
  <c r="L433" i="3"/>
  <c r="L417" i="3"/>
  <c r="L401" i="3"/>
  <c r="L385" i="3"/>
  <c r="L369" i="3"/>
  <c r="L353" i="3"/>
  <c r="L337" i="3"/>
  <c r="L321" i="3"/>
  <c r="L305" i="3"/>
  <c r="L289" i="3"/>
  <c r="L273" i="3"/>
  <c r="L257" i="3"/>
  <c r="L241" i="3"/>
  <c r="L225" i="3"/>
  <c r="L209" i="3"/>
  <c r="L193" i="3"/>
  <c r="L177" i="3"/>
  <c r="L161" i="3"/>
  <c r="L145" i="3"/>
  <c r="L129" i="3"/>
  <c r="L113" i="3"/>
  <c r="L97" i="3"/>
  <c r="L81" i="3"/>
  <c r="L65" i="3"/>
  <c r="L49" i="3"/>
  <c r="L33" i="3"/>
  <c r="L17" i="3"/>
  <c r="L989" i="3"/>
  <c r="L973" i="3"/>
  <c r="L957" i="3"/>
  <c r="L941" i="3"/>
  <c r="L925" i="3"/>
  <c r="L909" i="3"/>
  <c r="L893" i="3"/>
  <c r="L877" i="3"/>
  <c r="L861" i="3"/>
  <c r="L845" i="3"/>
  <c r="L829" i="3"/>
  <c r="L813" i="3"/>
  <c r="L797" i="3"/>
  <c r="L781" i="3"/>
  <c r="L765" i="3"/>
  <c r="L749" i="3"/>
  <c r="L733" i="3"/>
  <c r="L717" i="3"/>
  <c r="L701" i="3"/>
  <c r="L685" i="3"/>
  <c r="L669" i="3"/>
  <c r="L653" i="3"/>
  <c r="L637" i="3"/>
  <c r="L621" i="3"/>
  <c r="L605" i="3"/>
  <c r="L589" i="3"/>
  <c r="L573" i="3"/>
  <c r="L557" i="3"/>
  <c r="L541" i="3"/>
  <c r="L525" i="3"/>
  <c r="L509" i="3"/>
  <c r="L493" i="3"/>
  <c r="L477" i="3"/>
  <c r="L461" i="3"/>
  <c r="L445" i="3"/>
  <c r="L429" i="3"/>
  <c r="L413" i="3"/>
  <c r="L397" i="3"/>
  <c r="L381" i="3"/>
  <c r="L365" i="3"/>
  <c r="L349" i="3"/>
  <c r="L333" i="3"/>
  <c r="L317" i="3"/>
  <c r="L301" i="3"/>
  <c r="L285" i="3"/>
  <c r="L269" i="3"/>
  <c r="L253" i="3"/>
  <c r="L237" i="3"/>
  <c r="L221" i="3"/>
  <c r="L205" i="3"/>
  <c r="L189" i="3"/>
  <c r="L173" i="3"/>
  <c r="L157" i="3"/>
  <c r="L141" i="3"/>
  <c r="L125" i="3"/>
  <c r="L109" i="3"/>
  <c r="L93" i="3"/>
  <c r="L77" i="3"/>
  <c r="L61" i="3"/>
  <c r="L45" i="3"/>
  <c r="L29" i="3"/>
  <c r="L13" i="3"/>
  <c r="L1001" i="3"/>
  <c r="L985" i="3"/>
  <c r="L969" i="3"/>
  <c r="L953" i="3"/>
  <c r="L937" i="3"/>
  <c r="L921" i="3"/>
  <c r="L905" i="3"/>
  <c r="L889" i="3"/>
  <c r="L873" i="3"/>
  <c r="L857" i="3"/>
  <c r="L841" i="3"/>
  <c r="L825" i="3"/>
  <c r="L809" i="3"/>
  <c r="L793" i="3"/>
  <c r="L777" i="3"/>
  <c r="L761" i="3"/>
  <c r="L745" i="3"/>
  <c r="L729" i="3"/>
  <c r="L713" i="3"/>
  <c r="L697" i="3"/>
  <c r="L681" i="3"/>
  <c r="L665" i="3"/>
  <c r="L649" i="3"/>
  <c r="L633" i="3"/>
  <c r="L617" i="3"/>
  <c r="L601" i="3"/>
  <c r="L585" i="3"/>
  <c r="L569" i="3"/>
  <c r="L553" i="3"/>
  <c r="L537" i="3"/>
  <c r="L521" i="3"/>
  <c r="L505" i="3"/>
  <c r="L489" i="3"/>
  <c r="L473" i="3"/>
  <c r="L457" i="3"/>
  <c r="L441" i="3"/>
  <c r="L425" i="3"/>
  <c r="L409" i="3"/>
  <c r="L393" i="3"/>
  <c r="L377" i="3"/>
  <c r="L361" i="3"/>
  <c r="L345" i="3"/>
  <c r="L329" i="3"/>
  <c r="L313" i="3"/>
  <c r="L297" i="3"/>
  <c r="L281" i="3"/>
  <c r="L265" i="3"/>
  <c r="L249" i="3"/>
  <c r="L233" i="3"/>
  <c r="L217" i="3"/>
  <c r="L201" i="3"/>
  <c r="L185" i="3"/>
  <c r="L169" i="3"/>
  <c r="L153" i="3"/>
  <c r="L137" i="3"/>
  <c r="L121" i="3"/>
  <c r="L105" i="3"/>
  <c r="L89" i="3"/>
  <c r="L73" i="3"/>
  <c r="L57" i="3"/>
  <c r="L41" i="3"/>
  <c r="L25" i="3"/>
  <c r="L9" i="3"/>
  <c r="L805" i="3"/>
  <c r="L741" i="3"/>
  <c r="L709" i="3"/>
  <c r="L693" i="3"/>
  <c r="L661" i="3"/>
  <c r="L629" i="3"/>
  <c r="L597" i="3"/>
  <c r="L549" i="3"/>
  <c r="L517" i="3"/>
  <c r="L485" i="3"/>
  <c r="L453" i="3"/>
  <c r="L421" i="3"/>
  <c r="L389" i="3"/>
  <c r="L357" i="3"/>
  <c r="L325" i="3"/>
  <c r="L293" i="3"/>
  <c r="L261" i="3"/>
  <c r="L229" i="3"/>
  <c r="L197" i="3"/>
  <c r="L165" i="3"/>
  <c r="L133" i="3"/>
  <c r="L101" i="3"/>
  <c r="L69" i="3"/>
  <c r="L37" i="3"/>
  <c r="L6" i="3"/>
  <c r="L997" i="3"/>
  <c r="L981" i="3"/>
  <c r="L965" i="3"/>
  <c r="L949" i="3"/>
  <c r="L933" i="3"/>
  <c r="L917" i="3"/>
  <c r="L901" i="3"/>
  <c r="L885" i="3"/>
  <c r="L869" i="3"/>
  <c r="L853" i="3"/>
  <c r="L837" i="3"/>
  <c r="L821" i="3"/>
  <c r="L789" i="3"/>
  <c r="L773" i="3"/>
  <c r="L757" i="3"/>
  <c r="L725" i="3"/>
  <c r="L677" i="3"/>
  <c r="L645" i="3"/>
  <c r="L613" i="3"/>
  <c r="L581" i="3"/>
  <c r="L565" i="3"/>
  <c r="L533" i="3"/>
  <c r="L501" i="3"/>
  <c r="L469" i="3"/>
  <c r="L437" i="3"/>
  <c r="L405" i="3"/>
  <c r="L373" i="3"/>
  <c r="L341" i="3"/>
  <c r="L309" i="3"/>
  <c r="L277" i="3"/>
  <c r="L245" i="3"/>
  <c r="L213" i="3"/>
  <c r="L181" i="3"/>
  <c r="L149" i="3"/>
  <c r="L117" i="3"/>
  <c r="L85" i="3"/>
  <c r="L53" i="3"/>
  <c r="L21" i="3"/>
  <c r="P1004" i="3"/>
  <c r="P1000" i="3"/>
  <c r="P996" i="3"/>
  <c r="P992" i="3"/>
  <c r="P988" i="3"/>
  <c r="P984" i="3"/>
  <c r="P980" i="3"/>
  <c r="P976" i="3"/>
  <c r="P972" i="3"/>
  <c r="P968" i="3"/>
  <c r="P964" i="3"/>
  <c r="P960" i="3"/>
  <c r="P956" i="3"/>
  <c r="P952" i="3"/>
  <c r="P948" i="3"/>
  <c r="P944" i="3"/>
  <c r="P940" i="3"/>
  <c r="P936" i="3"/>
  <c r="P932" i="3"/>
  <c r="P928" i="3"/>
  <c r="P924" i="3"/>
  <c r="P920" i="3"/>
  <c r="P916" i="3"/>
  <c r="P912" i="3"/>
  <c r="P908" i="3"/>
  <c r="P904" i="3"/>
  <c r="P900" i="3"/>
  <c r="P896" i="3"/>
  <c r="P892" i="3"/>
  <c r="P888" i="3"/>
  <c r="P884" i="3"/>
  <c r="P880" i="3"/>
  <c r="P876" i="3"/>
  <c r="P872" i="3"/>
  <c r="P868" i="3"/>
  <c r="P864" i="3"/>
  <c r="P860" i="3"/>
  <c r="P856" i="3"/>
  <c r="P852" i="3"/>
  <c r="P848" i="3"/>
  <c r="P844" i="3"/>
  <c r="P840" i="3"/>
  <c r="P836" i="3"/>
  <c r="P832" i="3"/>
  <c r="P828" i="3"/>
  <c r="P824" i="3"/>
  <c r="P820" i="3"/>
  <c r="P816" i="3"/>
  <c r="P812" i="3"/>
  <c r="P808" i="3"/>
  <c r="P804" i="3"/>
  <c r="P800" i="3"/>
  <c r="P796" i="3"/>
  <c r="P792" i="3"/>
  <c r="P788" i="3"/>
  <c r="P784" i="3"/>
  <c r="P780" i="3"/>
  <c r="P776" i="3"/>
  <c r="P772" i="3"/>
  <c r="P768" i="3"/>
  <c r="P764" i="3"/>
  <c r="P760" i="3"/>
  <c r="P756" i="3"/>
  <c r="P752" i="3"/>
  <c r="P748" i="3"/>
  <c r="P744" i="3"/>
  <c r="P740" i="3"/>
  <c r="P736" i="3"/>
  <c r="P732" i="3"/>
  <c r="P728" i="3"/>
  <c r="P724" i="3"/>
  <c r="P720" i="3"/>
  <c r="P716" i="3"/>
  <c r="P712" i="3"/>
  <c r="P708" i="3"/>
  <c r="P704" i="3"/>
  <c r="P700" i="3"/>
  <c r="P696" i="3"/>
  <c r="P692" i="3"/>
  <c r="P688" i="3"/>
  <c r="P684" i="3"/>
  <c r="P680" i="3"/>
  <c r="P676" i="3"/>
  <c r="P672" i="3"/>
  <c r="P668" i="3"/>
  <c r="P664" i="3"/>
  <c r="P660" i="3"/>
  <c r="P656" i="3"/>
  <c r="P652" i="3"/>
  <c r="P648" i="3"/>
  <c r="P644" i="3"/>
  <c r="P640" i="3"/>
  <c r="P636" i="3"/>
  <c r="P632" i="3"/>
  <c r="P628" i="3"/>
  <c r="P624" i="3"/>
  <c r="P620" i="3"/>
  <c r="P616" i="3"/>
  <c r="P612" i="3"/>
  <c r="P608" i="3"/>
  <c r="P604" i="3"/>
  <c r="P600" i="3"/>
  <c r="P596" i="3"/>
  <c r="P592" i="3"/>
  <c r="P588" i="3"/>
  <c r="P584" i="3"/>
  <c r="P580" i="3"/>
  <c r="P576" i="3"/>
  <c r="P572" i="3"/>
  <c r="P568" i="3"/>
  <c r="P564" i="3"/>
  <c r="P560" i="3"/>
  <c r="P556" i="3"/>
  <c r="P552" i="3"/>
  <c r="P548" i="3"/>
  <c r="P544" i="3"/>
  <c r="P540" i="3"/>
  <c r="P536" i="3"/>
  <c r="P532" i="3"/>
  <c r="P528" i="3"/>
  <c r="P524" i="3"/>
  <c r="P520" i="3"/>
  <c r="P516" i="3"/>
  <c r="P512" i="3"/>
  <c r="P508" i="3"/>
  <c r="P504" i="3"/>
  <c r="P500" i="3"/>
  <c r="P496" i="3"/>
  <c r="P492" i="3"/>
  <c r="P488" i="3"/>
  <c r="P484" i="3"/>
  <c r="P480" i="3"/>
  <c r="P476" i="3"/>
  <c r="P472" i="3"/>
  <c r="P468" i="3"/>
  <c r="P464" i="3"/>
  <c r="P460" i="3"/>
  <c r="P456" i="3"/>
  <c r="P452" i="3"/>
  <c r="P448" i="3"/>
  <c r="P444" i="3"/>
  <c r="P440" i="3"/>
  <c r="P436" i="3"/>
  <c r="P432" i="3"/>
  <c r="P428" i="3"/>
  <c r="P424" i="3"/>
  <c r="P420" i="3"/>
  <c r="P416" i="3"/>
  <c r="P412" i="3"/>
  <c r="P408" i="3"/>
  <c r="P404" i="3"/>
  <c r="P400" i="3"/>
  <c r="P396" i="3"/>
  <c r="P392" i="3"/>
  <c r="P388" i="3"/>
  <c r="P384" i="3"/>
  <c r="P380" i="3"/>
  <c r="P376" i="3"/>
  <c r="P372" i="3"/>
  <c r="P368" i="3"/>
  <c r="P364" i="3"/>
  <c r="P360" i="3"/>
  <c r="P356" i="3"/>
  <c r="P352" i="3"/>
  <c r="P348" i="3"/>
  <c r="P344" i="3"/>
  <c r="P340" i="3"/>
  <c r="P336" i="3"/>
  <c r="P332" i="3"/>
  <c r="P328" i="3"/>
  <c r="P324" i="3"/>
  <c r="P320" i="3"/>
  <c r="P316" i="3"/>
  <c r="P312" i="3"/>
  <c r="P308" i="3"/>
  <c r="P304" i="3"/>
  <c r="P300" i="3"/>
  <c r="P296" i="3"/>
  <c r="P292" i="3"/>
  <c r="P288" i="3"/>
  <c r="P284" i="3"/>
  <c r="P280" i="3"/>
  <c r="P276" i="3"/>
  <c r="P272" i="3"/>
  <c r="P268" i="3"/>
  <c r="P264" i="3"/>
  <c r="P260" i="3"/>
  <c r="P256" i="3"/>
  <c r="P252" i="3"/>
  <c r="P248" i="3"/>
  <c r="P244" i="3"/>
  <c r="P240" i="3"/>
  <c r="P236" i="3"/>
  <c r="P232" i="3"/>
  <c r="P228" i="3"/>
  <c r="P999" i="3"/>
  <c r="P994" i="3"/>
  <c r="P989" i="3"/>
  <c r="P983" i="3"/>
  <c r="P978" i="3"/>
  <c r="P973" i="3"/>
  <c r="P967" i="3"/>
  <c r="P962" i="3"/>
  <c r="P957" i="3"/>
  <c r="P951" i="3"/>
  <c r="P946" i="3"/>
  <c r="P941" i="3"/>
  <c r="P935" i="3"/>
  <c r="P930" i="3"/>
  <c r="P925" i="3"/>
  <c r="P919" i="3"/>
  <c r="P914" i="3"/>
  <c r="P909" i="3"/>
  <c r="P903" i="3"/>
  <c r="P898" i="3"/>
  <c r="P893" i="3"/>
  <c r="P887" i="3"/>
  <c r="P882" i="3"/>
  <c r="P877" i="3"/>
  <c r="P871" i="3"/>
  <c r="P866" i="3"/>
  <c r="P861" i="3"/>
  <c r="P855" i="3"/>
  <c r="P850" i="3"/>
  <c r="P845" i="3"/>
  <c r="P839" i="3"/>
  <c r="P834" i="3"/>
  <c r="P829" i="3"/>
  <c r="P823" i="3"/>
  <c r="P818" i="3"/>
  <c r="P813" i="3"/>
  <c r="P807" i="3"/>
  <c r="P802" i="3"/>
  <c r="P797" i="3"/>
  <c r="P791" i="3"/>
  <c r="P786" i="3"/>
  <c r="P781" i="3"/>
  <c r="P775" i="3"/>
  <c r="P770" i="3"/>
  <c r="P765" i="3"/>
  <c r="P759" i="3"/>
  <c r="P754" i="3"/>
  <c r="P749" i="3"/>
  <c r="P743" i="3"/>
  <c r="P738" i="3"/>
  <c r="P733" i="3"/>
  <c r="P727" i="3"/>
  <c r="P722" i="3"/>
  <c r="P717" i="3"/>
  <c r="P711" i="3"/>
  <c r="P706" i="3"/>
  <c r="P701" i="3"/>
  <c r="P695" i="3"/>
  <c r="P690" i="3"/>
  <c r="P685" i="3"/>
  <c r="P679" i="3"/>
  <c r="P674" i="3"/>
  <c r="P669" i="3"/>
  <c r="P663" i="3"/>
  <c r="P658" i="3"/>
  <c r="P653" i="3"/>
  <c r="P647" i="3"/>
  <c r="P642" i="3"/>
  <c r="P637" i="3"/>
  <c r="P631" i="3"/>
  <c r="P626" i="3"/>
  <c r="P621" i="3"/>
  <c r="P615" i="3"/>
  <c r="P610" i="3"/>
  <c r="P605" i="3"/>
  <c r="P599" i="3"/>
  <c r="P594" i="3"/>
  <c r="P589" i="3"/>
  <c r="P583" i="3"/>
  <c r="P578" i="3"/>
  <c r="P573" i="3"/>
  <c r="P567" i="3"/>
  <c r="P562" i="3"/>
  <c r="P557" i="3"/>
  <c r="P551" i="3"/>
  <c r="P546" i="3"/>
  <c r="P541" i="3"/>
  <c r="P535" i="3"/>
  <c r="P530" i="3"/>
  <c r="P525" i="3"/>
  <c r="P519" i="3"/>
  <c r="P514" i="3"/>
  <c r="P509" i="3"/>
  <c r="P503" i="3"/>
  <c r="P498" i="3"/>
  <c r="P493" i="3"/>
  <c r="P487" i="3"/>
  <c r="P482" i="3"/>
  <c r="P477" i="3"/>
  <c r="P471" i="3"/>
  <c r="P466" i="3"/>
  <c r="P461" i="3"/>
  <c r="P455" i="3"/>
  <c r="P450" i="3"/>
  <c r="P445" i="3"/>
  <c r="P439" i="3"/>
  <c r="P434" i="3"/>
  <c r="P429" i="3"/>
  <c r="P423" i="3"/>
  <c r="P418" i="3"/>
  <c r="P413" i="3"/>
  <c r="P407" i="3"/>
  <c r="P402" i="3"/>
  <c r="P397" i="3"/>
  <c r="P391" i="3"/>
  <c r="P386" i="3"/>
  <c r="P381" i="3"/>
  <c r="P375" i="3"/>
  <c r="P370" i="3"/>
  <c r="P365" i="3"/>
  <c r="P359" i="3"/>
  <c r="P354" i="3"/>
  <c r="P349" i="3"/>
  <c r="P343" i="3"/>
  <c r="P338" i="3"/>
  <c r="P333" i="3"/>
  <c r="P327" i="3"/>
  <c r="P322" i="3"/>
  <c r="P317" i="3"/>
  <c r="P311" i="3"/>
  <c r="P306" i="3"/>
  <c r="P301" i="3"/>
  <c r="P295" i="3"/>
  <c r="P290" i="3"/>
  <c r="P285" i="3"/>
  <c r="P279" i="3"/>
  <c r="P274" i="3"/>
  <c r="P269" i="3"/>
  <c r="P263" i="3"/>
  <c r="P258" i="3"/>
  <c r="P253" i="3"/>
  <c r="P247" i="3"/>
  <c r="P242" i="3"/>
  <c r="P237" i="3"/>
  <c r="P231" i="3"/>
  <c r="P226" i="3"/>
  <c r="P222" i="3"/>
  <c r="P218" i="3"/>
  <c r="P214" i="3"/>
  <c r="P210" i="3"/>
  <c r="P206" i="3"/>
  <c r="P202" i="3"/>
  <c r="P198" i="3"/>
  <c r="P194" i="3"/>
  <c r="P190" i="3"/>
  <c r="P186" i="3"/>
  <c r="P182" i="3"/>
  <c r="P178" i="3"/>
  <c r="P174" i="3"/>
  <c r="P170" i="3"/>
  <c r="P166" i="3"/>
  <c r="P162" i="3"/>
  <c r="P158" i="3"/>
  <c r="P154" i="3"/>
  <c r="P150" i="3"/>
  <c r="P146" i="3"/>
  <c r="P142" i="3"/>
  <c r="P138" i="3"/>
  <c r="P134" i="3"/>
  <c r="P130" i="3"/>
  <c r="P126" i="3"/>
  <c r="P122" i="3"/>
  <c r="P118" i="3"/>
  <c r="P114" i="3"/>
  <c r="P110" i="3"/>
  <c r="P106" i="3"/>
  <c r="P102" i="3"/>
  <c r="P98" i="3"/>
  <c r="P94" i="3"/>
  <c r="P90" i="3"/>
  <c r="P86" i="3"/>
  <c r="P82" i="3"/>
  <c r="P78" i="3"/>
  <c r="P74" i="3"/>
  <c r="P70" i="3"/>
  <c r="P66" i="3"/>
  <c r="P62" i="3"/>
  <c r="P58" i="3"/>
  <c r="P54" i="3"/>
  <c r="P50" i="3"/>
  <c r="P46" i="3"/>
  <c r="P42" i="3"/>
  <c r="P38" i="3"/>
  <c r="P34" i="3"/>
  <c r="P30" i="3"/>
  <c r="P26" i="3"/>
  <c r="P22" i="3"/>
  <c r="P18" i="3"/>
  <c r="P14" i="3"/>
  <c r="P10" i="3"/>
  <c r="P1002" i="3"/>
  <c r="P997" i="3"/>
  <c r="P991" i="3"/>
  <c r="P986" i="3"/>
  <c r="P981" i="3"/>
  <c r="P975" i="3"/>
  <c r="P970" i="3"/>
  <c r="P965" i="3"/>
  <c r="P959" i="3"/>
  <c r="P954" i="3"/>
  <c r="P949" i="3"/>
  <c r="P943" i="3"/>
  <c r="P938" i="3"/>
  <c r="P933" i="3"/>
  <c r="P927" i="3"/>
  <c r="P922" i="3"/>
  <c r="P917" i="3"/>
  <c r="P911" i="3"/>
  <c r="P906" i="3"/>
  <c r="P901" i="3"/>
  <c r="P895" i="3"/>
  <c r="P890" i="3"/>
  <c r="P885" i="3"/>
  <c r="P879" i="3"/>
  <c r="P874" i="3"/>
  <c r="P869" i="3"/>
  <c r="P863" i="3"/>
  <c r="P858" i="3"/>
  <c r="P853" i="3"/>
  <c r="P847" i="3"/>
  <c r="P842" i="3"/>
  <c r="P837" i="3"/>
  <c r="P831" i="3"/>
  <c r="P826" i="3"/>
  <c r="P821" i="3"/>
  <c r="P815" i="3"/>
  <c r="P810" i="3"/>
  <c r="P805" i="3"/>
  <c r="P799" i="3"/>
  <c r="P794" i="3"/>
  <c r="P789" i="3"/>
  <c r="P783" i="3"/>
  <c r="P778" i="3"/>
  <c r="P773" i="3"/>
  <c r="P767" i="3"/>
  <c r="P762" i="3"/>
  <c r="P757" i="3"/>
  <c r="P751" i="3"/>
  <c r="P746" i="3"/>
  <c r="P741" i="3"/>
  <c r="P735" i="3"/>
  <c r="P730" i="3"/>
  <c r="P725" i="3"/>
  <c r="P719" i="3"/>
  <c r="P714" i="3"/>
  <c r="P709" i="3"/>
  <c r="P703" i="3"/>
  <c r="P698" i="3"/>
  <c r="P693" i="3"/>
  <c r="P687" i="3"/>
  <c r="P682" i="3"/>
  <c r="P677" i="3"/>
  <c r="P671" i="3"/>
  <c r="P666" i="3"/>
  <c r="P661" i="3"/>
  <c r="P655" i="3"/>
  <c r="P650" i="3"/>
  <c r="P645" i="3"/>
  <c r="P639" i="3"/>
  <c r="P634" i="3"/>
  <c r="P629" i="3"/>
  <c r="P623" i="3"/>
  <c r="P618" i="3"/>
  <c r="P613" i="3"/>
  <c r="P607" i="3"/>
  <c r="P602" i="3"/>
  <c r="P597" i="3"/>
  <c r="P591" i="3"/>
  <c r="P586" i="3"/>
  <c r="P581" i="3"/>
  <c r="P575" i="3"/>
  <c r="P570" i="3"/>
  <c r="P565" i="3"/>
  <c r="P559" i="3"/>
  <c r="P554" i="3"/>
  <c r="P549" i="3"/>
  <c r="P543" i="3"/>
  <c r="P538" i="3"/>
  <c r="P533" i="3"/>
  <c r="P527" i="3"/>
  <c r="P522" i="3"/>
  <c r="P517" i="3"/>
  <c r="P511" i="3"/>
  <c r="P506" i="3"/>
  <c r="P501" i="3"/>
  <c r="P495" i="3"/>
  <c r="P490" i="3"/>
  <c r="P485" i="3"/>
  <c r="P479" i="3"/>
  <c r="P474" i="3"/>
  <c r="P469" i="3"/>
  <c r="P463" i="3"/>
  <c r="P458" i="3"/>
  <c r="P453" i="3"/>
  <c r="P447" i="3"/>
  <c r="P442" i="3"/>
  <c r="P437" i="3"/>
  <c r="P431" i="3"/>
  <c r="P426" i="3"/>
  <c r="P421" i="3"/>
  <c r="P415" i="3"/>
  <c r="P410" i="3"/>
  <c r="P405" i="3"/>
  <c r="P399" i="3"/>
  <c r="P394" i="3"/>
  <c r="P389" i="3"/>
  <c r="P383" i="3"/>
  <c r="P378" i="3"/>
  <c r="P373" i="3"/>
  <c r="P367" i="3"/>
  <c r="P362" i="3"/>
  <c r="P357" i="3"/>
  <c r="P351" i="3"/>
  <c r="P346" i="3"/>
  <c r="P341" i="3"/>
  <c r="P335" i="3"/>
  <c r="P330" i="3"/>
  <c r="P325" i="3"/>
  <c r="P319" i="3"/>
  <c r="P314" i="3"/>
  <c r="P309" i="3"/>
  <c r="P303" i="3"/>
  <c r="P298" i="3"/>
  <c r="P293" i="3"/>
  <c r="P287" i="3"/>
  <c r="P282" i="3"/>
  <c r="P277" i="3"/>
  <c r="P271" i="3"/>
  <c r="P266" i="3"/>
  <c r="P261" i="3"/>
  <c r="P255" i="3"/>
  <c r="P250" i="3"/>
  <c r="P245" i="3"/>
  <c r="P239" i="3"/>
  <c r="P234" i="3"/>
  <c r="P229" i="3"/>
  <c r="P224" i="3"/>
  <c r="P220" i="3"/>
  <c r="P216" i="3"/>
  <c r="P212" i="3"/>
  <c r="P208" i="3"/>
  <c r="P204" i="3"/>
  <c r="P200" i="3"/>
  <c r="P196" i="3"/>
  <c r="P192" i="3"/>
  <c r="P188" i="3"/>
  <c r="P184" i="3"/>
  <c r="P180" i="3"/>
  <c r="P176" i="3"/>
  <c r="P172" i="3"/>
  <c r="P168" i="3"/>
  <c r="P164" i="3"/>
  <c r="P160" i="3"/>
  <c r="P156" i="3"/>
  <c r="P152" i="3"/>
  <c r="P148" i="3"/>
  <c r="P144" i="3"/>
  <c r="P140" i="3"/>
  <c r="P136" i="3"/>
  <c r="P132" i="3"/>
  <c r="P128" i="3"/>
  <c r="P124" i="3"/>
  <c r="P120" i="3"/>
  <c r="P116" i="3"/>
  <c r="P112" i="3"/>
  <c r="P108" i="3"/>
  <c r="P104" i="3"/>
  <c r="P100" i="3"/>
  <c r="P96" i="3"/>
  <c r="P92" i="3"/>
  <c r="P88" i="3"/>
  <c r="P84" i="3"/>
  <c r="P80" i="3"/>
  <c r="P76" i="3"/>
  <c r="P72" i="3"/>
  <c r="P68" i="3"/>
  <c r="P64" i="3"/>
  <c r="P60" i="3"/>
  <c r="P56" i="3"/>
  <c r="P52" i="3"/>
  <c r="P48" i="3"/>
  <c r="P44" i="3"/>
  <c r="P40" i="3"/>
  <c r="P36" i="3"/>
  <c r="P32" i="3"/>
  <c r="P28" i="3"/>
  <c r="P24" i="3"/>
  <c r="P20" i="3"/>
  <c r="P16" i="3"/>
  <c r="P12" i="3"/>
  <c r="P8" i="3"/>
  <c r="P1001" i="3"/>
  <c r="P995" i="3"/>
  <c r="P990" i="3"/>
  <c r="P985" i="3"/>
  <c r="P979" i="3"/>
  <c r="P974" i="3"/>
  <c r="P969" i="3"/>
  <c r="P963" i="3"/>
  <c r="P958" i="3"/>
  <c r="P953" i="3"/>
  <c r="P947" i="3"/>
  <c r="P942" i="3"/>
  <c r="P937" i="3"/>
  <c r="P931" i="3"/>
  <c r="P926" i="3"/>
  <c r="P921" i="3"/>
  <c r="P915" i="3"/>
  <c r="P910" i="3"/>
  <c r="P905" i="3"/>
  <c r="P899" i="3"/>
  <c r="P894" i="3"/>
  <c r="P889" i="3"/>
  <c r="P883" i="3"/>
  <c r="P878" i="3"/>
  <c r="P873" i="3"/>
  <c r="P867" i="3"/>
  <c r="P862" i="3"/>
  <c r="P857" i="3"/>
  <c r="P851" i="3"/>
  <c r="P846" i="3"/>
  <c r="P841" i="3"/>
  <c r="P835" i="3"/>
  <c r="P830" i="3"/>
  <c r="P825" i="3"/>
  <c r="P819" i="3"/>
  <c r="P814" i="3"/>
  <c r="P809" i="3"/>
  <c r="P803" i="3"/>
  <c r="P798" i="3"/>
  <c r="P793" i="3"/>
  <c r="P787" i="3"/>
  <c r="P782" i="3"/>
  <c r="P777" i="3"/>
  <c r="P771" i="3"/>
  <c r="P766" i="3"/>
  <c r="P761" i="3"/>
  <c r="P755" i="3"/>
  <c r="P750" i="3"/>
  <c r="P745" i="3"/>
  <c r="P739" i="3"/>
  <c r="P734" i="3"/>
  <c r="P729" i="3"/>
  <c r="P723" i="3"/>
  <c r="P718" i="3"/>
  <c r="P713" i="3"/>
  <c r="P707" i="3"/>
  <c r="P702" i="3"/>
  <c r="P697" i="3"/>
  <c r="P691" i="3"/>
  <c r="P686" i="3"/>
  <c r="P681" i="3"/>
  <c r="P675" i="3"/>
  <c r="P670" i="3"/>
  <c r="P665" i="3"/>
  <c r="P659" i="3"/>
  <c r="P654" i="3"/>
  <c r="P649" i="3"/>
  <c r="P643" i="3"/>
  <c r="P638" i="3"/>
  <c r="P633" i="3"/>
  <c r="P627" i="3"/>
  <c r="P622" i="3"/>
  <c r="P617" i="3"/>
  <c r="P611" i="3"/>
  <c r="P606" i="3"/>
  <c r="P601" i="3"/>
  <c r="P595" i="3"/>
  <c r="P590" i="3"/>
  <c r="P585" i="3"/>
  <c r="P579" i="3"/>
  <c r="P574" i="3"/>
  <c r="P569" i="3"/>
  <c r="P563" i="3"/>
  <c r="P558" i="3"/>
  <c r="P553" i="3"/>
  <c r="P547" i="3"/>
  <c r="P542" i="3"/>
  <c r="P537" i="3"/>
  <c r="P531" i="3"/>
  <c r="P526" i="3"/>
  <c r="P521" i="3"/>
  <c r="P515" i="3"/>
  <c r="P510" i="3"/>
  <c r="P505" i="3"/>
  <c r="P499" i="3"/>
  <c r="P494" i="3"/>
  <c r="P489" i="3"/>
  <c r="P483" i="3"/>
  <c r="P478" i="3"/>
  <c r="P473" i="3"/>
  <c r="P467" i="3"/>
  <c r="P462" i="3"/>
  <c r="P457" i="3"/>
  <c r="P451" i="3"/>
  <c r="P446" i="3"/>
  <c r="P441" i="3"/>
  <c r="P435" i="3"/>
  <c r="P430" i="3"/>
  <c r="P425" i="3"/>
  <c r="P419" i="3"/>
  <c r="P414" i="3"/>
  <c r="P409" i="3"/>
  <c r="P403" i="3"/>
  <c r="P398" i="3"/>
  <c r="P393" i="3"/>
  <c r="P387" i="3"/>
  <c r="P382" i="3"/>
  <c r="P377" i="3"/>
  <c r="P371" i="3"/>
  <c r="P366" i="3"/>
  <c r="P361" i="3"/>
  <c r="P355" i="3"/>
  <c r="P350" i="3"/>
  <c r="P345" i="3"/>
  <c r="P339" i="3"/>
  <c r="P334" i="3"/>
  <c r="P329" i="3"/>
  <c r="P323" i="3"/>
  <c r="P318" i="3"/>
  <c r="P313" i="3"/>
  <c r="P307" i="3"/>
  <c r="P302" i="3"/>
  <c r="P297" i="3"/>
  <c r="P291" i="3"/>
  <c r="P286" i="3"/>
  <c r="P281" i="3"/>
  <c r="P275" i="3"/>
  <c r="P270" i="3"/>
  <c r="P265" i="3"/>
  <c r="P259" i="3"/>
  <c r="P254" i="3"/>
  <c r="P249" i="3"/>
  <c r="P243" i="3"/>
  <c r="P238" i="3"/>
  <c r="P233" i="3"/>
  <c r="P227" i="3"/>
  <c r="P223" i="3"/>
  <c r="P219" i="3"/>
  <c r="P215" i="3"/>
  <c r="P211" i="3"/>
  <c r="P207" i="3"/>
  <c r="P203" i="3"/>
  <c r="P199" i="3"/>
  <c r="P195" i="3"/>
  <c r="P191" i="3"/>
  <c r="P187" i="3"/>
  <c r="P183" i="3"/>
  <c r="P179" i="3"/>
  <c r="P175" i="3"/>
  <c r="P171" i="3"/>
  <c r="P167" i="3"/>
  <c r="P163" i="3"/>
  <c r="P159" i="3"/>
  <c r="P155" i="3"/>
  <c r="P151" i="3"/>
  <c r="P147" i="3"/>
  <c r="P143" i="3"/>
  <c r="P139" i="3"/>
  <c r="P135" i="3"/>
  <c r="P131" i="3"/>
  <c r="P127" i="3"/>
  <c r="P123" i="3"/>
  <c r="P119" i="3"/>
  <c r="P115" i="3"/>
  <c r="P111" i="3"/>
  <c r="P107" i="3"/>
  <c r="P103" i="3"/>
  <c r="P99" i="3"/>
  <c r="P95" i="3"/>
  <c r="P91" i="3"/>
  <c r="P87" i="3"/>
  <c r="P83" i="3"/>
  <c r="P79" i="3"/>
  <c r="P75" i="3"/>
  <c r="P71" i="3"/>
  <c r="P67" i="3"/>
  <c r="P63" i="3"/>
  <c r="P59" i="3"/>
  <c r="P55" i="3"/>
  <c r="P51" i="3"/>
  <c r="P47" i="3"/>
  <c r="P43" i="3"/>
  <c r="P39" i="3"/>
  <c r="P35" i="3"/>
  <c r="P31" i="3"/>
  <c r="P27" i="3"/>
  <c r="P23" i="3"/>
  <c r="P19" i="3"/>
  <c r="P15" i="3"/>
  <c r="P11" i="3"/>
  <c r="P7" i="3"/>
  <c r="P993" i="3"/>
  <c r="P971" i="3"/>
  <c r="P950" i="3"/>
  <c r="P929" i="3"/>
  <c r="P907" i="3"/>
  <c r="P886" i="3"/>
  <c r="P865" i="3"/>
  <c r="P843" i="3"/>
  <c r="P822" i="3"/>
  <c r="P801" i="3"/>
  <c r="P779" i="3"/>
  <c r="P758" i="3"/>
  <c r="P737" i="3"/>
  <c r="P715" i="3"/>
  <c r="P694" i="3"/>
  <c r="P673" i="3"/>
  <c r="P651" i="3"/>
  <c r="P630" i="3"/>
  <c r="P609" i="3"/>
  <c r="P587" i="3"/>
  <c r="P566" i="3"/>
  <c r="P545" i="3"/>
  <c r="P523" i="3"/>
  <c r="P502" i="3"/>
  <c r="P481" i="3"/>
  <c r="P459" i="3"/>
  <c r="P438" i="3"/>
  <c r="P417" i="3"/>
  <c r="P395" i="3"/>
  <c r="P374" i="3"/>
  <c r="P353" i="3"/>
  <c r="P331" i="3"/>
  <c r="P310" i="3"/>
  <c r="P289" i="3"/>
  <c r="P267" i="3"/>
  <c r="P246" i="3"/>
  <c r="P225" i="3"/>
  <c r="P209" i="3"/>
  <c r="P193" i="3"/>
  <c r="P177" i="3"/>
  <c r="P161" i="3"/>
  <c r="P145" i="3"/>
  <c r="P129" i="3"/>
  <c r="P113" i="3"/>
  <c r="P97" i="3"/>
  <c r="P81" i="3"/>
  <c r="P65" i="3"/>
  <c r="P49" i="3"/>
  <c r="P33" i="3"/>
  <c r="P17" i="3"/>
  <c r="P987" i="3"/>
  <c r="P966" i="3"/>
  <c r="P945" i="3"/>
  <c r="P923" i="3"/>
  <c r="P902" i="3"/>
  <c r="P881" i="3"/>
  <c r="P859" i="3"/>
  <c r="P838" i="3"/>
  <c r="P817" i="3"/>
  <c r="P795" i="3"/>
  <c r="P774" i="3"/>
  <c r="P753" i="3"/>
  <c r="P731" i="3"/>
  <c r="P710" i="3"/>
  <c r="P689" i="3"/>
  <c r="P667" i="3"/>
  <c r="P646" i="3"/>
  <c r="P625" i="3"/>
  <c r="P603" i="3"/>
  <c r="P582" i="3"/>
  <c r="P561" i="3"/>
  <c r="P539" i="3"/>
  <c r="P518" i="3"/>
  <c r="P497" i="3"/>
  <c r="P475" i="3"/>
  <c r="P454" i="3"/>
  <c r="P433" i="3"/>
  <c r="P411" i="3"/>
  <c r="P390" i="3"/>
  <c r="P369" i="3"/>
  <c r="P347" i="3"/>
  <c r="P326" i="3"/>
  <c r="P305" i="3"/>
  <c r="P283" i="3"/>
  <c r="P262" i="3"/>
  <c r="P241" i="3"/>
  <c r="P221" i="3"/>
  <c r="P205" i="3"/>
  <c r="P189" i="3"/>
  <c r="P173" i="3"/>
  <c r="P157" i="3"/>
  <c r="P141" i="3"/>
  <c r="P125" i="3"/>
  <c r="P109" i="3"/>
  <c r="P93" i="3"/>
  <c r="P77" i="3"/>
  <c r="P61" i="3"/>
  <c r="P45" i="3"/>
  <c r="P29" i="3"/>
  <c r="P13" i="3"/>
  <c r="P1003" i="3"/>
  <c r="P982" i="3"/>
  <c r="P961" i="3"/>
  <c r="P939" i="3"/>
  <c r="P918" i="3"/>
  <c r="P897" i="3"/>
  <c r="P875" i="3"/>
  <c r="P854" i="3"/>
  <c r="P833" i="3"/>
  <c r="P811" i="3"/>
  <c r="P790" i="3"/>
  <c r="P769" i="3"/>
  <c r="P747" i="3"/>
  <c r="P726" i="3"/>
  <c r="P705" i="3"/>
  <c r="P683" i="3"/>
  <c r="P662" i="3"/>
  <c r="P641" i="3"/>
  <c r="P619" i="3"/>
  <c r="P598" i="3"/>
  <c r="P577" i="3"/>
  <c r="P555" i="3"/>
  <c r="P534" i="3"/>
  <c r="P513" i="3"/>
  <c r="P491" i="3"/>
  <c r="P470" i="3"/>
  <c r="P449" i="3"/>
  <c r="P427" i="3"/>
  <c r="P406" i="3"/>
  <c r="P385" i="3"/>
  <c r="P363" i="3"/>
  <c r="P342" i="3"/>
  <c r="P321" i="3"/>
  <c r="P299" i="3"/>
  <c r="P278" i="3"/>
  <c r="P257" i="3"/>
  <c r="P235" i="3"/>
  <c r="P217" i="3"/>
  <c r="P201" i="3"/>
  <c r="P185" i="3"/>
  <c r="P169" i="3"/>
  <c r="P153" i="3"/>
  <c r="P137" i="3"/>
  <c r="P121" i="3"/>
  <c r="P105" i="3"/>
  <c r="P89" i="3"/>
  <c r="P73" i="3"/>
  <c r="P57" i="3"/>
  <c r="P41" i="3"/>
  <c r="P25" i="3"/>
  <c r="P9" i="3"/>
  <c r="P977" i="3"/>
  <c r="P934" i="3"/>
  <c r="P891" i="3"/>
  <c r="P849" i="3"/>
  <c r="P806" i="3"/>
  <c r="P763" i="3"/>
  <c r="P721" i="3"/>
  <c r="P678" i="3"/>
  <c r="P635" i="3"/>
  <c r="P593" i="3"/>
  <c r="P550" i="3"/>
  <c r="P507" i="3"/>
  <c r="P465" i="3"/>
  <c r="P422" i="3"/>
  <c r="P379" i="3"/>
  <c r="P337" i="3"/>
  <c r="P294" i="3"/>
  <c r="P251" i="3"/>
  <c r="P213" i="3"/>
  <c r="P181" i="3"/>
  <c r="P149" i="3"/>
  <c r="P117" i="3"/>
  <c r="P85" i="3"/>
  <c r="P53" i="3"/>
  <c r="P21" i="3"/>
  <c r="P998" i="3"/>
  <c r="P955" i="3"/>
  <c r="P913" i="3"/>
  <c r="P870" i="3"/>
  <c r="P827" i="3"/>
  <c r="P785" i="3"/>
  <c r="P742" i="3"/>
  <c r="P699" i="3"/>
  <c r="P657" i="3"/>
  <c r="P614" i="3"/>
  <c r="P571" i="3"/>
  <c r="P529" i="3"/>
  <c r="P486" i="3"/>
  <c r="P443" i="3"/>
  <c r="P401" i="3"/>
  <c r="P358" i="3"/>
  <c r="P315" i="3"/>
  <c r="P273" i="3"/>
  <c r="P230" i="3"/>
  <c r="P197" i="3"/>
  <c r="P165" i="3"/>
  <c r="P133" i="3"/>
  <c r="P101" i="3"/>
  <c r="P69" i="3"/>
  <c r="P37" i="3"/>
  <c r="P6" i="3"/>
  <c r="I1000" i="31"/>
  <c r="I996" i="31"/>
  <c r="I992" i="31"/>
  <c r="I988" i="31"/>
  <c r="I984" i="31"/>
  <c r="I980" i="31"/>
  <c r="I976" i="31"/>
  <c r="I972" i="31"/>
  <c r="I968" i="31"/>
  <c r="I964" i="31"/>
  <c r="I960" i="31"/>
  <c r="I956" i="31"/>
  <c r="I952" i="31"/>
  <c r="I948" i="31"/>
  <c r="I944" i="31"/>
  <c r="I940" i="31"/>
  <c r="I936" i="31"/>
  <c r="I932" i="31"/>
  <c r="I928" i="31"/>
  <c r="I924" i="31"/>
  <c r="I920" i="31"/>
  <c r="I916" i="31"/>
  <c r="I912" i="31"/>
  <c r="I908" i="31"/>
  <c r="I904" i="31"/>
  <c r="I900" i="31"/>
  <c r="I896" i="31"/>
  <c r="I892" i="31"/>
  <c r="I888" i="31"/>
  <c r="I884" i="31"/>
  <c r="I880" i="31"/>
  <c r="I876" i="31"/>
  <c r="I872" i="31"/>
  <c r="I868" i="31"/>
  <c r="I864" i="31"/>
  <c r="I860" i="31"/>
  <c r="I856" i="31"/>
  <c r="I852" i="31"/>
  <c r="I848" i="31"/>
  <c r="I844" i="31"/>
  <c r="I840" i="31"/>
  <c r="I836" i="31"/>
  <c r="I832" i="31"/>
  <c r="I828" i="31"/>
  <c r="I824" i="31"/>
  <c r="I820" i="31"/>
  <c r="I816" i="31"/>
  <c r="I812" i="31"/>
  <c r="I808" i="31"/>
  <c r="I804" i="31"/>
  <c r="I800" i="31"/>
  <c r="I796" i="31"/>
  <c r="I792" i="31"/>
  <c r="I788" i="31"/>
  <c r="I784" i="31"/>
  <c r="I780" i="31"/>
  <c r="I776" i="31"/>
  <c r="I772" i="31"/>
  <c r="I768" i="31"/>
  <c r="I764" i="31"/>
  <c r="I760" i="31"/>
  <c r="I756" i="31"/>
  <c r="I752" i="31"/>
  <c r="I748" i="31"/>
  <c r="I744" i="31"/>
  <c r="I740" i="31"/>
  <c r="I736" i="31"/>
  <c r="I732" i="31"/>
  <c r="I728" i="31"/>
  <c r="I724" i="31"/>
  <c r="I720" i="31"/>
  <c r="I716" i="31"/>
  <c r="I712" i="31"/>
  <c r="I708" i="31"/>
  <c r="I704" i="31"/>
  <c r="I700" i="31"/>
  <c r="I696" i="31"/>
  <c r="I692" i="31"/>
  <c r="I688" i="31"/>
  <c r="I684" i="31"/>
  <c r="I680" i="31"/>
  <c r="I676" i="31"/>
  <c r="I672" i="31"/>
  <c r="I668" i="31"/>
  <c r="I664" i="31"/>
  <c r="I660" i="31"/>
  <c r="I656" i="31"/>
  <c r="I652" i="31"/>
  <c r="I648" i="31"/>
  <c r="I644" i="31"/>
  <c r="I640" i="31"/>
  <c r="I636" i="31"/>
  <c r="I632" i="31"/>
  <c r="I628" i="31"/>
  <c r="I624" i="31"/>
  <c r="I620" i="31"/>
  <c r="I616" i="31"/>
  <c r="I612" i="31"/>
  <c r="I608" i="31"/>
  <c r="I604" i="31"/>
  <c r="I600" i="31"/>
  <c r="I596" i="31"/>
  <c r="I592" i="31"/>
  <c r="I588" i="31"/>
  <c r="I584" i="31"/>
  <c r="I580" i="31"/>
  <c r="I576" i="31"/>
  <c r="I572" i="31"/>
  <c r="I568" i="31"/>
  <c r="I564" i="31"/>
  <c r="I560" i="31"/>
  <c r="I556" i="31"/>
  <c r="I552" i="31"/>
  <c r="I548" i="31"/>
  <c r="I544" i="31"/>
  <c r="I540" i="31"/>
  <c r="I536" i="31"/>
  <c r="I532" i="31"/>
  <c r="I528" i="31"/>
  <c r="I524" i="31"/>
  <c r="I520" i="31"/>
  <c r="I516" i="31"/>
  <c r="I512" i="31"/>
  <c r="I508" i="31"/>
  <c r="I504" i="31"/>
  <c r="I500" i="31"/>
  <c r="I496" i="31"/>
  <c r="I492" i="31"/>
  <c r="I488" i="31"/>
  <c r="I484" i="31"/>
  <c r="I480" i="31"/>
  <c r="I476" i="31"/>
  <c r="I472" i="31"/>
  <c r="I468" i="31"/>
  <c r="I464" i="31"/>
  <c r="I460" i="31"/>
  <c r="I456" i="31"/>
  <c r="I452" i="31"/>
  <c r="I448" i="31"/>
  <c r="I444" i="31"/>
  <c r="I440" i="31"/>
  <c r="I436" i="31"/>
  <c r="I432" i="31"/>
  <c r="I428" i="31"/>
  <c r="I424" i="31"/>
  <c r="I420" i="31"/>
  <c r="I416" i="31"/>
  <c r="I412" i="31"/>
  <c r="I408" i="31"/>
  <c r="I404" i="31"/>
  <c r="I400" i="31"/>
  <c r="I396" i="31"/>
  <c r="I392" i="31"/>
  <c r="I388" i="31"/>
  <c r="I384" i="31"/>
  <c r="I380" i="31"/>
  <c r="I376" i="31"/>
  <c r="I372" i="31"/>
  <c r="I368" i="31"/>
  <c r="I364" i="31"/>
  <c r="I360" i="31"/>
  <c r="I356" i="31"/>
  <c r="I352" i="31"/>
  <c r="I348" i="31"/>
  <c r="I344" i="31"/>
  <c r="I340" i="31"/>
  <c r="I336" i="31"/>
  <c r="I332" i="31"/>
  <c r="I328" i="31"/>
  <c r="I324" i="31"/>
  <c r="I320" i="31"/>
  <c r="I316" i="31"/>
  <c r="I312" i="31"/>
  <c r="I308" i="31"/>
  <c r="I304" i="31"/>
  <c r="I300" i="31"/>
  <c r="I296" i="31"/>
  <c r="I292" i="31"/>
  <c r="I288" i="31"/>
  <c r="I284" i="31"/>
  <c r="I280" i="31"/>
  <c r="I276" i="31"/>
  <c r="I272" i="31"/>
  <c r="I268" i="31"/>
  <c r="I264" i="31"/>
  <c r="I260" i="31"/>
  <c r="I256" i="31"/>
  <c r="I252" i="31"/>
  <c r="I248" i="31"/>
  <c r="I244" i="31"/>
  <c r="I240" i="31"/>
  <c r="I236" i="31"/>
  <c r="I232" i="31"/>
  <c r="I228" i="31"/>
  <c r="I224" i="31"/>
  <c r="I220" i="31"/>
  <c r="I216" i="31"/>
  <c r="I212" i="31"/>
  <c r="I208" i="31"/>
  <c r="I204" i="31"/>
  <c r="I200" i="31"/>
  <c r="I196" i="31"/>
  <c r="I192" i="31"/>
  <c r="I188" i="31"/>
  <c r="I184" i="31"/>
  <c r="I180" i="31"/>
  <c r="I176" i="31"/>
  <c r="I172" i="31"/>
  <c r="I168" i="31"/>
  <c r="I164" i="31"/>
  <c r="I160" i="31"/>
  <c r="I156" i="31"/>
  <c r="I152" i="31"/>
  <c r="I148" i="31"/>
  <c r="I144" i="31"/>
  <c r="I140" i="31"/>
  <c r="I136" i="31"/>
  <c r="I132" i="31"/>
  <c r="I128" i="31"/>
  <c r="I124" i="31"/>
  <c r="I120" i="31"/>
  <c r="I116" i="31"/>
  <c r="I112" i="31"/>
  <c r="I108" i="31"/>
  <c r="I104" i="31"/>
  <c r="I100" i="31"/>
  <c r="I96" i="31"/>
  <c r="I92" i="31"/>
  <c r="I88" i="31"/>
  <c r="I84" i="31"/>
  <c r="I80" i="31"/>
  <c r="I76" i="31"/>
  <c r="I72" i="31"/>
  <c r="I68" i="31"/>
  <c r="I64" i="31"/>
  <c r="I60" i="31"/>
  <c r="I56" i="31"/>
  <c r="I52" i="31"/>
  <c r="I48" i="31"/>
  <c r="I44" i="31"/>
  <c r="I40" i="31"/>
  <c r="I36" i="31"/>
  <c r="I32" i="31"/>
  <c r="I28" i="31"/>
  <c r="I24" i="31"/>
  <c r="I20" i="31"/>
  <c r="I16" i="31"/>
  <c r="I12" i="31"/>
  <c r="I8" i="31"/>
  <c r="I4" i="31"/>
  <c r="I1" i="31"/>
  <c r="I995" i="31"/>
  <c r="I990" i="31"/>
  <c r="I985" i="31"/>
  <c r="I979" i="31"/>
  <c r="I974" i="31"/>
  <c r="I969" i="31"/>
  <c r="I963" i="31"/>
  <c r="I958" i="31"/>
  <c r="I953" i="31"/>
  <c r="I947" i="31"/>
  <c r="I942" i="31"/>
  <c r="I937" i="31"/>
  <c r="I931" i="31"/>
  <c r="I926" i="31"/>
  <c r="I921" i="31"/>
  <c r="I915" i="31"/>
  <c r="I910" i="31"/>
  <c r="I905" i="31"/>
  <c r="I899" i="31"/>
  <c r="I894" i="31"/>
  <c r="I889" i="31"/>
  <c r="I883" i="31"/>
  <c r="I878" i="31"/>
  <c r="I873" i="31"/>
  <c r="I867" i="31"/>
  <c r="I862" i="31"/>
  <c r="I857" i="31"/>
  <c r="I851" i="31"/>
  <c r="I846" i="31"/>
  <c r="I841" i="31"/>
  <c r="I835" i="31"/>
  <c r="I830" i="31"/>
  <c r="I825" i="31"/>
  <c r="I819" i="31"/>
  <c r="I814" i="31"/>
  <c r="I809" i="31"/>
  <c r="I803" i="31"/>
  <c r="I798" i="31"/>
  <c r="I793" i="31"/>
  <c r="I787" i="31"/>
  <c r="I782" i="31"/>
  <c r="I777" i="31"/>
  <c r="I771" i="31"/>
  <c r="I766" i="31"/>
  <c r="I761" i="31"/>
  <c r="I755" i="31"/>
  <c r="I750" i="31"/>
  <c r="I745" i="31"/>
  <c r="I739" i="31"/>
  <c r="I734" i="31"/>
  <c r="I729" i="31"/>
  <c r="I723" i="31"/>
  <c r="I718" i="31"/>
  <c r="I713" i="31"/>
  <c r="I707" i="31"/>
  <c r="I702" i="31"/>
  <c r="I697" i="31"/>
  <c r="I691" i="31"/>
  <c r="I686" i="31"/>
  <c r="I681" i="31"/>
  <c r="I675" i="31"/>
  <c r="I670" i="31"/>
  <c r="I665" i="31"/>
  <c r="I659" i="31"/>
  <c r="I654" i="31"/>
  <c r="I649" i="31"/>
  <c r="I643" i="31"/>
  <c r="I638" i="31"/>
  <c r="I633" i="31"/>
  <c r="I627" i="31"/>
  <c r="I622" i="31"/>
  <c r="I617" i="31"/>
  <c r="I611" i="31"/>
  <c r="I606" i="31"/>
  <c r="I601" i="31"/>
  <c r="I595" i="31"/>
  <c r="I590" i="31"/>
  <c r="I585" i="31"/>
  <c r="I579" i="31"/>
  <c r="I574" i="31"/>
  <c r="I569" i="31"/>
  <c r="I563" i="31"/>
  <c r="I558" i="31"/>
  <c r="I553" i="31"/>
  <c r="I547" i="31"/>
  <c r="I542" i="31"/>
  <c r="I537" i="31"/>
  <c r="I531" i="31"/>
  <c r="I526" i="31"/>
  <c r="I521" i="31"/>
  <c r="I515" i="31"/>
  <c r="I510" i="31"/>
  <c r="I505" i="31"/>
  <c r="I499" i="31"/>
  <c r="I494" i="31"/>
  <c r="I489" i="31"/>
  <c r="I483" i="31"/>
  <c r="I478" i="31"/>
  <c r="I473" i="31"/>
  <c r="I467" i="31"/>
  <c r="I462" i="31"/>
  <c r="I457" i="31"/>
  <c r="I451" i="31"/>
  <c r="I446" i="31"/>
  <c r="I441" i="31"/>
  <c r="I435" i="31"/>
  <c r="I430" i="31"/>
  <c r="I425" i="31"/>
  <c r="I419" i="31"/>
  <c r="I414" i="31"/>
  <c r="I409" i="31"/>
  <c r="I403" i="31"/>
  <c r="I398" i="31"/>
  <c r="I393" i="31"/>
  <c r="I387" i="31"/>
  <c r="I382" i="31"/>
  <c r="I377" i="31"/>
  <c r="I371" i="31"/>
  <c r="I366" i="31"/>
  <c r="I361" i="31"/>
  <c r="I355" i="31"/>
  <c r="I350" i="31"/>
  <c r="I345" i="31"/>
  <c r="I339" i="31"/>
  <c r="I334" i="31"/>
  <c r="I329" i="31"/>
  <c r="I323" i="31"/>
  <c r="I318" i="31"/>
  <c r="I313" i="31"/>
  <c r="I307" i="31"/>
  <c r="I302" i="31"/>
  <c r="I297" i="31"/>
  <c r="I291" i="31"/>
  <c r="I286" i="31"/>
  <c r="I281" i="31"/>
  <c r="I275" i="31"/>
  <c r="I270" i="31"/>
  <c r="I265" i="31"/>
  <c r="I259" i="31"/>
  <c r="I254" i="31"/>
  <c r="I249" i="31"/>
  <c r="I243" i="31"/>
  <c r="I238" i="31"/>
  <c r="I233" i="31"/>
  <c r="I227" i="31"/>
  <c r="I222" i="31"/>
  <c r="I217" i="31"/>
  <c r="I211" i="31"/>
  <c r="I206" i="31"/>
  <c r="I201" i="31"/>
  <c r="I195" i="31"/>
  <c r="I190" i="31"/>
  <c r="I185" i="31"/>
  <c r="I179" i="31"/>
  <c r="I174" i="31"/>
  <c r="I169" i="31"/>
  <c r="I163" i="31"/>
  <c r="I158" i="31"/>
  <c r="I153" i="31"/>
  <c r="I147" i="31"/>
  <c r="I142" i="31"/>
  <c r="I137" i="31"/>
  <c r="I131" i="31"/>
  <c r="I126" i="31"/>
  <c r="I121" i="31"/>
  <c r="I115" i="31"/>
  <c r="I110" i="31"/>
  <c r="I105" i="31"/>
  <c r="I99" i="31"/>
  <c r="I94" i="31"/>
  <c r="I89" i="31"/>
  <c r="I83" i="31"/>
  <c r="I78" i="31"/>
  <c r="I73" i="31"/>
  <c r="I67" i="31"/>
  <c r="I62" i="31"/>
  <c r="I57" i="31"/>
  <c r="I51" i="31"/>
  <c r="I46" i="31"/>
  <c r="I41" i="31"/>
  <c r="I35" i="31"/>
  <c r="I30" i="31"/>
  <c r="I25" i="31"/>
  <c r="I19" i="31"/>
  <c r="I14" i="31"/>
  <c r="I999" i="31"/>
  <c r="I993" i="31"/>
  <c r="I986" i="31"/>
  <c r="I978" i="31"/>
  <c r="I971" i="31"/>
  <c r="I965" i="31"/>
  <c r="I957" i="31"/>
  <c r="I950" i="31"/>
  <c r="I943" i="31"/>
  <c r="I935" i="31"/>
  <c r="I929" i="31"/>
  <c r="I922" i="31"/>
  <c r="I914" i="31"/>
  <c r="I907" i="31"/>
  <c r="I901" i="31"/>
  <c r="I893" i="31"/>
  <c r="I886" i="31"/>
  <c r="I879" i="31"/>
  <c r="I871" i="31"/>
  <c r="I865" i="31"/>
  <c r="I858" i="31"/>
  <c r="I850" i="31"/>
  <c r="I843" i="31"/>
  <c r="I837" i="31"/>
  <c r="I829" i="31"/>
  <c r="I822" i="31"/>
  <c r="I815" i="31"/>
  <c r="I807" i="31"/>
  <c r="I801" i="31"/>
  <c r="I794" i="31"/>
  <c r="I786" i="31"/>
  <c r="I779" i="31"/>
  <c r="I773" i="31"/>
  <c r="I765" i="31"/>
  <c r="I758" i="31"/>
  <c r="I751" i="31"/>
  <c r="I743" i="31"/>
  <c r="I737" i="31"/>
  <c r="I730" i="31"/>
  <c r="I722" i="31"/>
  <c r="I715" i="31"/>
  <c r="I709" i="31"/>
  <c r="I701" i="31"/>
  <c r="I694" i="31"/>
  <c r="I687" i="31"/>
  <c r="I679" i="31"/>
  <c r="I673" i="31"/>
  <c r="I666" i="31"/>
  <c r="I658" i="31"/>
  <c r="I651" i="31"/>
  <c r="I645" i="31"/>
  <c r="I637" i="31"/>
  <c r="I630" i="31"/>
  <c r="I623" i="31"/>
  <c r="I615" i="31"/>
  <c r="I609" i="31"/>
  <c r="I602" i="31"/>
  <c r="I594" i="31"/>
  <c r="I587" i="31"/>
  <c r="I581" i="31"/>
  <c r="I573" i="31"/>
  <c r="I566" i="31"/>
  <c r="I559" i="31"/>
  <c r="I551" i="31"/>
  <c r="I545" i="31"/>
  <c r="I538" i="31"/>
  <c r="I530" i="31"/>
  <c r="I523" i="31"/>
  <c r="I517" i="31"/>
  <c r="I509" i="31"/>
  <c r="I502" i="31"/>
  <c r="I495" i="31"/>
  <c r="I487" i="31"/>
  <c r="I481" i="31"/>
  <c r="I474" i="31"/>
  <c r="I466" i="31"/>
  <c r="I459" i="31"/>
  <c r="I453" i="31"/>
  <c r="I445" i="31"/>
  <c r="I438" i="31"/>
  <c r="I431" i="31"/>
  <c r="I423" i="31"/>
  <c r="I417" i="31"/>
  <c r="I410" i="31"/>
  <c r="I402" i="31"/>
  <c r="I395" i="31"/>
  <c r="I389" i="31"/>
  <c r="I381" i="31"/>
  <c r="I374" i="31"/>
  <c r="I367" i="31"/>
  <c r="I359" i="31"/>
  <c r="I353" i="31"/>
  <c r="I346" i="31"/>
  <c r="I338" i="31"/>
  <c r="I331" i="31"/>
  <c r="I325" i="31"/>
  <c r="I317" i="31"/>
  <c r="I310" i="31"/>
  <c r="I303" i="31"/>
  <c r="I295" i="31"/>
  <c r="I289" i="31"/>
  <c r="I282" i="31"/>
  <c r="I274" i="31"/>
  <c r="I267" i="31"/>
  <c r="I261" i="31"/>
  <c r="I253" i="31"/>
  <c r="I246" i="31"/>
  <c r="I239" i="31"/>
  <c r="I231" i="31"/>
  <c r="I225" i="31"/>
  <c r="I218" i="31"/>
  <c r="I210" i="31"/>
  <c r="I203" i="31"/>
  <c r="I197" i="31"/>
  <c r="I189" i="31"/>
  <c r="I182" i="31"/>
  <c r="I175" i="31"/>
  <c r="I167" i="31"/>
  <c r="I161" i="31"/>
  <c r="I154" i="31"/>
  <c r="I146" i="31"/>
  <c r="I139" i="31"/>
  <c r="I133" i="31"/>
  <c r="I125" i="31"/>
  <c r="I118" i="31"/>
  <c r="I111" i="31"/>
  <c r="I103" i="31"/>
  <c r="I97" i="31"/>
  <c r="I90" i="31"/>
  <c r="I82" i="31"/>
  <c r="I75" i="31"/>
  <c r="I69" i="31"/>
  <c r="I61" i="31"/>
  <c r="I54" i="31"/>
  <c r="I47" i="31"/>
  <c r="I39" i="31"/>
  <c r="I33" i="31"/>
  <c r="I26" i="31"/>
  <c r="I18" i="31"/>
  <c r="I11" i="31"/>
  <c r="I6" i="31"/>
  <c r="I997" i="31"/>
  <c r="I989" i="31"/>
  <c r="I982" i="31"/>
  <c r="I975" i="31"/>
  <c r="I967" i="31"/>
  <c r="I961" i="31"/>
  <c r="I954" i="31"/>
  <c r="I946" i="31"/>
  <c r="I939" i="31"/>
  <c r="I933" i="31"/>
  <c r="I925" i="31"/>
  <c r="I918" i="31"/>
  <c r="I911" i="31"/>
  <c r="I903" i="31"/>
  <c r="I897" i="31"/>
  <c r="I890" i="31"/>
  <c r="I882" i="31"/>
  <c r="I875" i="31"/>
  <c r="I869" i="31"/>
  <c r="I861" i="31"/>
  <c r="I854" i="31"/>
  <c r="I847" i="31"/>
  <c r="I839" i="31"/>
  <c r="I833" i="31"/>
  <c r="I826" i="31"/>
  <c r="I818" i="31"/>
  <c r="I811" i="31"/>
  <c r="I805" i="31"/>
  <c r="I797" i="31"/>
  <c r="I790" i="31"/>
  <c r="I783" i="31"/>
  <c r="I775" i="31"/>
  <c r="I769" i="31"/>
  <c r="I762" i="31"/>
  <c r="I754" i="31"/>
  <c r="I747" i="31"/>
  <c r="I741" i="31"/>
  <c r="I733" i="31"/>
  <c r="I726" i="31"/>
  <c r="I719" i="31"/>
  <c r="I711" i="31"/>
  <c r="I705" i="31"/>
  <c r="I698" i="31"/>
  <c r="I690" i="31"/>
  <c r="I683" i="31"/>
  <c r="I677" i="31"/>
  <c r="I669" i="31"/>
  <c r="I662" i="31"/>
  <c r="I655" i="31"/>
  <c r="I647" i="31"/>
  <c r="I641" i="31"/>
  <c r="I634" i="31"/>
  <c r="I626" i="31"/>
  <c r="I619" i="31"/>
  <c r="I613" i="31"/>
  <c r="I605" i="31"/>
  <c r="I598" i="31"/>
  <c r="I591" i="31"/>
  <c r="I583" i="31"/>
  <c r="I577" i="31"/>
  <c r="I570" i="31"/>
  <c r="I562" i="31"/>
  <c r="I555" i="31"/>
  <c r="I549" i="31"/>
  <c r="I541" i="31"/>
  <c r="I534" i="31"/>
  <c r="I527" i="31"/>
  <c r="I519" i="31"/>
  <c r="I513" i="31"/>
  <c r="I506" i="31"/>
  <c r="I498" i="31"/>
  <c r="I491" i="31"/>
  <c r="I485" i="31"/>
  <c r="I477" i="31"/>
  <c r="I470" i="31"/>
  <c r="I463" i="31"/>
  <c r="I455" i="31"/>
  <c r="I449" i="31"/>
  <c r="I442" i="31"/>
  <c r="I434" i="31"/>
  <c r="I427" i="31"/>
  <c r="I421" i="31"/>
  <c r="I413" i="31"/>
  <c r="I406" i="31"/>
  <c r="I399" i="31"/>
  <c r="I391" i="31"/>
  <c r="I385" i="31"/>
  <c r="I378" i="31"/>
  <c r="I370" i="31"/>
  <c r="I363" i="31"/>
  <c r="I357" i="31"/>
  <c r="I349" i="31"/>
  <c r="I342" i="31"/>
  <c r="I335" i="31"/>
  <c r="I327" i="31"/>
  <c r="I321" i="31"/>
  <c r="I314" i="31"/>
  <c r="I306" i="31"/>
  <c r="I299" i="31"/>
  <c r="I293" i="31"/>
  <c r="I285" i="31"/>
  <c r="I278" i="31"/>
  <c r="I271" i="31"/>
  <c r="I263" i="31"/>
  <c r="I257" i="31"/>
  <c r="I250" i="31"/>
  <c r="I242" i="31"/>
  <c r="I235" i="31"/>
  <c r="I229" i="31"/>
  <c r="I221" i="31"/>
  <c r="I214" i="31"/>
  <c r="I207" i="31"/>
  <c r="I199" i="31"/>
  <c r="I193" i="31"/>
  <c r="I186" i="31"/>
  <c r="I178" i="31"/>
  <c r="I171" i="31"/>
  <c r="I165" i="31"/>
  <c r="I157" i="31"/>
  <c r="I150" i="31"/>
  <c r="I143" i="31"/>
  <c r="I135" i="31"/>
  <c r="I129" i="31"/>
  <c r="I122" i="31"/>
  <c r="I114" i="31"/>
  <c r="I107" i="31"/>
  <c r="I101" i="31"/>
  <c r="I93" i="31"/>
  <c r="I86" i="31"/>
  <c r="I79" i="31"/>
  <c r="I71" i="31"/>
  <c r="I65" i="31"/>
  <c r="I58" i="31"/>
  <c r="I50" i="31"/>
  <c r="I43" i="31"/>
  <c r="I37" i="31"/>
  <c r="I29" i="31"/>
  <c r="I22" i="31"/>
  <c r="I15" i="31"/>
  <c r="I9" i="31"/>
  <c r="I3" i="31"/>
  <c r="I994" i="31"/>
  <c r="I981" i="31"/>
  <c r="I966" i="31"/>
  <c r="I951" i="31"/>
  <c r="I938" i="31"/>
  <c r="I923" i="31"/>
  <c r="I909" i="31"/>
  <c r="I895" i="31"/>
  <c r="I881" i="31"/>
  <c r="I866" i="31"/>
  <c r="I853" i="31"/>
  <c r="I838" i="31"/>
  <c r="I823" i="31"/>
  <c r="I810" i="31"/>
  <c r="I795" i="31"/>
  <c r="I781" i="31"/>
  <c r="I767" i="31"/>
  <c r="I753" i="31"/>
  <c r="I738" i="31"/>
  <c r="I725" i="31"/>
  <c r="I710" i="31"/>
  <c r="I695" i="31"/>
  <c r="I682" i="31"/>
  <c r="I667" i="31"/>
  <c r="I653" i="31"/>
  <c r="I639" i="31"/>
  <c r="I625" i="31"/>
  <c r="I610" i="31"/>
  <c r="I597" i="31"/>
  <c r="I582" i="31"/>
  <c r="I567" i="31"/>
  <c r="I554" i="31"/>
  <c r="I539" i="31"/>
  <c r="I525" i="31"/>
  <c r="I511" i="31"/>
  <c r="I497" i="31"/>
  <c r="I482" i="31"/>
  <c r="I469" i="31"/>
  <c r="I454" i="31"/>
  <c r="I439" i="31"/>
  <c r="I426" i="31"/>
  <c r="I411" i="31"/>
  <c r="I397" i="31"/>
  <c r="I383" i="31"/>
  <c r="I369" i="31"/>
  <c r="I354" i="31"/>
  <c r="I341" i="31"/>
  <c r="I326" i="31"/>
  <c r="I311" i="31"/>
  <c r="I298" i="31"/>
  <c r="I283" i="31"/>
  <c r="I269" i="31"/>
  <c r="I255" i="31"/>
  <c r="I241" i="31"/>
  <c r="I226" i="31"/>
  <c r="I213" i="31"/>
  <c r="I198" i="31"/>
  <c r="I183" i="31"/>
  <c r="I170" i="31"/>
  <c r="I155" i="31"/>
  <c r="I141" i="31"/>
  <c r="I127" i="31"/>
  <c r="I113" i="31"/>
  <c r="I98" i="31"/>
  <c r="I85" i="31"/>
  <c r="I70" i="31"/>
  <c r="I55" i="31"/>
  <c r="I42" i="31"/>
  <c r="I27" i="31"/>
  <c r="I13" i="31"/>
  <c r="I2" i="31"/>
  <c r="I991" i="31"/>
  <c r="I977" i="31"/>
  <c r="I962" i="31"/>
  <c r="I949" i="31"/>
  <c r="I934" i="31"/>
  <c r="I919" i="31"/>
  <c r="I906" i="31"/>
  <c r="I891" i="31"/>
  <c r="I877" i="31"/>
  <c r="I863" i="31"/>
  <c r="I849" i="31"/>
  <c r="I834" i="31"/>
  <c r="I821" i="31"/>
  <c r="I806" i="31"/>
  <c r="I791" i="31"/>
  <c r="I778" i="31"/>
  <c r="I763" i="31"/>
  <c r="I749" i="31"/>
  <c r="I735" i="31"/>
  <c r="I721" i="31"/>
  <c r="I706" i="31"/>
  <c r="I693" i="31"/>
  <c r="I678" i="31"/>
  <c r="I663" i="31"/>
  <c r="I650" i="31"/>
  <c r="I635" i="31"/>
  <c r="I621" i="31"/>
  <c r="I607" i="31"/>
  <c r="I593" i="31"/>
  <c r="I578" i="31"/>
  <c r="I565" i="31"/>
  <c r="I550" i="31"/>
  <c r="I535" i="31"/>
  <c r="I522" i="31"/>
  <c r="I507" i="31"/>
  <c r="I493" i="31"/>
  <c r="I479" i="31"/>
  <c r="I465" i="31"/>
  <c r="I450" i="31"/>
  <c r="I437" i="31"/>
  <c r="I422" i="31"/>
  <c r="I407" i="31"/>
  <c r="I394" i="31"/>
  <c r="I379" i="31"/>
  <c r="I365" i="31"/>
  <c r="I351" i="31"/>
  <c r="I337" i="31"/>
  <c r="I322" i="31"/>
  <c r="I309" i="31"/>
  <c r="I294" i="31"/>
  <c r="I279" i="31"/>
  <c r="I266" i="31"/>
  <c r="I251" i="31"/>
  <c r="I237" i="31"/>
  <c r="I223" i="31"/>
  <c r="I209" i="31"/>
  <c r="I194" i="31"/>
  <c r="I181" i="31"/>
  <c r="I166" i="31"/>
  <c r="I151" i="31"/>
  <c r="I138" i="31"/>
  <c r="I123" i="31"/>
  <c r="I109" i="31"/>
  <c r="I95" i="31"/>
  <c r="I81" i="31"/>
  <c r="I66" i="31"/>
  <c r="I53" i="31"/>
  <c r="I38" i="31"/>
  <c r="I23" i="31"/>
  <c r="I10" i="31"/>
  <c r="I998" i="31"/>
  <c r="I970" i="31"/>
  <c r="I941" i="31"/>
  <c r="I913" i="31"/>
  <c r="I885" i="31"/>
  <c r="I855" i="31"/>
  <c r="I827" i="31"/>
  <c r="I799" i="31"/>
  <c r="I770" i="31"/>
  <c r="I742" i="31"/>
  <c r="I714" i="31"/>
  <c r="I685" i="31"/>
  <c r="I657" i="31"/>
  <c r="I629" i="31"/>
  <c r="I599" i="31"/>
  <c r="I571" i="31"/>
  <c r="I543" i="31"/>
  <c r="I514" i="31"/>
  <c r="I486" i="31"/>
  <c r="I458" i="31"/>
  <c r="I429" i="31"/>
  <c r="I401" i="31"/>
  <c r="I373" i="31"/>
  <c r="I343" i="31"/>
  <c r="I315" i="31"/>
  <c r="I287" i="31"/>
  <c r="I258" i="31"/>
  <c r="I230" i="31"/>
  <c r="I202" i="31"/>
  <c r="I173" i="31"/>
  <c r="I145" i="31"/>
  <c r="I117" i="31"/>
  <c r="I87" i="31"/>
  <c r="I59" i="31"/>
  <c r="I31" i="31"/>
  <c r="I5" i="31"/>
  <c r="I983" i="31"/>
  <c r="I955" i="31"/>
  <c r="I927" i="31"/>
  <c r="I898" i="31"/>
  <c r="I870" i="31"/>
  <c r="I842" i="31"/>
  <c r="I813" i="31"/>
  <c r="I785" i="31"/>
  <c r="I757" i="31"/>
  <c r="I727" i="31"/>
  <c r="I699" i="31"/>
  <c r="I671" i="31"/>
  <c r="I642" i="31"/>
  <c r="I614" i="31"/>
  <c r="I586" i="31"/>
  <c r="I557" i="31"/>
  <c r="I529" i="31"/>
  <c r="I501" i="31"/>
  <c r="I471" i="31"/>
  <c r="I443" i="31"/>
  <c r="I415" i="31"/>
  <c r="I386" i="31"/>
  <c r="I358" i="31"/>
  <c r="I330" i="31"/>
  <c r="I301" i="31"/>
  <c r="I273" i="31"/>
  <c r="I245" i="31"/>
  <c r="I215" i="31"/>
  <c r="I187" i="31"/>
  <c r="I159" i="31"/>
  <c r="I130" i="31"/>
  <c r="I102" i="31"/>
  <c r="I74" i="31"/>
  <c r="I45" i="31"/>
  <c r="I17" i="31"/>
  <c r="I945" i="31"/>
  <c r="I887" i="31"/>
  <c r="I831" i="31"/>
  <c r="I774" i="31"/>
  <c r="I717" i="31"/>
  <c r="I661" i="31"/>
  <c r="I603" i="31"/>
  <c r="I546" i="31"/>
  <c r="I490" i="31"/>
  <c r="I433" i="31"/>
  <c r="I375" i="31"/>
  <c r="I319" i="31"/>
  <c r="I262" i="31"/>
  <c r="I205" i="31"/>
  <c r="I149" i="31"/>
  <c r="I91" i="31"/>
  <c r="I34" i="31"/>
  <c r="I987" i="31"/>
  <c r="I930" i="31"/>
  <c r="I874" i="31"/>
  <c r="I817" i="31"/>
  <c r="I759" i="31"/>
  <c r="I703" i="31"/>
  <c r="I646" i="31"/>
  <c r="I589" i="31"/>
  <c r="I533" i="31"/>
  <c r="I475" i="31"/>
  <c r="I418" i="31"/>
  <c r="I362" i="31"/>
  <c r="I305" i="31"/>
  <c r="I247" i="31"/>
  <c r="I191" i="31"/>
  <c r="I134" i="31"/>
  <c r="I77" i="31"/>
  <c r="I21" i="31"/>
  <c r="I973" i="31"/>
  <c r="I859" i="31"/>
  <c r="I746" i="31"/>
  <c r="I631" i="31"/>
  <c r="I518" i="31"/>
  <c r="I405" i="31"/>
  <c r="I290" i="31"/>
  <c r="I177" i="31"/>
  <c r="I63" i="31"/>
  <c r="I959" i="31"/>
  <c r="I845" i="31"/>
  <c r="I731" i="31"/>
  <c r="I618" i="31"/>
  <c r="I503" i="31"/>
  <c r="I390" i="31"/>
  <c r="I277" i="31"/>
  <c r="I162" i="31"/>
  <c r="I49" i="31"/>
  <c r="I902" i="31"/>
  <c r="I674" i="31"/>
  <c r="I447" i="31"/>
  <c r="I219" i="31"/>
  <c r="I789" i="31"/>
  <c r="I561" i="31"/>
  <c r="I333" i="31"/>
  <c r="I106" i="31"/>
  <c r="I802" i="31"/>
  <c r="I347" i="31"/>
  <c r="I575" i="31"/>
  <c r="I119" i="31"/>
  <c r="I461" i="31"/>
  <c r="I917" i="31"/>
  <c r="I7" i="31"/>
  <c r="I689" i="31"/>
  <c r="I234" i="31"/>
  <c r="J3" i="35"/>
  <c r="I1000" i="23"/>
  <c r="I996" i="23"/>
  <c r="I992" i="23"/>
  <c r="I988" i="23"/>
  <c r="I984" i="23"/>
  <c r="I980" i="23"/>
  <c r="I976" i="23"/>
  <c r="I972" i="23"/>
  <c r="I968" i="23"/>
  <c r="I964" i="23"/>
  <c r="I960" i="23"/>
  <c r="I956" i="23"/>
  <c r="I952" i="23"/>
  <c r="I948" i="23"/>
  <c r="I944" i="23"/>
  <c r="I940" i="23"/>
  <c r="I936" i="23"/>
  <c r="I932" i="23"/>
  <c r="I928" i="23"/>
  <c r="I924" i="23"/>
  <c r="I920" i="23"/>
  <c r="I916" i="23"/>
  <c r="I912" i="23"/>
  <c r="I908" i="23"/>
  <c r="I904" i="23"/>
  <c r="I900" i="23"/>
  <c r="I896" i="23"/>
  <c r="I892" i="23"/>
  <c r="I888" i="23"/>
  <c r="I884" i="23"/>
  <c r="I880" i="23"/>
  <c r="I876" i="23"/>
  <c r="I872" i="23"/>
  <c r="I868" i="23"/>
  <c r="I864" i="23"/>
  <c r="I860" i="23"/>
  <c r="I856" i="23"/>
  <c r="I852" i="23"/>
  <c r="I848" i="23"/>
  <c r="I844" i="23"/>
  <c r="I840" i="23"/>
  <c r="I836" i="23"/>
  <c r="I832" i="23"/>
  <c r="I828" i="23"/>
  <c r="I824" i="23"/>
  <c r="I820" i="23"/>
  <c r="I816" i="23"/>
  <c r="I812" i="23"/>
  <c r="I808" i="23"/>
  <c r="I804" i="23"/>
  <c r="I800" i="23"/>
  <c r="I796" i="23"/>
  <c r="I792" i="23"/>
  <c r="I788" i="23"/>
  <c r="I784" i="23"/>
  <c r="I780" i="23"/>
  <c r="I776" i="23"/>
  <c r="I772" i="23"/>
  <c r="I768" i="23"/>
  <c r="I764" i="23"/>
  <c r="I760" i="23"/>
  <c r="I756" i="23"/>
  <c r="I752" i="23"/>
  <c r="I748" i="23"/>
  <c r="I744" i="23"/>
  <c r="I740" i="23"/>
  <c r="I736" i="23"/>
  <c r="I732" i="23"/>
  <c r="I728" i="23"/>
  <c r="I724" i="23"/>
  <c r="I720" i="23"/>
  <c r="I716" i="23"/>
  <c r="I712" i="23"/>
  <c r="I708" i="23"/>
  <c r="I704" i="23"/>
  <c r="I700" i="23"/>
  <c r="I696" i="23"/>
  <c r="I692" i="23"/>
  <c r="I688" i="23"/>
  <c r="I684" i="23"/>
  <c r="I680" i="23"/>
  <c r="I676" i="23"/>
  <c r="I672" i="23"/>
  <c r="I668" i="23"/>
  <c r="I664" i="23"/>
  <c r="I660" i="23"/>
  <c r="I656" i="23"/>
  <c r="I652" i="23"/>
  <c r="I648" i="23"/>
  <c r="I644" i="23"/>
  <c r="I640" i="23"/>
  <c r="I636" i="23"/>
  <c r="I632" i="23"/>
  <c r="I628" i="23"/>
  <c r="I624" i="23"/>
  <c r="I620" i="23"/>
  <c r="I616" i="23"/>
  <c r="I612" i="23"/>
  <c r="I608" i="23"/>
  <c r="I604" i="23"/>
  <c r="I600" i="23"/>
  <c r="I596" i="23"/>
  <c r="I592" i="23"/>
  <c r="I588" i="23"/>
  <c r="I584" i="23"/>
  <c r="I580" i="23"/>
  <c r="I576" i="23"/>
  <c r="I572" i="23"/>
  <c r="I568" i="23"/>
  <c r="I564" i="23"/>
  <c r="I560" i="23"/>
  <c r="I556" i="23"/>
  <c r="I552" i="23"/>
  <c r="I548" i="23"/>
  <c r="I544" i="23"/>
  <c r="I540" i="23"/>
  <c r="I536" i="23"/>
  <c r="I532" i="23"/>
  <c r="I528" i="23"/>
  <c r="I524" i="23"/>
  <c r="I520" i="23"/>
  <c r="I516" i="23"/>
  <c r="I512" i="23"/>
  <c r="I508" i="23"/>
  <c r="I504" i="23"/>
  <c r="I500" i="23"/>
  <c r="I496" i="23"/>
  <c r="I492" i="23"/>
  <c r="I488" i="23"/>
  <c r="I484" i="23"/>
  <c r="I480" i="23"/>
  <c r="I476" i="23"/>
  <c r="I472" i="23"/>
  <c r="I468" i="23"/>
  <c r="I464" i="23"/>
  <c r="I460" i="23"/>
  <c r="I456" i="23"/>
  <c r="I452" i="23"/>
  <c r="I448" i="23"/>
  <c r="I444" i="23"/>
  <c r="I440" i="23"/>
  <c r="I436" i="23"/>
  <c r="I432" i="23"/>
  <c r="I428" i="23"/>
  <c r="I424" i="23"/>
  <c r="I420" i="23"/>
  <c r="I416" i="23"/>
  <c r="I412" i="23"/>
  <c r="I408" i="23"/>
  <c r="I404" i="23"/>
  <c r="I400" i="23"/>
  <c r="I396" i="23"/>
  <c r="I392" i="23"/>
  <c r="I388" i="23"/>
  <c r="I384" i="23"/>
  <c r="I380" i="23"/>
  <c r="I376" i="23"/>
  <c r="I372" i="23"/>
  <c r="I368" i="23"/>
  <c r="I364" i="23"/>
  <c r="I360" i="23"/>
  <c r="I356" i="23"/>
  <c r="I352" i="23"/>
  <c r="I348" i="23"/>
  <c r="I344" i="23"/>
  <c r="I340" i="23"/>
  <c r="I336" i="23"/>
  <c r="I332" i="23"/>
  <c r="I328" i="23"/>
  <c r="I324" i="23"/>
  <c r="I320" i="23"/>
  <c r="I316" i="23"/>
  <c r="I312" i="23"/>
  <c r="I308" i="23"/>
  <c r="I304" i="23"/>
  <c r="I300" i="23"/>
  <c r="I296" i="23"/>
  <c r="I292" i="23"/>
  <c r="I288" i="23"/>
  <c r="I284" i="23"/>
  <c r="I280" i="23"/>
  <c r="I276" i="23"/>
  <c r="I272" i="23"/>
  <c r="I268" i="23"/>
  <c r="I264" i="23"/>
  <c r="I260" i="23"/>
  <c r="I256" i="23"/>
  <c r="I252" i="23"/>
  <c r="I248" i="23"/>
  <c r="I244" i="23"/>
  <c r="I240" i="23"/>
  <c r="I236" i="23"/>
  <c r="I232" i="23"/>
  <c r="I228" i="23"/>
  <c r="I224" i="23"/>
  <c r="I220" i="23"/>
  <c r="I216" i="23"/>
  <c r="I212" i="23"/>
  <c r="I208" i="23"/>
  <c r="I204" i="23"/>
  <c r="I200" i="23"/>
  <c r="I196" i="23"/>
  <c r="I192" i="23"/>
  <c r="I188" i="23"/>
  <c r="I184" i="23"/>
  <c r="I180" i="23"/>
  <c r="I176" i="23"/>
  <c r="I172" i="23"/>
  <c r="I168" i="23"/>
  <c r="I164" i="23"/>
  <c r="I160" i="23"/>
  <c r="I156" i="23"/>
  <c r="I152" i="23"/>
  <c r="I148" i="23"/>
  <c r="I144" i="23"/>
  <c r="I140" i="23"/>
  <c r="I136" i="23"/>
  <c r="I132" i="23"/>
  <c r="I128" i="23"/>
  <c r="I124" i="23"/>
  <c r="I120" i="23"/>
  <c r="I116" i="23"/>
  <c r="I112" i="23"/>
  <c r="I108" i="23"/>
  <c r="I104" i="23"/>
  <c r="I100" i="23"/>
  <c r="I96" i="23"/>
  <c r="I92" i="23"/>
  <c r="I88" i="23"/>
  <c r="I84" i="23"/>
  <c r="I80" i="23"/>
  <c r="I76" i="23"/>
  <c r="I72" i="23"/>
  <c r="I68" i="23"/>
  <c r="I64" i="23"/>
  <c r="I60" i="23"/>
  <c r="I56" i="23"/>
  <c r="I52" i="23"/>
  <c r="I48" i="23"/>
  <c r="I44" i="23"/>
  <c r="I40" i="23"/>
  <c r="I36" i="23"/>
  <c r="I32" i="23"/>
  <c r="I28" i="23"/>
  <c r="I24" i="23"/>
  <c r="I20" i="23"/>
  <c r="I16" i="23"/>
  <c r="I12" i="23"/>
  <c r="I8" i="23"/>
  <c r="I4" i="23"/>
  <c r="I1" i="23"/>
  <c r="I998" i="23"/>
  <c r="I993" i="23"/>
  <c r="I987" i="23"/>
  <c r="I982" i="23"/>
  <c r="I977" i="23"/>
  <c r="I971" i="23"/>
  <c r="I966" i="23"/>
  <c r="I961" i="23"/>
  <c r="I955" i="23"/>
  <c r="I950" i="23"/>
  <c r="I945" i="23"/>
  <c r="I939" i="23"/>
  <c r="I934" i="23"/>
  <c r="I929" i="23"/>
  <c r="I923" i="23"/>
  <c r="I918" i="23"/>
  <c r="I913" i="23"/>
  <c r="I907" i="23"/>
  <c r="I902" i="23"/>
  <c r="I897" i="23"/>
  <c r="I891" i="23"/>
  <c r="I886" i="23"/>
  <c r="I881" i="23"/>
  <c r="I875" i="23"/>
  <c r="I870" i="23"/>
  <c r="I865" i="23"/>
  <c r="I859" i="23"/>
  <c r="I854" i="23"/>
  <c r="I849" i="23"/>
  <c r="I843" i="23"/>
  <c r="I838" i="23"/>
  <c r="I833" i="23"/>
  <c r="I827" i="23"/>
  <c r="I822" i="23"/>
  <c r="I817" i="23"/>
  <c r="I811" i="23"/>
  <c r="I806" i="23"/>
  <c r="I801" i="23"/>
  <c r="I795" i="23"/>
  <c r="I790" i="23"/>
  <c r="I785" i="23"/>
  <c r="I779" i="23"/>
  <c r="I774" i="23"/>
  <c r="I769" i="23"/>
  <c r="I763" i="23"/>
  <c r="I758" i="23"/>
  <c r="I753" i="23"/>
  <c r="I747" i="23"/>
  <c r="I742" i="23"/>
  <c r="I737" i="23"/>
  <c r="I731" i="23"/>
  <c r="I726" i="23"/>
  <c r="I721" i="23"/>
  <c r="I715" i="23"/>
  <c r="I710" i="23"/>
  <c r="I705" i="23"/>
  <c r="I699" i="23"/>
  <c r="I694" i="23"/>
  <c r="I689" i="23"/>
  <c r="I683" i="23"/>
  <c r="I678" i="23"/>
  <c r="I673" i="23"/>
  <c r="I667" i="23"/>
  <c r="I662" i="23"/>
  <c r="I657" i="23"/>
  <c r="I651" i="23"/>
  <c r="I646" i="23"/>
  <c r="I641" i="23"/>
  <c r="I635" i="23"/>
  <c r="I630" i="23"/>
  <c r="I625" i="23"/>
  <c r="I619" i="23"/>
  <c r="I614" i="23"/>
  <c r="I609" i="23"/>
  <c r="I603" i="23"/>
  <c r="I598" i="23"/>
  <c r="I593" i="23"/>
  <c r="I587" i="23"/>
  <c r="I582" i="23"/>
  <c r="I577" i="23"/>
  <c r="I571" i="23"/>
  <c r="I566" i="23"/>
  <c r="I561" i="23"/>
  <c r="I555" i="23"/>
  <c r="I550" i="23"/>
  <c r="I545" i="23"/>
  <c r="I539" i="23"/>
  <c r="I534" i="23"/>
  <c r="I529" i="23"/>
  <c r="I523" i="23"/>
  <c r="I518" i="23"/>
  <c r="I513" i="23"/>
  <c r="I507" i="23"/>
  <c r="I502" i="23"/>
  <c r="I497" i="23"/>
  <c r="I491" i="23"/>
  <c r="I486" i="23"/>
  <c r="I481" i="23"/>
  <c r="I475" i="23"/>
  <c r="I470" i="23"/>
  <c r="I465" i="23"/>
  <c r="I459" i="23"/>
  <c r="I454" i="23"/>
  <c r="I449" i="23"/>
  <c r="I443" i="23"/>
  <c r="I438" i="23"/>
  <c r="I433" i="23"/>
  <c r="I427" i="23"/>
  <c r="I422" i="23"/>
  <c r="I417" i="23"/>
  <c r="I411" i="23"/>
  <c r="I406" i="23"/>
  <c r="I401" i="23"/>
  <c r="I395" i="23"/>
  <c r="I390" i="23"/>
  <c r="I385" i="23"/>
  <c r="I379" i="23"/>
  <c r="I374" i="23"/>
  <c r="I369" i="23"/>
  <c r="I363" i="23"/>
  <c r="I358" i="23"/>
  <c r="I353" i="23"/>
  <c r="I347" i="23"/>
  <c r="I342" i="23"/>
  <c r="I337" i="23"/>
  <c r="I331" i="23"/>
  <c r="I326" i="23"/>
  <c r="I321" i="23"/>
  <c r="I315" i="23"/>
  <c r="I310" i="23"/>
  <c r="I305" i="23"/>
  <c r="I299" i="23"/>
  <c r="I294" i="23"/>
  <c r="I289" i="23"/>
  <c r="I283" i="23"/>
  <c r="I278" i="23"/>
  <c r="I273" i="23"/>
  <c r="I267" i="23"/>
  <c r="I262" i="23"/>
  <c r="I257" i="23"/>
  <c r="I251" i="23"/>
  <c r="I246" i="23"/>
  <c r="I241" i="23"/>
  <c r="I235" i="23"/>
  <c r="I230" i="23"/>
  <c r="I225" i="23"/>
  <c r="I219" i="23"/>
  <c r="I214" i="23"/>
  <c r="I209" i="23"/>
  <c r="I203" i="23"/>
  <c r="I198" i="23"/>
  <c r="I193" i="23"/>
  <c r="I187" i="23"/>
  <c r="I182" i="23"/>
  <c r="I177" i="23"/>
  <c r="I171" i="23"/>
  <c r="I166" i="23"/>
  <c r="I161" i="23"/>
  <c r="I155" i="23"/>
  <c r="I150" i="23"/>
  <c r="I145" i="23"/>
  <c r="I139" i="23"/>
  <c r="I134" i="23"/>
  <c r="I129" i="23"/>
  <c r="I123" i="23"/>
  <c r="I118" i="23"/>
  <c r="I113" i="23"/>
  <c r="I107" i="23"/>
  <c r="I102" i="23"/>
  <c r="I97" i="23"/>
  <c r="I91" i="23"/>
  <c r="I86" i="23"/>
  <c r="I81" i="23"/>
  <c r="I75" i="23"/>
  <c r="I70" i="23"/>
  <c r="I65" i="23"/>
  <c r="I59" i="23"/>
  <c r="I54" i="23"/>
  <c r="I49" i="23"/>
  <c r="I43" i="23"/>
  <c r="I38" i="23"/>
  <c r="I33" i="23"/>
  <c r="I27" i="23"/>
  <c r="I22" i="23"/>
  <c r="I17" i="23"/>
  <c r="I11" i="23"/>
  <c r="I6" i="23"/>
  <c r="I997" i="23"/>
  <c r="I991" i="23"/>
  <c r="I986" i="23"/>
  <c r="I981" i="23"/>
  <c r="I975" i="23"/>
  <c r="I970" i="23"/>
  <c r="I965" i="23"/>
  <c r="I959" i="23"/>
  <c r="I954" i="23"/>
  <c r="I949" i="23"/>
  <c r="I943" i="23"/>
  <c r="I938" i="23"/>
  <c r="I933" i="23"/>
  <c r="I927" i="23"/>
  <c r="I922" i="23"/>
  <c r="I917" i="23"/>
  <c r="I911" i="23"/>
  <c r="I906" i="23"/>
  <c r="I901" i="23"/>
  <c r="I895" i="23"/>
  <c r="I890" i="23"/>
  <c r="I885" i="23"/>
  <c r="I879" i="23"/>
  <c r="I874" i="23"/>
  <c r="I869" i="23"/>
  <c r="I863" i="23"/>
  <c r="I858" i="23"/>
  <c r="I853" i="23"/>
  <c r="I847" i="23"/>
  <c r="I842" i="23"/>
  <c r="I837" i="23"/>
  <c r="I831" i="23"/>
  <c r="I826" i="23"/>
  <c r="I821" i="23"/>
  <c r="I815" i="23"/>
  <c r="I810" i="23"/>
  <c r="I805" i="23"/>
  <c r="I799" i="23"/>
  <c r="I794" i="23"/>
  <c r="I789" i="23"/>
  <c r="I783" i="23"/>
  <c r="I778" i="23"/>
  <c r="I773" i="23"/>
  <c r="I767" i="23"/>
  <c r="I762" i="23"/>
  <c r="I757" i="23"/>
  <c r="I751" i="23"/>
  <c r="I746" i="23"/>
  <c r="I741" i="23"/>
  <c r="I735" i="23"/>
  <c r="I730" i="23"/>
  <c r="I725" i="23"/>
  <c r="I719" i="23"/>
  <c r="I714" i="23"/>
  <c r="I709" i="23"/>
  <c r="I703" i="23"/>
  <c r="I698" i="23"/>
  <c r="I693" i="23"/>
  <c r="I687" i="23"/>
  <c r="I682" i="23"/>
  <c r="I677" i="23"/>
  <c r="I671" i="23"/>
  <c r="I666" i="23"/>
  <c r="I661" i="23"/>
  <c r="I655" i="23"/>
  <c r="I650" i="23"/>
  <c r="I645" i="23"/>
  <c r="I639" i="23"/>
  <c r="I634" i="23"/>
  <c r="I629" i="23"/>
  <c r="I623" i="23"/>
  <c r="I618" i="23"/>
  <c r="I613" i="23"/>
  <c r="I607" i="23"/>
  <c r="I602" i="23"/>
  <c r="I597" i="23"/>
  <c r="I591" i="23"/>
  <c r="I586" i="23"/>
  <c r="I581" i="23"/>
  <c r="I575" i="23"/>
  <c r="I570" i="23"/>
  <c r="I565" i="23"/>
  <c r="I559" i="23"/>
  <c r="I554" i="23"/>
  <c r="I549" i="23"/>
  <c r="I543" i="23"/>
  <c r="I538" i="23"/>
  <c r="I533" i="23"/>
  <c r="I527" i="23"/>
  <c r="I522" i="23"/>
  <c r="I517" i="23"/>
  <c r="I511" i="23"/>
  <c r="I506" i="23"/>
  <c r="I501" i="23"/>
  <c r="I495" i="23"/>
  <c r="I490" i="23"/>
  <c r="I485" i="23"/>
  <c r="I479" i="23"/>
  <c r="I474" i="23"/>
  <c r="I469" i="23"/>
  <c r="I463" i="23"/>
  <c r="I458" i="23"/>
  <c r="I453" i="23"/>
  <c r="I447" i="23"/>
  <c r="I442" i="23"/>
  <c r="I437" i="23"/>
  <c r="I431" i="23"/>
  <c r="I426" i="23"/>
  <c r="I421" i="23"/>
  <c r="I415" i="23"/>
  <c r="I410" i="23"/>
  <c r="I405" i="23"/>
  <c r="I399" i="23"/>
  <c r="I394" i="23"/>
  <c r="I389" i="23"/>
  <c r="I383" i="23"/>
  <c r="I378" i="23"/>
  <c r="I373" i="23"/>
  <c r="I367" i="23"/>
  <c r="I362" i="23"/>
  <c r="I357" i="23"/>
  <c r="I351" i="23"/>
  <c r="I346" i="23"/>
  <c r="I341" i="23"/>
  <c r="I335" i="23"/>
  <c r="I330" i="23"/>
  <c r="I325" i="23"/>
  <c r="I319" i="23"/>
  <c r="I314" i="23"/>
  <c r="I309" i="23"/>
  <c r="I303" i="23"/>
  <c r="I298" i="23"/>
  <c r="I293" i="23"/>
  <c r="I287" i="23"/>
  <c r="I282" i="23"/>
  <c r="I277" i="23"/>
  <c r="I271" i="23"/>
  <c r="I266" i="23"/>
  <c r="I261" i="23"/>
  <c r="I255" i="23"/>
  <c r="I250" i="23"/>
  <c r="I245" i="23"/>
  <c r="I239" i="23"/>
  <c r="I234" i="23"/>
  <c r="I229" i="23"/>
  <c r="I223" i="23"/>
  <c r="I218" i="23"/>
  <c r="I213" i="23"/>
  <c r="I207" i="23"/>
  <c r="I202" i="23"/>
  <c r="I197" i="23"/>
  <c r="I191" i="23"/>
  <c r="I186" i="23"/>
  <c r="I181" i="23"/>
  <c r="I175" i="23"/>
  <c r="I170" i="23"/>
  <c r="I165" i="23"/>
  <c r="I159" i="23"/>
  <c r="I154" i="23"/>
  <c r="I149" i="23"/>
  <c r="I143" i="23"/>
  <c r="I138" i="23"/>
  <c r="I133" i="23"/>
  <c r="I127" i="23"/>
  <c r="I122" i="23"/>
  <c r="I117" i="23"/>
  <c r="I111" i="23"/>
  <c r="I106" i="23"/>
  <c r="I101" i="23"/>
  <c r="I95" i="23"/>
  <c r="I90" i="23"/>
  <c r="I85" i="23"/>
  <c r="I79" i="23"/>
  <c r="I74" i="23"/>
  <c r="I69" i="23"/>
  <c r="I63" i="23"/>
  <c r="I58" i="23"/>
  <c r="I53" i="23"/>
  <c r="I47" i="23"/>
  <c r="I42" i="23"/>
  <c r="I37" i="23"/>
  <c r="I31" i="23"/>
  <c r="I26" i="23"/>
  <c r="I21" i="23"/>
  <c r="I15" i="23"/>
  <c r="I10" i="23"/>
  <c r="I5" i="23"/>
  <c r="I995" i="23"/>
  <c r="I985" i="23"/>
  <c r="I974" i="23"/>
  <c r="I963" i="23"/>
  <c r="I953" i="23"/>
  <c r="I942" i="23"/>
  <c r="I931" i="23"/>
  <c r="I921" i="23"/>
  <c r="I910" i="23"/>
  <c r="I899" i="23"/>
  <c r="I889" i="23"/>
  <c r="I878" i="23"/>
  <c r="I867" i="23"/>
  <c r="I857" i="23"/>
  <c r="I846" i="23"/>
  <c r="I835" i="23"/>
  <c r="I825" i="23"/>
  <c r="I814" i="23"/>
  <c r="I803" i="23"/>
  <c r="I793" i="23"/>
  <c r="I782" i="23"/>
  <c r="I771" i="23"/>
  <c r="I761" i="23"/>
  <c r="I750" i="23"/>
  <c r="I739" i="23"/>
  <c r="I729" i="23"/>
  <c r="I718" i="23"/>
  <c r="I707" i="23"/>
  <c r="I697" i="23"/>
  <c r="I686" i="23"/>
  <c r="I675" i="23"/>
  <c r="I665" i="23"/>
  <c r="I654" i="23"/>
  <c r="I643" i="23"/>
  <c r="I633" i="23"/>
  <c r="I622" i="23"/>
  <c r="I611" i="23"/>
  <c r="I601" i="23"/>
  <c r="I590" i="23"/>
  <c r="I579" i="23"/>
  <c r="I569" i="23"/>
  <c r="I558" i="23"/>
  <c r="I547" i="23"/>
  <c r="I537" i="23"/>
  <c r="I526" i="23"/>
  <c r="I515" i="23"/>
  <c r="I505" i="23"/>
  <c r="I494" i="23"/>
  <c r="I483" i="23"/>
  <c r="I473" i="23"/>
  <c r="I462" i="23"/>
  <c r="I451" i="23"/>
  <c r="I441" i="23"/>
  <c r="I430" i="23"/>
  <c r="I419" i="23"/>
  <c r="I409" i="23"/>
  <c r="I398" i="23"/>
  <c r="I387" i="23"/>
  <c r="I377" i="23"/>
  <c r="I366" i="23"/>
  <c r="I355" i="23"/>
  <c r="I345" i="23"/>
  <c r="I334" i="23"/>
  <c r="I323" i="23"/>
  <c r="I313" i="23"/>
  <c r="I302" i="23"/>
  <c r="I291" i="23"/>
  <c r="I281" i="23"/>
  <c r="I270" i="23"/>
  <c r="I259" i="23"/>
  <c r="I249" i="23"/>
  <c r="I238" i="23"/>
  <c r="I227" i="23"/>
  <c r="I217" i="23"/>
  <c r="I206" i="23"/>
  <c r="I195" i="23"/>
  <c r="I185" i="23"/>
  <c r="I174" i="23"/>
  <c r="I163" i="23"/>
  <c r="I153" i="23"/>
  <c r="I142" i="23"/>
  <c r="I131" i="23"/>
  <c r="I121" i="23"/>
  <c r="I110" i="23"/>
  <c r="I99" i="23"/>
  <c r="I89" i="23"/>
  <c r="I78" i="23"/>
  <c r="I67" i="23"/>
  <c r="I57" i="23"/>
  <c r="I46" i="23"/>
  <c r="I35" i="23"/>
  <c r="I25" i="23"/>
  <c r="I14" i="23"/>
  <c r="I3" i="23"/>
  <c r="I994" i="23"/>
  <c r="I983" i="23"/>
  <c r="I973" i="23"/>
  <c r="I962" i="23"/>
  <c r="I951" i="23"/>
  <c r="I941" i="23"/>
  <c r="I930" i="23"/>
  <c r="I919" i="23"/>
  <c r="I909" i="23"/>
  <c r="I898" i="23"/>
  <c r="I887" i="23"/>
  <c r="I877" i="23"/>
  <c r="I866" i="23"/>
  <c r="I855" i="23"/>
  <c r="I845" i="23"/>
  <c r="I834" i="23"/>
  <c r="I823" i="23"/>
  <c r="I813" i="23"/>
  <c r="I802" i="23"/>
  <c r="I791" i="23"/>
  <c r="I781" i="23"/>
  <c r="I770" i="23"/>
  <c r="I759" i="23"/>
  <c r="I749" i="23"/>
  <c r="I738" i="23"/>
  <c r="I727" i="23"/>
  <c r="I717" i="23"/>
  <c r="I706" i="23"/>
  <c r="I695" i="23"/>
  <c r="I685" i="23"/>
  <c r="I674" i="23"/>
  <c r="I663" i="23"/>
  <c r="I653" i="23"/>
  <c r="I642" i="23"/>
  <c r="I631" i="23"/>
  <c r="I621" i="23"/>
  <c r="I610" i="23"/>
  <c r="I599" i="23"/>
  <c r="I589" i="23"/>
  <c r="I578" i="23"/>
  <c r="I567" i="23"/>
  <c r="I557" i="23"/>
  <c r="I546" i="23"/>
  <c r="I535" i="23"/>
  <c r="I525" i="23"/>
  <c r="I514" i="23"/>
  <c r="I503" i="23"/>
  <c r="I493" i="23"/>
  <c r="I482" i="23"/>
  <c r="I471" i="23"/>
  <c r="I461" i="23"/>
  <c r="I450" i="23"/>
  <c r="I439" i="23"/>
  <c r="I429" i="23"/>
  <c r="I418" i="23"/>
  <c r="I407" i="23"/>
  <c r="I397" i="23"/>
  <c r="I386" i="23"/>
  <c r="I375" i="23"/>
  <c r="I365" i="23"/>
  <c r="I354" i="23"/>
  <c r="I343" i="23"/>
  <c r="I333" i="23"/>
  <c r="I322" i="23"/>
  <c r="I311" i="23"/>
  <c r="I301" i="23"/>
  <c r="I290" i="23"/>
  <c r="I279" i="23"/>
  <c r="I269" i="23"/>
  <c r="I258" i="23"/>
  <c r="I247" i="23"/>
  <c r="I237" i="23"/>
  <c r="I226" i="23"/>
  <c r="I215" i="23"/>
  <c r="I205" i="23"/>
  <c r="I194" i="23"/>
  <c r="I183" i="23"/>
  <c r="I173" i="23"/>
  <c r="I162" i="23"/>
  <c r="I151" i="23"/>
  <c r="I141" i="23"/>
  <c r="I130" i="23"/>
  <c r="I119" i="23"/>
  <c r="I109" i="23"/>
  <c r="I98" i="23"/>
  <c r="I87" i="23"/>
  <c r="I77" i="23"/>
  <c r="I66" i="23"/>
  <c r="I55" i="23"/>
  <c r="I45" i="23"/>
  <c r="I34" i="23"/>
  <c r="I23" i="23"/>
  <c r="I13" i="23"/>
  <c r="I2" i="23"/>
  <c r="I989" i="23"/>
  <c r="I967" i="23"/>
  <c r="I946" i="23"/>
  <c r="I925" i="23"/>
  <c r="I903" i="23"/>
  <c r="I882" i="23"/>
  <c r="I861" i="23"/>
  <c r="I839" i="23"/>
  <c r="I818" i="23"/>
  <c r="I797" i="23"/>
  <c r="I775" i="23"/>
  <c r="I754" i="23"/>
  <c r="I733" i="23"/>
  <c r="I711" i="23"/>
  <c r="I690" i="23"/>
  <c r="I669" i="23"/>
  <c r="I647" i="23"/>
  <c r="I626" i="23"/>
  <c r="I605" i="23"/>
  <c r="I583" i="23"/>
  <c r="I562" i="23"/>
  <c r="I541" i="23"/>
  <c r="I519" i="23"/>
  <c r="I498" i="23"/>
  <c r="I477" i="23"/>
  <c r="I455" i="23"/>
  <c r="I434" i="23"/>
  <c r="I413" i="23"/>
  <c r="I391" i="23"/>
  <c r="I370" i="23"/>
  <c r="I349" i="23"/>
  <c r="I327" i="23"/>
  <c r="I306" i="23"/>
  <c r="I285" i="23"/>
  <c r="I263" i="23"/>
  <c r="I242" i="23"/>
  <c r="I221" i="23"/>
  <c r="I199" i="23"/>
  <c r="I178" i="23"/>
  <c r="I157" i="23"/>
  <c r="I135" i="23"/>
  <c r="I114" i="23"/>
  <c r="I93" i="23"/>
  <c r="I71" i="23"/>
  <c r="I50" i="23"/>
  <c r="I29" i="23"/>
  <c r="I7" i="23"/>
  <c r="I999" i="23"/>
  <c r="I978" i="23"/>
  <c r="I957" i="23"/>
  <c r="I935" i="23"/>
  <c r="I914" i="23"/>
  <c r="I893" i="23"/>
  <c r="I871" i="23"/>
  <c r="I850" i="23"/>
  <c r="I829" i="23"/>
  <c r="I807" i="23"/>
  <c r="I786" i="23"/>
  <c r="I765" i="23"/>
  <c r="I743" i="23"/>
  <c r="I722" i="23"/>
  <c r="I701" i="23"/>
  <c r="I679" i="23"/>
  <c r="I658" i="23"/>
  <c r="I637" i="23"/>
  <c r="I615" i="23"/>
  <c r="I594" i="23"/>
  <c r="I573" i="23"/>
  <c r="I551" i="23"/>
  <c r="I530" i="23"/>
  <c r="I509" i="23"/>
  <c r="I487" i="23"/>
  <c r="I466" i="23"/>
  <c r="I445" i="23"/>
  <c r="I423" i="23"/>
  <c r="I402" i="23"/>
  <c r="I381" i="23"/>
  <c r="I359" i="23"/>
  <c r="I338" i="23"/>
  <c r="I317" i="23"/>
  <c r="I295" i="23"/>
  <c r="I274" i="23"/>
  <c r="I253" i="23"/>
  <c r="I231" i="23"/>
  <c r="I210" i="23"/>
  <c r="I189" i="23"/>
  <c r="I167" i="23"/>
  <c r="I146" i="23"/>
  <c r="I125" i="23"/>
  <c r="I103" i="23"/>
  <c r="I82" i="23"/>
  <c r="I61" i="23"/>
  <c r="I39" i="23"/>
  <c r="I18" i="23"/>
  <c r="I958" i="23"/>
  <c r="I915" i="23"/>
  <c r="I873" i="23"/>
  <c r="I830" i="23"/>
  <c r="I787" i="23"/>
  <c r="I745" i="23"/>
  <c r="I702" i="23"/>
  <c r="I659" i="23"/>
  <c r="I617" i="23"/>
  <c r="I574" i="23"/>
  <c r="I531" i="23"/>
  <c r="I489" i="23"/>
  <c r="I446" i="23"/>
  <c r="I403" i="23"/>
  <c r="I361" i="23"/>
  <c r="I318" i="23"/>
  <c r="I275" i="23"/>
  <c r="I233" i="23"/>
  <c r="I190" i="23"/>
  <c r="I147" i="23"/>
  <c r="I105" i="23"/>
  <c r="I62" i="23"/>
  <c r="I19" i="23"/>
  <c r="I979" i="23"/>
  <c r="I937" i="23"/>
  <c r="I894" i="23"/>
  <c r="I851" i="23"/>
  <c r="I809" i="23"/>
  <c r="I766" i="23"/>
  <c r="I723" i="23"/>
  <c r="I681" i="23"/>
  <c r="I638" i="23"/>
  <c r="I595" i="23"/>
  <c r="I553" i="23"/>
  <c r="I510" i="23"/>
  <c r="I467" i="23"/>
  <c r="I425" i="23"/>
  <c r="I382" i="23"/>
  <c r="I339" i="23"/>
  <c r="I297" i="23"/>
  <c r="I254" i="23"/>
  <c r="I211" i="23"/>
  <c r="I169" i="23"/>
  <c r="I126" i="23"/>
  <c r="I83" i="23"/>
  <c r="I41" i="23"/>
  <c r="I926" i="23"/>
  <c r="I841" i="23"/>
  <c r="I755" i="23"/>
  <c r="I670" i="23"/>
  <c r="I585" i="23"/>
  <c r="I499" i="23"/>
  <c r="I414" i="23"/>
  <c r="I329" i="23"/>
  <c r="I243" i="23"/>
  <c r="I158" i="23"/>
  <c r="I73" i="23"/>
  <c r="I969" i="23"/>
  <c r="I883" i="23"/>
  <c r="I798" i="23"/>
  <c r="I713" i="23"/>
  <c r="I627" i="23"/>
  <c r="I542" i="23"/>
  <c r="I457" i="23"/>
  <c r="I371" i="23"/>
  <c r="I286" i="23"/>
  <c r="I201" i="23"/>
  <c r="I115" i="23"/>
  <c r="I30" i="23"/>
  <c r="I947" i="23"/>
  <c r="I777" i="23"/>
  <c r="I606" i="23"/>
  <c r="I435" i="23"/>
  <c r="I265" i="23"/>
  <c r="I94" i="23"/>
  <c r="I862" i="23"/>
  <c r="I691" i="23"/>
  <c r="I521" i="23"/>
  <c r="I350" i="23"/>
  <c r="I179" i="23"/>
  <c r="I9" i="23"/>
  <c r="I990" i="23"/>
  <c r="I819" i="23"/>
  <c r="I649" i="23"/>
  <c r="I478" i="23"/>
  <c r="I307" i="23"/>
  <c r="I137" i="23"/>
  <c r="I393" i="23"/>
  <c r="I563" i="23"/>
  <c r="I905" i="23"/>
  <c r="I222" i="23"/>
  <c r="I734" i="23"/>
  <c r="I51" i="23"/>
  <c r="I999" i="15"/>
  <c r="I995" i="15"/>
  <c r="I991" i="15"/>
  <c r="I987" i="15"/>
  <c r="I983" i="15"/>
  <c r="I979" i="15"/>
  <c r="I975" i="15"/>
  <c r="I971" i="15"/>
  <c r="I967" i="15"/>
  <c r="I963" i="15"/>
  <c r="I959" i="15"/>
  <c r="I955" i="15"/>
  <c r="I951" i="15"/>
  <c r="I947" i="15"/>
  <c r="I943" i="15"/>
  <c r="I939" i="15"/>
  <c r="I935" i="15"/>
  <c r="I931" i="15"/>
  <c r="I927" i="15"/>
  <c r="I923" i="15"/>
  <c r="I919" i="15"/>
  <c r="I915" i="15"/>
  <c r="I911" i="15"/>
  <c r="I907" i="15"/>
  <c r="I903" i="15"/>
  <c r="I899" i="15"/>
  <c r="I895" i="15"/>
  <c r="I891" i="15"/>
  <c r="I887" i="15"/>
  <c r="I883" i="15"/>
  <c r="I879" i="15"/>
  <c r="I875" i="15"/>
  <c r="I871" i="15"/>
  <c r="I867" i="15"/>
  <c r="I863" i="15"/>
  <c r="I859" i="15"/>
  <c r="I855" i="15"/>
  <c r="I851" i="15"/>
  <c r="I847" i="15"/>
  <c r="I843" i="15"/>
  <c r="I839" i="15"/>
  <c r="I835" i="15"/>
  <c r="I831" i="15"/>
  <c r="I827" i="15"/>
  <c r="I823" i="15"/>
  <c r="I819" i="15"/>
  <c r="I815" i="15"/>
  <c r="I811" i="15"/>
  <c r="I807" i="15"/>
  <c r="I803" i="15"/>
  <c r="I799" i="15"/>
  <c r="I795" i="15"/>
  <c r="I791" i="15"/>
  <c r="I787" i="15"/>
  <c r="I783" i="15"/>
  <c r="I779" i="15"/>
  <c r="I775" i="15"/>
  <c r="I771" i="15"/>
  <c r="I767" i="15"/>
  <c r="I763" i="15"/>
  <c r="I759" i="15"/>
  <c r="I755" i="15"/>
  <c r="I751" i="15"/>
  <c r="I747" i="15"/>
  <c r="I743" i="15"/>
  <c r="I739" i="15"/>
  <c r="I735" i="15"/>
  <c r="I731" i="15"/>
  <c r="I727" i="15"/>
  <c r="I723" i="15"/>
  <c r="I719" i="15"/>
  <c r="I715" i="15"/>
  <c r="I711" i="15"/>
  <c r="I707" i="15"/>
  <c r="I703" i="15"/>
  <c r="I699" i="15"/>
  <c r="I695" i="15"/>
  <c r="I691" i="15"/>
  <c r="I687" i="15"/>
  <c r="I683" i="15"/>
  <c r="I679" i="15"/>
  <c r="I675" i="15"/>
  <c r="I671" i="15"/>
  <c r="I667" i="15"/>
  <c r="I663" i="15"/>
  <c r="I659" i="15"/>
  <c r="I655" i="15"/>
  <c r="I651" i="15"/>
  <c r="I647" i="15"/>
  <c r="I643" i="15"/>
  <c r="I639" i="15"/>
  <c r="I635" i="15"/>
  <c r="I631" i="15"/>
  <c r="I627" i="15"/>
  <c r="I623" i="15"/>
  <c r="I619" i="15"/>
  <c r="I615" i="15"/>
  <c r="I611" i="15"/>
  <c r="I607" i="15"/>
  <c r="I603" i="15"/>
  <c r="I599" i="15"/>
  <c r="I595" i="15"/>
  <c r="I591" i="15"/>
  <c r="I587" i="15"/>
  <c r="I583" i="15"/>
  <c r="I579" i="15"/>
  <c r="I575" i="15"/>
  <c r="I571" i="15"/>
  <c r="I567" i="15"/>
  <c r="I563" i="15"/>
  <c r="I559" i="15"/>
  <c r="I555" i="15"/>
  <c r="I551" i="15"/>
  <c r="I547" i="15"/>
  <c r="I543" i="15"/>
  <c r="I539" i="15"/>
  <c r="I535" i="15"/>
  <c r="I531" i="15"/>
  <c r="I527" i="15"/>
  <c r="I523" i="15"/>
  <c r="I519" i="15"/>
  <c r="I515" i="15"/>
  <c r="I511" i="15"/>
  <c r="I507" i="15"/>
  <c r="I503" i="15"/>
  <c r="I499" i="15"/>
  <c r="I495" i="15"/>
  <c r="I491" i="15"/>
  <c r="I487" i="15"/>
  <c r="I483" i="15"/>
  <c r="I479" i="15"/>
  <c r="I475" i="15"/>
  <c r="I471" i="15"/>
  <c r="I467" i="15"/>
  <c r="I463" i="15"/>
  <c r="I459" i="15"/>
  <c r="I455" i="15"/>
  <c r="I451" i="15"/>
  <c r="I447" i="15"/>
  <c r="I443" i="15"/>
  <c r="I439" i="15"/>
  <c r="I435" i="15"/>
  <c r="I431" i="15"/>
  <c r="I427" i="15"/>
  <c r="I423" i="15"/>
  <c r="I419" i="15"/>
  <c r="I415" i="15"/>
  <c r="I411" i="15"/>
  <c r="I407" i="15"/>
  <c r="I403" i="15"/>
  <c r="I399" i="15"/>
  <c r="I395" i="15"/>
  <c r="I391" i="15"/>
  <c r="I387" i="15"/>
  <c r="I383" i="15"/>
  <c r="I379" i="15"/>
  <c r="I375" i="15"/>
  <c r="I371" i="15"/>
  <c r="I367" i="15"/>
  <c r="I363" i="15"/>
  <c r="I359" i="15"/>
  <c r="I355" i="15"/>
  <c r="I351" i="15"/>
  <c r="I347" i="15"/>
  <c r="I343" i="15"/>
  <c r="I339" i="15"/>
  <c r="I335" i="15"/>
  <c r="I331" i="15"/>
  <c r="I327" i="15"/>
  <c r="I323" i="15"/>
  <c r="I319" i="15"/>
  <c r="I315" i="15"/>
  <c r="I311" i="15"/>
  <c r="I307" i="15"/>
  <c r="I303" i="15"/>
  <c r="I299" i="15"/>
  <c r="I295" i="15"/>
  <c r="I291" i="15"/>
  <c r="I287" i="15"/>
  <c r="I283" i="15"/>
  <c r="I279" i="15"/>
  <c r="I275" i="15"/>
  <c r="I271" i="15"/>
  <c r="I267" i="15"/>
  <c r="I263" i="15"/>
  <c r="I259" i="15"/>
  <c r="I255" i="15"/>
  <c r="I251" i="15"/>
  <c r="I247" i="15"/>
  <c r="I243" i="15"/>
  <c r="I239" i="15"/>
  <c r="I235" i="15"/>
  <c r="I231" i="15"/>
  <c r="I227" i="15"/>
  <c r="I223" i="15"/>
  <c r="I219" i="15"/>
  <c r="I215" i="15"/>
  <c r="I211" i="15"/>
  <c r="I207" i="15"/>
  <c r="I203" i="15"/>
  <c r="I199" i="15"/>
  <c r="I195" i="15"/>
  <c r="I191" i="15"/>
  <c r="I187" i="15"/>
  <c r="I183" i="15"/>
  <c r="I179" i="15"/>
  <c r="I175" i="15"/>
  <c r="I171" i="15"/>
  <c r="I167" i="15"/>
  <c r="I163" i="15"/>
  <c r="I159" i="15"/>
  <c r="I155" i="15"/>
  <c r="I151" i="15"/>
  <c r="I147" i="15"/>
  <c r="I143" i="15"/>
  <c r="I139" i="15"/>
  <c r="I135" i="15"/>
  <c r="I131" i="15"/>
  <c r="I127" i="15"/>
  <c r="I123" i="15"/>
  <c r="I119" i="15"/>
  <c r="I115" i="15"/>
  <c r="I111" i="15"/>
  <c r="I107" i="15"/>
  <c r="I103" i="15"/>
  <c r="I99" i="15"/>
  <c r="I95" i="15"/>
  <c r="I91" i="15"/>
  <c r="I87" i="15"/>
  <c r="I83" i="15"/>
  <c r="I79" i="15"/>
  <c r="I75" i="15"/>
  <c r="I71" i="15"/>
  <c r="I67" i="15"/>
  <c r="I63" i="15"/>
  <c r="I59" i="15"/>
  <c r="I55" i="15"/>
  <c r="I51" i="15"/>
  <c r="I47" i="15"/>
  <c r="I43" i="15"/>
  <c r="I39" i="15"/>
  <c r="I35" i="15"/>
  <c r="I31" i="15"/>
  <c r="I27" i="15"/>
  <c r="I23" i="15"/>
  <c r="I19" i="15"/>
  <c r="I15" i="15"/>
  <c r="I11" i="15"/>
  <c r="I7" i="15"/>
  <c r="I3" i="15"/>
  <c r="I998" i="15"/>
  <c r="I994" i="15"/>
  <c r="I990" i="15"/>
  <c r="I986" i="15"/>
  <c r="I982" i="15"/>
  <c r="I978" i="15"/>
  <c r="I974" i="15"/>
  <c r="I970" i="15"/>
  <c r="I966" i="15"/>
  <c r="I962" i="15"/>
  <c r="I958" i="15"/>
  <c r="I954" i="15"/>
  <c r="I950" i="15"/>
  <c r="I946" i="15"/>
  <c r="I942" i="15"/>
  <c r="I938" i="15"/>
  <c r="I934" i="15"/>
  <c r="I930" i="15"/>
  <c r="I926" i="15"/>
  <c r="I922" i="15"/>
  <c r="I918" i="15"/>
  <c r="I914" i="15"/>
  <c r="I910" i="15"/>
  <c r="I906" i="15"/>
  <c r="I902" i="15"/>
  <c r="I898" i="15"/>
  <c r="I894" i="15"/>
  <c r="I890" i="15"/>
  <c r="I886" i="15"/>
  <c r="I882" i="15"/>
  <c r="I878" i="15"/>
  <c r="I874" i="15"/>
  <c r="I870" i="15"/>
  <c r="I866" i="15"/>
  <c r="I862" i="15"/>
  <c r="I858" i="15"/>
  <c r="I854" i="15"/>
  <c r="I850" i="15"/>
  <c r="I846" i="15"/>
  <c r="I842" i="15"/>
  <c r="I838" i="15"/>
  <c r="I834" i="15"/>
  <c r="I830" i="15"/>
  <c r="I826" i="15"/>
  <c r="I822" i="15"/>
  <c r="I818" i="15"/>
  <c r="I814" i="15"/>
  <c r="I810" i="15"/>
  <c r="I806" i="15"/>
  <c r="I802" i="15"/>
  <c r="I798" i="15"/>
  <c r="I794" i="15"/>
  <c r="I790" i="15"/>
  <c r="I786" i="15"/>
  <c r="I782" i="15"/>
  <c r="I778" i="15"/>
  <c r="I774" i="15"/>
  <c r="I770" i="15"/>
  <c r="I766" i="15"/>
  <c r="I762" i="15"/>
  <c r="I758" i="15"/>
  <c r="I754" i="15"/>
  <c r="I750" i="15"/>
  <c r="I746" i="15"/>
  <c r="I742" i="15"/>
  <c r="I738" i="15"/>
  <c r="I734" i="15"/>
  <c r="I730" i="15"/>
  <c r="I726" i="15"/>
  <c r="I722" i="15"/>
  <c r="I718" i="15"/>
  <c r="I714" i="15"/>
  <c r="I710" i="15"/>
  <c r="I706" i="15"/>
  <c r="I702" i="15"/>
  <c r="I698" i="15"/>
  <c r="I694" i="15"/>
  <c r="I690" i="15"/>
  <c r="I686" i="15"/>
  <c r="I682" i="15"/>
  <c r="I678" i="15"/>
  <c r="I674" i="15"/>
  <c r="I670" i="15"/>
  <c r="I666" i="15"/>
  <c r="I662" i="15"/>
  <c r="I658" i="15"/>
  <c r="I654" i="15"/>
  <c r="I650" i="15"/>
  <c r="I646" i="15"/>
  <c r="I642" i="15"/>
  <c r="I638" i="15"/>
  <c r="I634" i="15"/>
  <c r="I630" i="15"/>
  <c r="I626" i="15"/>
  <c r="I622" i="15"/>
  <c r="I618" i="15"/>
  <c r="I614" i="15"/>
  <c r="I610" i="15"/>
  <c r="I606" i="15"/>
  <c r="I602" i="15"/>
  <c r="I598" i="15"/>
  <c r="I594" i="15"/>
  <c r="I590" i="15"/>
  <c r="I586" i="15"/>
  <c r="I582" i="15"/>
  <c r="I578" i="15"/>
  <c r="I574" i="15"/>
  <c r="I570" i="15"/>
  <c r="I566" i="15"/>
  <c r="I562" i="15"/>
  <c r="I558" i="15"/>
  <c r="I554" i="15"/>
  <c r="I550" i="15"/>
  <c r="I546" i="15"/>
  <c r="I542" i="15"/>
  <c r="I538" i="15"/>
  <c r="I534" i="15"/>
  <c r="I530" i="15"/>
  <c r="I526" i="15"/>
  <c r="I522" i="15"/>
  <c r="I518" i="15"/>
  <c r="I514" i="15"/>
  <c r="I510" i="15"/>
  <c r="I506" i="15"/>
  <c r="I502" i="15"/>
  <c r="I498" i="15"/>
  <c r="I494" i="15"/>
  <c r="I490" i="15"/>
  <c r="I486" i="15"/>
  <c r="I482" i="15"/>
  <c r="I478" i="15"/>
  <c r="I474" i="15"/>
  <c r="I470" i="15"/>
  <c r="I466" i="15"/>
  <c r="I462" i="15"/>
  <c r="I458" i="15"/>
  <c r="I454" i="15"/>
  <c r="I450" i="15"/>
  <c r="I446" i="15"/>
  <c r="I442" i="15"/>
  <c r="I438" i="15"/>
  <c r="I434" i="15"/>
  <c r="I430" i="15"/>
  <c r="I426" i="15"/>
  <c r="I422" i="15"/>
  <c r="I418" i="15"/>
  <c r="I414" i="15"/>
  <c r="I410" i="15"/>
  <c r="I406" i="15"/>
  <c r="I402" i="15"/>
  <c r="I398" i="15"/>
  <c r="I394" i="15"/>
  <c r="I390" i="15"/>
  <c r="I386" i="15"/>
  <c r="I382" i="15"/>
  <c r="I378" i="15"/>
  <c r="I374" i="15"/>
  <c r="I370" i="15"/>
  <c r="I366" i="15"/>
  <c r="I362" i="15"/>
  <c r="I358" i="15"/>
  <c r="I354" i="15"/>
  <c r="I350" i="15"/>
  <c r="I346" i="15"/>
  <c r="I342" i="15"/>
  <c r="I338" i="15"/>
  <c r="I334" i="15"/>
  <c r="I330" i="15"/>
  <c r="I326" i="15"/>
  <c r="I322" i="15"/>
  <c r="I318" i="15"/>
  <c r="I314" i="15"/>
  <c r="I310" i="15"/>
  <c r="I306" i="15"/>
  <c r="I302" i="15"/>
  <c r="I298" i="15"/>
  <c r="I294" i="15"/>
  <c r="I290" i="15"/>
  <c r="I286" i="15"/>
  <c r="I282" i="15"/>
  <c r="I278" i="15"/>
  <c r="I274" i="15"/>
  <c r="I270" i="15"/>
  <c r="I266" i="15"/>
  <c r="I262" i="15"/>
  <c r="I258" i="15"/>
  <c r="I254" i="15"/>
  <c r="I250" i="15"/>
  <c r="I246" i="15"/>
  <c r="I242" i="15"/>
  <c r="I238" i="15"/>
  <c r="I234" i="15"/>
  <c r="I230" i="15"/>
  <c r="I226" i="15"/>
  <c r="I222" i="15"/>
  <c r="I218" i="15"/>
  <c r="I214" i="15"/>
  <c r="I210" i="15"/>
  <c r="I206" i="15"/>
  <c r="I202" i="15"/>
  <c r="I198" i="15"/>
  <c r="I194" i="15"/>
  <c r="I190" i="15"/>
  <c r="I186" i="15"/>
  <c r="I182" i="15"/>
  <c r="I178" i="15"/>
  <c r="I174" i="15"/>
  <c r="I170" i="15"/>
  <c r="I166" i="15"/>
  <c r="I162" i="15"/>
  <c r="I158" i="15"/>
  <c r="I154" i="15"/>
  <c r="I150" i="15"/>
  <c r="I146" i="15"/>
  <c r="I142" i="15"/>
  <c r="I138" i="15"/>
  <c r="I134" i="15"/>
  <c r="I130" i="15"/>
  <c r="I126" i="15"/>
  <c r="I122" i="15"/>
  <c r="I118" i="15"/>
  <c r="I114" i="15"/>
  <c r="I110" i="15"/>
  <c r="I106" i="15"/>
  <c r="I102" i="15"/>
  <c r="I98" i="15"/>
  <c r="I94" i="15"/>
  <c r="I90" i="15"/>
  <c r="I86" i="15"/>
  <c r="I82" i="15"/>
  <c r="I78" i="15"/>
  <c r="I74" i="15"/>
  <c r="I70" i="15"/>
  <c r="I66" i="15"/>
  <c r="I62" i="15"/>
  <c r="I58" i="15"/>
  <c r="I54" i="15"/>
  <c r="I50" i="15"/>
  <c r="I46" i="15"/>
  <c r="I42" i="15"/>
  <c r="I38" i="15"/>
  <c r="I34" i="15"/>
  <c r="I30" i="15"/>
  <c r="I26" i="15"/>
  <c r="I22" i="15"/>
  <c r="I18" i="15"/>
  <c r="I14" i="15"/>
  <c r="I10" i="15"/>
  <c r="I6" i="15"/>
  <c r="I2" i="15"/>
  <c r="I1000" i="15"/>
  <c r="I992" i="15"/>
  <c r="I984" i="15"/>
  <c r="I976" i="15"/>
  <c r="I968" i="15"/>
  <c r="I960" i="15"/>
  <c r="I952" i="15"/>
  <c r="I944" i="15"/>
  <c r="I936" i="15"/>
  <c r="I928" i="15"/>
  <c r="I920" i="15"/>
  <c r="I912" i="15"/>
  <c r="I904" i="15"/>
  <c r="I896" i="15"/>
  <c r="I888" i="15"/>
  <c r="I880" i="15"/>
  <c r="I872" i="15"/>
  <c r="I864" i="15"/>
  <c r="I856" i="15"/>
  <c r="I848" i="15"/>
  <c r="I840" i="15"/>
  <c r="I832" i="15"/>
  <c r="I824" i="15"/>
  <c r="I816" i="15"/>
  <c r="I808" i="15"/>
  <c r="I800" i="15"/>
  <c r="I792" i="15"/>
  <c r="I784" i="15"/>
  <c r="I776" i="15"/>
  <c r="I768" i="15"/>
  <c r="I760" i="15"/>
  <c r="I752" i="15"/>
  <c r="I744" i="15"/>
  <c r="I736" i="15"/>
  <c r="I728" i="15"/>
  <c r="I720" i="15"/>
  <c r="I712" i="15"/>
  <c r="I704" i="15"/>
  <c r="I696" i="15"/>
  <c r="I688" i="15"/>
  <c r="I680" i="15"/>
  <c r="I672" i="15"/>
  <c r="I664" i="15"/>
  <c r="I656" i="15"/>
  <c r="I648" i="15"/>
  <c r="I640" i="15"/>
  <c r="I632" i="15"/>
  <c r="I624" i="15"/>
  <c r="I616" i="15"/>
  <c r="I608" i="15"/>
  <c r="I600" i="15"/>
  <c r="I592" i="15"/>
  <c r="I584" i="15"/>
  <c r="I576" i="15"/>
  <c r="I568" i="15"/>
  <c r="I560" i="15"/>
  <c r="I552" i="15"/>
  <c r="I544" i="15"/>
  <c r="I536" i="15"/>
  <c r="I528" i="15"/>
  <c r="I520" i="15"/>
  <c r="I512" i="15"/>
  <c r="I504" i="15"/>
  <c r="I496" i="15"/>
  <c r="I488" i="15"/>
  <c r="I480" i="15"/>
  <c r="I472" i="15"/>
  <c r="I464" i="15"/>
  <c r="I456" i="15"/>
  <c r="I448" i="15"/>
  <c r="I440" i="15"/>
  <c r="I432" i="15"/>
  <c r="I424" i="15"/>
  <c r="I416" i="15"/>
  <c r="I408" i="15"/>
  <c r="I400" i="15"/>
  <c r="I392" i="15"/>
  <c r="I384" i="15"/>
  <c r="I376" i="15"/>
  <c r="I368" i="15"/>
  <c r="I360" i="15"/>
  <c r="I352" i="15"/>
  <c r="I344" i="15"/>
  <c r="I336" i="15"/>
  <c r="I328" i="15"/>
  <c r="I320" i="15"/>
  <c r="I312" i="15"/>
  <c r="I304" i="15"/>
  <c r="I296" i="15"/>
  <c r="I288" i="15"/>
  <c r="I280" i="15"/>
  <c r="I272" i="15"/>
  <c r="I264" i="15"/>
  <c r="I256" i="15"/>
  <c r="I248" i="15"/>
  <c r="I240" i="15"/>
  <c r="I232" i="15"/>
  <c r="I224" i="15"/>
  <c r="I216" i="15"/>
  <c r="I208" i="15"/>
  <c r="I200" i="15"/>
  <c r="I192" i="15"/>
  <c r="I184" i="15"/>
  <c r="I176" i="15"/>
  <c r="I168" i="15"/>
  <c r="I160" i="15"/>
  <c r="I152" i="15"/>
  <c r="I144" i="15"/>
  <c r="I136" i="15"/>
  <c r="I128" i="15"/>
  <c r="I120" i="15"/>
  <c r="I112" i="15"/>
  <c r="I104" i="15"/>
  <c r="I96" i="15"/>
  <c r="I88" i="15"/>
  <c r="I80" i="15"/>
  <c r="I72" i="15"/>
  <c r="I64" i="15"/>
  <c r="I56" i="15"/>
  <c r="I48" i="15"/>
  <c r="I40" i="15"/>
  <c r="I32" i="15"/>
  <c r="I24" i="15"/>
  <c r="I16" i="15"/>
  <c r="I8" i="15"/>
  <c r="I1" i="15"/>
  <c r="I996" i="15"/>
  <c r="I988" i="15"/>
  <c r="I980" i="15"/>
  <c r="I972" i="15"/>
  <c r="I964" i="15"/>
  <c r="I956" i="15"/>
  <c r="I948" i="15"/>
  <c r="I940" i="15"/>
  <c r="I932" i="15"/>
  <c r="I924" i="15"/>
  <c r="I916" i="15"/>
  <c r="I908" i="15"/>
  <c r="I900" i="15"/>
  <c r="I892" i="15"/>
  <c r="I884" i="15"/>
  <c r="I876" i="15"/>
  <c r="I868" i="15"/>
  <c r="I860" i="15"/>
  <c r="I852" i="15"/>
  <c r="I844" i="15"/>
  <c r="I836" i="15"/>
  <c r="I828" i="15"/>
  <c r="I820" i="15"/>
  <c r="I812" i="15"/>
  <c r="I804" i="15"/>
  <c r="I796" i="15"/>
  <c r="I788" i="15"/>
  <c r="I780" i="15"/>
  <c r="I772" i="15"/>
  <c r="I764" i="15"/>
  <c r="I756" i="15"/>
  <c r="I748" i="15"/>
  <c r="I740" i="15"/>
  <c r="I732" i="15"/>
  <c r="I724" i="15"/>
  <c r="I716" i="15"/>
  <c r="I708" i="15"/>
  <c r="I700" i="15"/>
  <c r="I692" i="15"/>
  <c r="I684" i="15"/>
  <c r="I676" i="15"/>
  <c r="I668" i="15"/>
  <c r="I660" i="15"/>
  <c r="I652" i="15"/>
  <c r="I644" i="15"/>
  <c r="I636" i="15"/>
  <c r="I628" i="15"/>
  <c r="I620" i="15"/>
  <c r="I612" i="15"/>
  <c r="I604" i="15"/>
  <c r="I596" i="15"/>
  <c r="I588" i="15"/>
  <c r="I580" i="15"/>
  <c r="I572" i="15"/>
  <c r="I564" i="15"/>
  <c r="I556" i="15"/>
  <c r="I548" i="15"/>
  <c r="I540" i="15"/>
  <c r="I532" i="15"/>
  <c r="I524" i="15"/>
  <c r="I516" i="15"/>
  <c r="I508" i="15"/>
  <c r="I500" i="15"/>
  <c r="I492" i="15"/>
  <c r="I484" i="15"/>
  <c r="I476" i="15"/>
  <c r="I468" i="15"/>
  <c r="I460" i="15"/>
  <c r="I452" i="15"/>
  <c r="I444" i="15"/>
  <c r="I436" i="15"/>
  <c r="I428" i="15"/>
  <c r="I420" i="15"/>
  <c r="I412" i="15"/>
  <c r="I404" i="15"/>
  <c r="I396" i="15"/>
  <c r="I388" i="15"/>
  <c r="I380" i="15"/>
  <c r="I372" i="15"/>
  <c r="I364" i="15"/>
  <c r="I356" i="15"/>
  <c r="I348" i="15"/>
  <c r="I340" i="15"/>
  <c r="I332" i="15"/>
  <c r="I324" i="15"/>
  <c r="I316" i="15"/>
  <c r="I308" i="15"/>
  <c r="I300" i="15"/>
  <c r="I292" i="15"/>
  <c r="I284" i="15"/>
  <c r="I276" i="15"/>
  <c r="I268" i="15"/>
  <c r="I260" i="15"/>
  <c r="I252" i="15"/>
  <c r="I244" i="15"/>
  <c r="I236" i="15"/>
  <c r="I228" i="15"/>
  <c r="I220" i="15"/>
  <c r="I212" i="15"/>
  <c r="I204" i="15"/>
  <c r="I196" i="15"/>
  <c r="I188" i="15"/>
  <c r="I180" i="15"/>
  <c r="I172" i="15"/>
  <c r="I164" i="15"/>
  <c r="I156" i="15"/>
  <c r="I148" i="15"/>
  <c r="I140" i="15"/>
  <c r="I132" i="15"/>
  <c r="I124" i="15"/>
  <c r="I116" i="15"/>
  <c r="I108" i="15"/>
  <c r="I100" i="15"/>
  <c r="I92" i="15"/>
  <c r="I84" i="15"/>
  <c r="I76" i="15"/>
  <c r="I68" i="15"/>
  <c r="I60" i="15"/>
  <c r="I52" i="15"/>
  <c r="I44" i="15"/>
  <c r="I36" i="15"/>
  <c r="I28" i="15"/>
  <c r="I20" i="15"/>
  <c r="I12" i="15"/>
  <c r="I4" i="15"/>
  <c r="I989" i="15"/>
  <c r="I973" i="15"/>
  <c r="I957" i="15"/>
  <c r="I941" i="15"/>
  <c r="I925" i="15"/>
  <c r="I909" i="15"/>
  <c r="I893" i="15"/>
  <c r="I877" i="15"/>
  <c r="I861" i="15"/>
  <c r="I845" i="15"/>
  <c r="I829" i="15"/>
  <c r="I813" i="15"/>
  <c r="I797" i="15"/>
  <c r="I781" i="15"/>
  <c r="I765" i="15"/>
  <c r="I749" i="15"/>
  <c r="I733" i="15"/>
  <c r="I717" i="15"/>
  <c r="I701" i="15"/>
  <c r="I685" i="15"/>
  <c r="I669" i="15"/>
  <c r="I653" i="15"/>
  <c r="I637" i="15"/>
  <c r="I621" i="15"/>
  <c r="I605" i="15"/>
  <c r="I589" i="15"/>
  <c r="I573" i="15"/>
  <c r="I557" i="15"/>
  <c r="I541" i="15"/>
  <c r="I525" i="15"/>
  <c r="I509" i="15"/>
  <c r="I493" i="15"/>
  <c r="I477" i="15"/>
  <c r="I461" i="15"/>
  <c r="I445" i="15"/>
  <c r="I429" i="15"/>
  <c r="I413" i="15"/>
  <c r="I397" i="15"/>
  <c r="I381" i="15"/>
  <c r="I365" i="15"/>
  <c r="I349" i="15"/>
  <c r="I333" i="15"/>
  <c r="I317" i="15"/>
  <c r="I301" i="15"/>
  <c r="I285" i="15"/>
  <c r="I269" i="15"/>
  <c r="I253" i="15"/>
  <c r="I237" i="15"/>
  <c r="I221" i="15"/>
  <c r="I205" i="15"/>
  <c r="I189" i="15"/>
  <c r="I173" i="15"/>
  <c r="I157" i="15"/>
  <c r="I141" i="15"/>
  <c r="I125" i="15"/>
  <c r="I109" i="15"/>
  <c r="I93" i="15"/>
  <c r="I77" i="15"/>
  <c r="I61" i="15"/>
  <c r="I45" i="15"/>
  <c r="I29" i="15"/>
  <c r="I13" i="15"/>
  <c r="I997" i="15"/>
  <c r="I981" i="15"/>
  <c r="I965" i="15"/>
  <c r="I949" i="15"/>
  <c r="I933" i="15"/>
  <c r="I917" i="15"/>
  <c r="I901" i="15"/>
  <c r="I885" i="15"/>
  <c r="I869" i="15"/>
  <c r="I853" i="15"/>
  <c r="I837" i="15"/>
  <c r="I821" i="15"/>
  <c r="I805" i="15"/>
  <c r="I789" i="15"/>
  <c r="I773" i="15"/>
  <c r="I757" i="15"/>
  <c r="I741" i="15"/>
  <c r="I725" i="15"/>
  <c r="I709" i="15"/>
  <c r="I693" i="15"/>
  <c r="I677" i="15"/>
  <c r="I661" i="15"/>
  <c r="I645" i="15"/>
  <c r="I629" i="15"/>
  <c r="I613" i="15"/>
  <c r="I597" i="15"/>
  <c r="I581" i="15"/>
  <c r="I565" i="15"/>
  <c r="I549" i="15"/>
  <c r="I533" i="15"/>
  <c r="I517" i="15"/>
  <c r="I501" i="15"/>
  <c r="I485" i="15"/>
  <c r="I469" i="15"/>
  <c r="I453" i="15"/>
  <c r="I437" i="15"/>
  <c r="I421" i="15"/>
  <c r="I405" i="15"/>
  <c r="I389" i="15"/>
  <c r="I373" i="15"/>
  <c r="I357" i="15"/>
  <c r="I341" i="15"/>
  <c r="I325" i="15"/>
  <c r="I309" i="15"/>
  <c r="I293" i="15"/>
  <c r="I277" i="15"/>
  <c r="I261" i="15"/>
  <c r="I245" i="15"/>
  <c r="I229" i="15"/>
  <c r="I213" i="15"/>
  <c r="I197" i="15"/>
  <c r="I181" i="15"/>
  <c r="I165" i="15"/>
  <c r="I149" i="15"/>
  <c r="I133" i="15"/>
  <c r="I117" i="15"/>
  <c r="I101" i="15"/>
  <c r="I85" i="15"/>
  <c r="I69" i="15"/>
  <c r="I53" i="15"/>
  <c r="I37" i="15"/>
  <c r="I21" i="15"/>
  <c r="I5" i="15"/>
  <c r="I977" i="15"/>
  <c r="I945" i="15"/>
  <c r="I913" i="15"/>
  <c r="I881" i="15"/>
  <c r="I849" i="15"/>
  <c r="I817" i="15"/>
  <c r="I785" i="15"/>
  <c r="I753" i="15"/>
  <c r="I721" i="15"/>
  <c r="I689" i="15"/>
  <c r="I657" i="15"/>
  <c r="I625" i="15"/>
  <c r="I593" i="15"/>
  <c r="I561" i="15"/>
  <c r="I529" i="15"/>
  <c r="I497" i="15"/>
  <c r="I465" i="15"/>
  <c r="I433" i="15"/>
  <c r="I401" i="15"/>
  <c r="I369" i="15"/>
  <c r="I337" i="15"/>
  <c r="I305" i="15"/>
  <c r="I273" i="15"/>
  <c r="I241" i="15"/>
  <c r="I209" i="15"/>
  <c r="I177" i="15"/>
  <c r="I145" i="15"/>
  <c r="I113" i="15"/>
  <c r="I81" i="15"/>
  <c r="I49" i="15"/>
  <c r="I17" i="15"/>
  <c r="I993" i="15"/>
  <c r="I961" i="15"/>
  <c r="I929" i="15"/>
  <c r="I897" i="15"/>
  <c r="I865" i="15"/>
  <c r="I833" i="15"/>
  <c r="I801" i="15"/>
  <c r="I769" i="15"/>
  <c r="I737" i="15"/>
  <c r="I705" i="15"/>
  <c r="I673" i="15"/>
  <c r="I641" i="15"/>
  <c r="I609" i="15"/>
  <c r="I577" i="15"/>
  <c r="I545" i="15"/>
  <c r="I513" i="15"/>
  <c r="I481" i="15"/>
  <c r="I449" i="15"/>
  <c r="I417" i="15"/>
  <c r="I385" i="15"/>
  <c r="I353" i="15"/>
  <c r="I321" i="15"/>
  <c r="I289" i="15"/>
  <c r="I257" i="15"/>
  <c r="I225" i="15"/>
  <c r="I193" i="15"/>
  <c r="I161" i="15"/>
  <c r="I129" i="15"/>
  <c r="I97" i="15"/>
  <c r="I65" i="15"/>
  <c r="I33" i="15"/>
  <c r="I969" i="15"/>
  <c r="I905" i="15"/>
  <c r="I841" i="15"/>
  <c r="I777" i="15"/>
  <c r="I713" i="15"/>
  <c r="I649" i="15"/>
  <c r="I585" i="15"/>
  <c r="I521" i="15"/>
  <c r="I457" i="15"/>
  <c r="I393" i="15"/>
  <c r="I329" i="15"/>
  <c r="I265" i="15"/>
  <c r="I201" i="15"/>
  <c r="I137" i="15"/>
  <c r="I73" i="15"/>
  <c r="I9" i="15"/>
  <c r="I937" i="15"/>
  <c r="I873" i="15"/>
  <c r="I809" i="15"/>
  <c r="I745" i="15"/>
  <c r="I681" i="15"/>
  <c r="I617" i="15"/>
  <c r="I553" i="15"/>
  <c r="I489" i="15"/>
  <c r="I425" i="15"/>
  <c r="I361" i="15"/>
  <c r="I297" i="15"/>
  <c r="I233" i="15"/>
  <c r="I169" i="15"/>
  <c r="I105" i="15"/>
  <c r="I41" i="15"/>
  <c r="I985" i="15"/>
  <c r="I921" i="15"/>
  <c r="I857" i="15"/>
  <c r="I793" i="15"/>
  <c r="I729" i="15"/>
  <c r="I665" i="15"/>
  <c r="I601" i="15"/>
  <c r="I537" i="15"/>
  <c r="I473" i="15"/>
  <c r="I409" i="15"/>
  <c r="I345" i="15"/>
  <c r="I281" i="15"/>
  <c r="I217" i="15"/>
  <c r="I153" i="15"/>
  <c r="I89" i="15"/>
  <c r="I25" i="15"/>
  <c r="I889" i="15"/>
  <c r="I633" i="15"/>
  <c r="I377" i="15"/>
  <c r="I121" i="15"/>
  <c r="I953" i="15"/>
  <c r="I697" i="15"/>
  <c r="I441" i="15"/>
  <c r="I185" i="15"/>
  <c r="I825" i="15"/>
  <c r="I569" i="15"/>
  <c r="I313" i="15"/>
  <c r="I57" i="15"/>
  <c r="I761" i="15"/>
  <c r="I505" i="15"/>
  <c r="I249" i="15"/>
  <c r="I1000" i="9"/>
  <c r="I996" i="9"/>
  <c r="I992" i="9"/>
  <c r="I988" i="9"/>
  <c r="I984" i="9"/>
  <c r="I980" i="9"/>
  <c r="I976" i="9"/>
  <c r="I972" i="9"/>
  <c r="I968" i="9"/>
  <c r="I964" i="9"/>
  <c r="I960" i="9"/>
  <c r="I956" i="9"/>
  <c r="I952" i="9"/>
  <c r="I948" i="9"/>
  <c r="I944" i="9"/>
  <c r="I940" i="9"/>
  <c r="I936" i="9"/>
  <c r="I932" i="9"/>
  <c r="I928" i="9"/>
  <c r="I924" i="9"/>
  <c r="I920" i="9"/>
  <c r="I916" i="9"/>
  <c r="I912" i="9"/>
  <c r="I908" i="9"/>
  <c r="I904" i="9"/>
  <c r="I900" i="9"/>
  <c r="I896" i="9"/>
  <c r="I892" i="9"/>
  <c r="I888" i="9"/>
  <c r="I884" i="9"/>
  <c r="I880" i="9"/>
  <c r="I876" i="9"/>
  <c r="I872" i="9"/>
  <c r="I999" i="9"/>
  <c r="I994" i="9"/>
  <c r="I989" i="9"/>
  <c r="I983" i="9"/>
  <c r="I978" i="9"/>
  <c r="I973" i="9"/>
  <c r="I967" i="9"/>
  <c r="I962" i="9"/>
  <c r="I957" i="9"/>
  <c r="I951" i="9"/>
  <c r="I946" i="9"/>
  <c r="I941" i="9"/>
  <c r="I935" i="9"/>
  <c r="I930" i="9"/>
  <c r="I925" i="9"/>
  <c r="I919" i="9"/>
  <c r="I914" i="9"/>
  <c r="I909" i="9"/>
  <c r="I903" i="9"/>
  <c r="I898" i="9"/>
  <c r="I893" i="9"/>
  <c r="I887" i="9"/>
  <c r="I882" i="9"/>
  <c r="I877" i="9"/>
  <c r="I871" i="9"/>
  <c r="I867" i="9"/>
  <c r="I863" i="9"/>
  <c r="I859" i="9"/>
  <c r="I855" i="9"/>
  <c r="I851" i="9"/>
  <c r="I847" i="9"/>
  <c r="I843" i="9"/>
  <c r="I839" i="9"/>
  <c r="I835" i="9"/>
  <c r="I831" i="9"/>
  <c r="I827" i="9"/>
  <c r="I823" i="9"/>
  <c r="I819" i="9"/>
  <c r="I815" i="9"/>
  <c r="I811" i="9"/>
  <c r="I807" i="9"/>
  <c r="I803" i="9"/>
  <c r="I799" i="9"/>
  <c r="I795" i="9"/>
  <c r="I791" i="9"/>
  <c r="I787" i="9"/>
  <c r="I783" i="9"/>
  <c r="I779" i="9"/>
  <c r="I775" i="9"/>
  <c r="I771" i="9"/>
  <c r="I767" i="9"/>
  <c r="I763" i="9"/>
  <c r="I759" i="9"/>
  <c r="I755" i="9"/>
  <c r="I751" i="9"/>
  <c r="I747" i="9"/>
  <c r="I743" i="9"/>
  <c r="I739" i="9"/>
  <c r="I735" i="9"/>
  <c r="I731" i="9"/>
  <c r="I727" i="9"/>
  <c r="I723" i="9"/>
  <c r="I719" i="9"/>
  <c r="I715" i="9"/>
  <c r="I711" i="9"/>
  <c r="I707" i="9"/>
  <c r="I703" i="9"/>
  <c r="I699" i="9"/>
  <c r="I695" i="9"/>
  <c r="I691" i="9"/>
  <c r="I687" i="9"/>
  <c r="I683" i="9"/>
  <c r="I679" i="9"/>
  <c r="I675" i="9"/>
  <c r="I671" i="9"/>
  <c r="I667" i="9"/>
  <c r="I663" i="9"/>
  <c r="I659" i="9"/>
  <c r="I655" i="9"/>
  <c r="I651" i="9"/>
  <c r="I647" i="9"/>
  <c r="I643" i="9"/>
  <c r="I639" i="9"/>
  <c r="I635" i="9"/>
  <c r="I631" i="9"/>
  <c r="I627" i="9"/>
  <c r="I623" i="9"/>
  <c r="I619" i="9"/>
  <c r="I615" i="9"/>
  <c r="I611" i="9"/>
  <c r="I607" i="9"/>
  <c r="I603" i="9"/>
  <c r="I599" i="9"/>
  <c r="I595" i="9"/>
  <c r="I591" i="9"/>
  <c r="I587" i="9"/>
  <c r="I583" i="9"/>
  <c r="I579" i="9"/>
  <c r="I575" i="9"/>
  <c r="I571" i="9"/>
  <c r="I567" i="9"/>
  <c r="I563" i="9"/>
  <c r="I559" i="9"/>
  <c r="I555" i="9"/>
  <c r="I551" i="9"/>
  <c r="I547" i="9"/>
  <c r="I543" i="9"/>
  <c r="I539" i="9"/>
  <c r="I535" i="9"/>
  <c r="I531" i="9"/>
  <c r="I527" i="9"/>
  <c r="I523" i="9"/>
  <c r="I519" i="9"/>
  <c r="I515" i="9"/>
  <c r="I511" i="9"/>
  <c r="I507" i="9"/>
  <c r="I503" i="9"/>
  <c r="I499" i="9"/>
  <c r="I495" i="9"/>
  <c r="I491" i="9"/>
  <c r="I487" i="9"/>
  <c r="I483" i="9"/>
  <c r="I479" i="9"/>
  <c r="I475" i="9"/>
  <c r="I471" i="9"/>
  <c r="I467" i="9"/>
  <c r="I463" i="9"/>
  <c r="I459" i="9"/>
  <c r="I455" i="9"/>
  <c r="I451" i="9"/>
  <c r="I447" i="9"/>
  <c r="I443" i="9"/>
  <c r="I439" i="9"/>
  <c r="I435" i="9"/>
  <c r="I431" i="9"/>
  <c r="I427" i="9"/>
  <c r="I423" i="9"/>
  <c r="I419" i="9"/>
  <c r="I415" i="9"/>
  <c r="I411" i="9"/>
  <c r="I407" i="9"/>
  <c r="I403" i="9"/>
  <c r="I399" i="9"/>
  <c r="I395" i="9"/>
  <c r="I391" i="9"/>
  <c r="I387" i="9"/>
  <c r="I383" i="9"/>
  <c r="I379" i="9"/>
  <c r="I375" i="9"/>
  <c r="I371" i="9"/>
  <c r="I367" i="9"/>
  <c r="I363" i="9"/>
  <c r="I359" i="9"/>
  <c r="I355" i="9"/>
  <c r="I351" i="9"/>
  <c r="I347" i="9"/>
  <c r="I343" i="9"/>
  <c r="I339" i="9"/>
  <c r="I335" i="9"/>
  <c r="I331" i="9"/>
  <c r="I327" i="9"/>
  <c r="I323" i="9"/>
  <c r="I319" i="9"/>
  <c r="I315" i="9"/>
  <c r="I311" i="9"/>
  <c r="I307" i="9"/>
  <c r="I303" i="9"/>
  <c r="I299" i="9"/>
  <c r="I295" i="9"/>
  <c r="I291" i="9"/>
  <c r="I287" i="9"/>
  <c r="I283" i="9"/>
  <c r="I279" i="9"/>
  <c r="I275" i="9"/>
  <c r="I271" i="9"/>
  <c r="I267" i="9"/>
  <c r="I263" i="9"/>
  <c r="I259" i="9"/>
  <c r="I255" i="9"/>
  <c r="I251" i="9"/>
  <c r="I247" i="9"/>
  <c r="I243" i="9"/>
  <c r="I239" i="9"/>
  <c r="I235" i="9"/>
  <c r="I231" i="9"/>
  <c r="I227" i="9"/>
  <c r="I223" i="9"/>
  <c r="I219" i="9"/>
  <c r="I215" i="9"/>
  <c r="I211" i="9"/>
  <c r="I207" i="9"/>
  <c r="I203" i="9"/>
  <c r="I199" i="9"/>
  <c r="I195" i="9"/>
  <c r="I191" i="9"/>
  <c r="I187" i="9"/>
  <c r="I183" i="9"/>
  <c r="I179" i="9"/>
  <c r="I175" i="9"/>
  <c r="I171" i="9"/>
  <c r="I167" i="9"/>
  <c r="I163" i="9"/>
  <c r="I159" i="9"/>
  <c r="I155" i="9"/>
  <c r="I151" i="9"/>
  <c r="I147" i="9"/>
  <c r="I143" i="9"/>
  <c r="I139" i="9"/>
  <c r="I135" i="9"/>
  <c r="I131" i="9"/>
  <c r="I127" i="9"/>
  <c r="I123" i="9"/>
  <c r="I119" i="9"/>
  <c r="I115" i="9"/>
  <c r="I111" i="9"/>
  <c r="I107" i="9"/>
  <c r="I103" i="9"/>
  <c r="I99" i="9"/>
  <c r="I95" i="9"/>
  <c r="I91" i="9"/>
  <c r="I87" i="9"/>
  <c r="I83" i="9"/>
  <c r="I79" i="9"/>
  <c r="I75" i="9"/>
  <c r="I71" i="9"/>
  <c r="I67" i="9"/>
  <c r="I63" i="9"/>
  <c r="I59" i="9"/>
  <c r="I55" i="9"/>
  <c r="I51" i="9"/>
  <c r="I47" i="9"/>
  <c r="I43" i="9"/>
  <c r="I39" i="9"/>
  <c r="I35" i="9"/>
  <c r="I31" i="9"/>
  <c r="I27" i="9"/>
  <c r="I23" i="9"/>
  <c r="I19" i="9"/>
  <c r="I15" i="9"/>
  <c r="I11" i="9"/>
  <c r="I7" i="9"/>
  <c r="I3" i="9"/>
  <c r="I997" i="9"/>
  <c r="I991" i="9"/>
  <c r="I986" i="9"/>
  <c r="I981" i="9"/>
  <c r="I975" i="9"/>
  <c r="I970" i="9"/>
  <c r="I965" i="9"/>
  <c r="I959" i="9"/>
  <c r="I954" i="9"/>
  <c r="I949" i="9"/>
  <c r="I943" i="9"/>
  <c r="I938" i="9"/>
  <c r="I933" i="9"/>
  <c r="I927" i="9"/>
  <c r="I922" i="9"/>
  <c r="I917" i="9"/>
  <c r="I911" i="9"/>
  <c r="I906" i="9"/>
  <c r="I901" i="9"/>
  <c r="I895" i="9"/>
  <c r="I890" i="9"/>
  <c r="I885" i="9"/>
  <c r="I879" i="9"/>
  <c r="I874" i="9"/>
  <c r="I869" i="9"/>
  <c r="I865" i="9"/>
  <c r="I861" i="9"/>
  <c r="I857" i="9"/>
  <c r="I853" i="9"/>
  <c r="I849" i="9"/>
  <c r="I845" i="9"/>
  <c r="I841" i="9"/>
  <c r="I837" i="9"/>
  <c r="I833" i="9"/>
  <c r="I829" i="9"/>
  <c r="I825" i="9"/>
  <c r="I821" i="9"/>
  <c r="I817" i="9"/>
  <c r="I813" i="9"/>
  <c r="I809" i="9"/>
  <c r="I805" i="9"/>
  <c r="I801" i="9"/>
  <c r="I797" i="9"/>
  <c r="I793" i="9"/>
  <c r="I789" i="9"/>
  <c r="I785" i="9"/>
  <c r="I781" i="9"/>
  <c r="I777" i="9"/>
  <c r="I773" i="9"/>
  <c r="I769" i="9"/>
  <c r="I765" i="9"/>
  <c r="I761" i="9"/>
  <c r="I757" i="9"/>
  <c r="I753" i="9"/>
  <c r="I749" i="9"/>
  <c r="I745" i="9"/>
  <c r="I741" i="9"/>
  <c r="I737" i="9"/>
  <c r="I733" i="9"/>
  <c r="I729" i="9"/>
  <c r="I725" i="9"/>
  <c r="I721" i="9"/>
  <c r="I717" i="9"/>
  <c r="I713" i="9"/>
  <c r="I709" i="9"/>
  <c r="I705" i="9"/>
  <c r="I701" i="9"/>
  <c r="I697" i="9"/>
  <c r="I693" i="9"/>
  <c r="I689" i="9"/>
  <c r="I685" i="9"/>
  <c r="I681" i="9"/>
  <c r="I677" i="9"/>
  <c r="I673" i="9"/>
  <c r="I669" i="9"/>
  <c r="I665" i="9"/>
  <c r="I661" i="9"/>
  <c r="I657" i="9"/>
  <c r="I653" i="9"/>
  <c r="I649" i="9"/>
  <c r="I645" i="9"/>
  <c r="I641" i="9"/>
  <c r="I637" i="9"/>
  <c r="I633" i="9"/>
  <c r="I629" i="9"/>
  <c r="I625" i="9"/>
  <c r="I621" i="9"/>
  <c r="I617" i="9"/>
  <c r="I613" i="9"/>
  <c r="I609" i="9"/>
  <c r="I605" i="9"/>
  <c r="I601" i="9"/>
  <c r="I597" i="9"/>
  <c r="I593" i="9"/>
  <c r="I589" i="9"/>
  <c r="I585" i="9"/>
  <c r="I581" i="9"/>
  <c r="I577" i="9"/>
  <c r="I573" i="9"/>
  <c r="I569" i="9"/>
  <c r="I565" i="9"/>
  <c r="I561" i="9"/>
  <c r="I557" i="9"/>
  <c r="I553" i="9"/>
  <c r="I549" i="9"/>
  <c r="I545" i="9"/>
  <c r="I541" i="9"/>
  <c r="I537" i="9"/>
  <c r="I533" i="9"/>
  <c r="I529" i="9"/>
  <c r="I525" i="9"/>
  <c r="I521" i="9"/>
  <c r="I517" i="9"/>
  <c r="I513" i="9"/>
  <c r="I509" i="9"/>
  <c r="I505" i="9"/>
  <c r="I501" i="9"/>
  <c r="I497" i="9"/>
  <c r="I493" i="9"/>
  <c r="I489" i="9"/>
  <c r="I485" i="9"/>
  <c r="I481" i="9"/>
  <c r="I477" i="9"/>
  <c r="I473" i="9"/>
  <c r="I469" i="9"/>
  <c r="I465" i="9"/>
  <c r="I461" i="9"/>
  <c r="I457" i="9"/>
  <c r="I453" i="9"/>
  <c r="I449" i="9"/>
  <c r="I445" i="9"/>
  <c r="I441" i="9"/>
  <c r="I437" i="9"/>
  <c r="I433" i="9"/>
  <c r="I429" i="9"/>
  <c r="I425" i="9"/>
  <c r="I421" i="9"/>
  <c r="I417" i="9"/>
  <c r="I413" i="9"/>
  <c r="I409" i="9"/>
  <c r="I405" i="9"/>
  <c r="I401" i="9"/>
  <c r="I397" i="9"/>
  <c r="I393" i="9"/>
  <c r="I389" i="9"/>
  <c r="I385" i="9"/>
  <c r="I381" i="9"/>
  <c r="I377" i="9"/>
  <c r="I373" i="9"/>
  <c r="I369" i="9"/>
  <c r="I365" i="9"/>
  <c r="I361" i="9"/>
  <c r="I357" i="9"/>
  <c r="I353" i="9"/>
  <c r="I349" i="9"/>
  <c r="I345" i="9"/>
  <c r="I341" i="9"/>
  <c r="I337" i="9"/>
  <c r="I333" i="9"/>
  <c r="I329" i="9"/>
  <c r="I325" i="9"/>
  <c r="I321" i="9"/>
  <c r="I317" i="9"/>
  <c r="I313" i="9"/>
  <c r="I309" i="9"/>
  <c r="I305" i="9"/>
  <c r="I301" i="9"/>
  <c r="I297" i="9"/>
  <c r="I293" i="9"/>
  <c r="I289" i="9"/>
  <c r="I285" i="9"/>
  <c r="I281" i="9"/>
  <c r="I277" i="9"/>
  <c r="I273" i="9"/>
  <c r="I269" i="9"/>
  <c r="I265" i="9"/>
  <c r="I261" i="9"/>
  <c r="I257" i="9"/>
  <c r="I253" i="9"/>
  <c r="I249" i="9"/>
  <c r="I245" i="9"/>
  <c r="I241" i="9"/>
  <c r="I237" i="9"/>
  <c r="I233" i="9"/>
  <c r="I229" i="9"/>
  <c r="I225" i="9"/>
  <c r="I221" i="9"/>
  <c r="I217" i="9"/>
  <c r="I213" i="9"/>
  <c r="I209" i="9"/>
  <c r="I205" i="9"/>
  <c r="I201" i="9"/>
  <c r="I197" i="9"/>
  <c r="I193" i="9"/>
  <c r="I189" i="9"/>
  <c r="I185" i="9"/>
  <c r="I181" i="9"/>
  <c r="I177" i="9"/>
  <c r="I173" i="9"/>
  <c r="I169" i="9"/>
  <c r="I165" i="9"/>
  <c r="I161" i="9"/>
  <c r="I157" i="9"/>
  <c r="I153" i="9"/>
  <c r="I149" i="9"/>
  <c r="I145" i="9"/>
  <c r="I141" i="9"/>
  <c r="I137" i="9"/>
  <c r="I133" i="9"/>
  <c r="I129" i="9"/>
  <c r="I125" i="9"/>
  <c r="I121" i="9"/>
  <c r="I117" i="9"/>
  <c r="I113" i="9"/>
  <c r="I109" i="9"/>
  <c r="I105" i="9"/>
  <c r="I101" i="9"/>
  <c r="I97" i="9"/>
  <c r="I93" i="9"/>
  <c r="I89" i="9"/>
  <c r="I85" i="9"/>
  <c r="I81" i="9"/>
  <c r="I77" i="9"/>
  <c r="I73" i="9"/>
  <c r="I69" i="9"/>
  <c r="I65" i="9"/>
  <c r="I61" i="9"/>
  <c r="I57" i="9"/>
  <c r="I53" i="9"/>
  <c r="I49" i="9"/>
  <c r="I45" i="9"/>
  <c r="I41" i="9"/>
  <c r="I37" i="9"/>
  <c r="I33" i="9"/>
  <c r="I29" i="9"/>
  <c r="I25" i="9"/>
  <c r="I21" i="9"/>
  <c r="I17" i="9"/>
  <c r="I13" i="9"/>
  <c r="I9" i="9"/>
  <c r="I5" i="9"/>
  <c r="I990" i="9"/>
  <c r="I979" i="9"/>
  <c r="I969" i="9"/>
  <c r="I958" i="9"/>
  <c r="I947" i="9"/>
  <c r="I937" i="9"/>
  <c r="I926" i="9"/>
  <c r="I915" i="9"/>
  <c r="I905" i="9"/>
  <c r="I894" i="9"/>
  <c r="I883" i="9"/>
  <c r="I873" i="9"/>
  <c r="I864" i="9"/>
  <c r="I856" i="9"/>
  <c r="I848" i="9"/>
  <c r="I840" i="9"/>
  <c r="I832" i="9"/>
  <c r="I824" i="9"/>
  <c r="I816" i="9"/>
  <c r="I808" i="9"/>
  <c r="I800" i="9"/>
  <c r="I792" i="9"/>
  <c r="I784" i="9"/>
  <c r="I776" i="9"/>
  <c r="I768" i="9"/>
  <c r="I760" i="9"/>
  <c r="I752" i="9"/>
  <c r="I744" i="9"/>
  <c r="I736" i="9"/>
  <c r="I728" i="9"/>
  <c r="I720" i="9"/>
  <c r="I712" i="9"/>
  <c r="I704" i="9"/>
  <c r="I696" i="9"/>
  <c r="I688" i="9"/>
  <c r="I680" i="9"/>
  <c r="I672" i="9"/>
  <c r="I664" i="9"/>
  <c r="I656" i="9"/>
  <c r="I648" i="9"/>
  <c r="I640" i="9"/>
  <c r="I632" i="9"/>
  <c r="I624" i="9"/>
  <c r="I616" i="9"/>
  <c r="I608" i="9"/>
  <c r="I600" i="9"/>
  <c r="I592" i="9"/>
  <c r="I584" i="9"/>
  <c r="I576" i="9"/>
  <c r="I568" i="9"/>
  <c r="I560" i="9"/>
  <c r="I552" i="9"/>
  <c r="I544" i="9"/>
  <c r="I536" i="9"/>
  <c r="I528" i="9"/>
  <c r="I520" i="9"/>
  <c r="I512" i="9"/>
  <c r="I504" i="9"/>
  <c r="I496" i="9"/>
  <c r="I488" i="9"/>
  <c r="I480" i="9"/>
  <c r="I472" i="9"/>
  <c r="I464" i="9"/>
  <c r="I456" i="9"/>
  <c r="I448" i="9"/>
  <c r="I440" i="9"/>
  <c r="I432" i="9"/>
  <c r="I424" i="9"/>
  <c r="I416" i="9"/>
  <c r="I408" i="9"/>
  <c r="I400" i="9"/>
  <c r="I392" i="9"/>
  <c r="I384" i="9"/>
  <c r="I376" i="9"/>
  <c r="I368" i="9"/>
  <c r="I360" i="9"/>
  <c r="I352" i="9"/>
  <c r="I344" i="9"/>
  <c r="I336" i="9"/>
  <c r="I328" i="9"/>
  <c r="I320" i="9"/>
  <c r="I312" i="9"/>
  <c r="I304" i="9"/>
  <c r="I296" i="9"/>
  <c r="I288" i="9"/>
  <c r="I280" i="9"/>
  <c r="I272" i="9"/>
  <c r="I264" i="9"/>
  <c r="I256" i="9"/>
  <c r="I248" i="9"/>
  <c r="I240" i="9"/>
  <c r="I232" i="9"/>
  <c r="I224" i="9"/>
  <c r="I216" i="9"/>
  <c r="I208" i="9"/>
  <c r="I200" i="9"/>
  <c r="I192" i="9"/>
  <c r="I184" i="9"/>
  <c r="I176" i="9"/>
  <c r="I168" i="9"/>
  <c r="I160" i="9"/>
  <c r="I152" i="9"/>
  <c r="I144" i="9"/>
  <c r="I136" i="9"/>
  <c r="I128" i="9"/>
  <c r="I120" i="9"/>
  <c r="I112" i="9"/>
  <c r="I104" i="9"/>
  <c r="I96" i="9"/>
  <c r="I88" i="9"/>
  <c r="I80" i="9"/>
  <c r="I72" i="9"/>
  <c r="I64" i="9"/>
  <c r="I56" i="9"/>
  <c r="I48" i="9"/>
  <c r="I40" i="9"/>
  <c r="I32" i="9"/>
  <c r="I24" i="9"/>
  <c r="I16" i="9"/>
  <c r="I8" i="9"/>
  <c r="I1" i="9"/>
  <c r="I995" i="9"/>
  <c r="I985" i="9"/>
  <c r="I974" i="9"/>
  <c r="I963" i="9"/>
  <c r="I953" i="9"/>
  <c r="I942" i="9"/>
  <c r="I931" i="9"/>
  <c r="I921" i="9"/>
  <c r="I910" i="9"/>
  <c r="I899" i="9"/>
  <c r="I889" i="9"/>
  <c r="I878" i="9"/>
  <c r="I868" i="9"/>
  <c r="I860" i="9"/>
  <c r="I852" i="9"/>
  <c r="I844" i="9"/>
  <c r="I836" i="9"/>
  <c r="I828" i="9"/>
  <c r="I820" i="9"/>
  <c r="I812" i="9"/>
  <c r="I804" i="9"/>
  <c r="I796" i="9"/>
  <c r="I788" i="9"/>
  <c r="I780" i="9"/>
  <c r="I772" i="9"/>
  <c r="I764" i="9"/>
  <c r="I756" i="9"/>
  <c r="I748" i="9"/>
  <c r="I740" i="9"/>
  <c r="I732" i="9"/>
  <c r="I724" i="9"/>
  <c r="I716" i="9"/>
  <c r="I708" i="9"/>
  <c r="I700" i="9"/>
  <c r="I692" i="9"/>
  <c r="I684" i="9"/>
  <c r="I676" i="9"/>
  <c r="I668" i="9"/>
  <c r="I660" i="9"/>
  <c r="I652" i="9"/>
  <c r="I644" i="9"/>
  <c r="I636" i="9"/>
  <c r="I628" i="9"/>
  <c r="I620" i="9"/>
  <c r="I612" i="9"/>
  <c r="I604" i="9"/>
  <c r="I596" i="9"/>
  <c r="I588" i="9"/>
  <c r="I580" i="9"/>
  <c r="I572" i="9"/>
  <c r="I564" i="9"/>
  <c r="I556" i="9"/>
  <c r="I548" i="9"/>
  <c r="I540" i="9"/>
  <c r="I532" i="9"/>
  <c r="I524" i="9"/>
  <c r="I516" i="9"/>
  <c r="I508" i="9"/>
  <c r="I500" i="9"/>
  <c r="I492" i="9"/>
  <c r="I484" i="9"/>
  <c r="I476" i="9"/>
  <c r="I468" i="9"/>
  <c r="I460" i="9"/>
  <c r="I452" i="9"/>
  <c r="I444" i="9"/>
  <c r="I436" i="9"/>
  <c r="I428" i="9"/>
  <c r="I420" i="9"/>
  <c r="I412" i="9"/>
  <c r="I404" i="9"/>
  <c r="I396" i="9"/>
  <c r="I388" i="9"/>
  <c r="I380" i="9"/>
  <c r="I372" i="9"/>
  <c r="I364" i="9"/>
  <c r="I356" i="9"/>
  <c r="I348" i="9"/>
  <c r="I340" i="9"/>
  <c r="I332" i="9"/>
  <c r="I324" i="9"/>
  <c r="I316" i="9"/>
  <c r="I308" i="9"/>
  <c r="I300" i="9"/>
  <c r="I292" i="9"/>
  <c r="I284" i="9"/>
  <c r="I276" i="9"/>
  <c r="I268" i="9"/>
  <c r="I260" i="9"/>
  <c r="I252" i="9"/>
  <c r="I244" i="9"/>
  <c r="I236" i="9"/>
  <c r="I228" i="9"/>
  <c r="I220" i="9"/>
  <c r="I212" i="9"/>
  <c r="I204" i="9"/>
  <c r="I196" i="9"/>
  <c r="I188" i="9"/>
  <c r="I180" i="9"/>
  <c r="I172" i="9"/>
  <c r="I164" i="9"/>
  <c r="I156" i="9"/>
  <c r="I148" i="9"/>
  <c r="I140" i="9"/>
  <c r="I132" i="9"/>
  <c r="I124" i="9"/>
  <c r="I116" i="9"/>
  <c r="I108" i="9"/>
  <c r="I100" i="9"/>
  <c r="I92" i="9"/>
  <c r="I84" i="9"/>
  <c r="I76" i="9"/>
  <c r="I68" i="9"/>
  <c r="I60" i="9"/>
  <c r="I52" i="9"/>
  <c r="I44" i="9"/>
  <c r="I36" i="9"/>
  <c r="I28" i="9"/>
  <c r="I20" i="9"/>
  <c r="I12" i="9"/>
  <c r="I4" i="9"/>
  <c r="I987" i="9"/>
  <c r="I966" i="9"/>
  <c r="I945" i="9"/>
  <c r="I923" i="9"/>
  <c r="I902" i="9"/>
  <c r="I881" i="9"/>
  <c r="I862" i="9"/>
  <c r="I846" i="9"/>
  <c r="I830" i="9"/>
  <c r="I814" i="9"/>
  <c r="I798" i="9"/>
  <c r="I782" i="9"/>
  <c r="I766" i="9"/>
  <c r="I750" i="9"/>
  <c r="I734" i="9"/>
  <c r="I718" i="9"/>
  <c r="I702" i="9"/>
  <c r="I686" i="9"/>
  <c r="I670" i="9"/>
  <c r="I654" i="9"/>
  <c r="I638" i="9"/>
  <c r="I622" i="9"/>
  <c r="I606" i="9"/>
  <c r="I590" i="9"/>
  <c r="I574" i="9"/>
  <c r="I558" i="9"/>
  <c r="I542" i="9"/>
  <c r="I526" i="9"/>
  <c r="I510" i="9"/>
  <c r="I494" i="9"/>
  <c r="I478" i="9"/>
  <c r="I462" i="9"/>
  <c r="I446" i="9"/>
  <c r="I430" i="9"/>
  <c r="I414" i="9"/>
  <c r="I398" i="9"/>
  <c r="I382" i="9"/>
  <c r="I366" i="9"/>
  <c r="I350" i="9"/>
  <c r="I334" i="9"/>
  <c r="I318" i="9"/>
  <c r="I302" i="9"/>
  <c r="I286" i="9"/>
  <c r="I270" i="9"/>
  <c r="I254" i="9"/>
  <c r="I238" i="9"/>
  <c r="I222" i="9"/>
  <c r="I206" i="9"/>
  <c r="I190" i="9"/>
  <c r="I174" i="9"/>
  <c r="I158" i="9"/>
  <c r="I142" i="9"/>
  <c r="I126" i="9"/>
  <c r="I110" i="9"/>
  <c r="I94" i="9"/>
  <c r="I78" i="9"/>
  <c r="I62" i="9"/>
  <c r="I46" i="9"/>
  <c r="I30" i="9"/>
  <c r="I14" i="9"/>
  <c r="I998" i="9"/>
  <c r="I977" i="9"/>
  <c r="I955" i="9"/>
  <c r="I934" i="9"/>
  <c r="I913" i="9"/>
  <c r="I891" i="9"/>
  <c r="I870" i="9"/>
  <c r="I854" i="9"/>
  <c r="I838" i="9"/>
  <c r="I822" i="9"/>
  <c r="I806" i="9"/>
  <c r="I790" i="9"/>
  <c r="I774" i="9"/>
  <c r="I758" i="9"/>
  <c r="I742" i="9"/>
  <c r="I726" i="9"/>
  <c r="I710" i="9"/>
  <c r="I694" i="9"/>
  <c r="I678" i="9"/>
  <c r="I662" i="9"/>
  <c r="I646" i="9"/>
  <c r="I630" i="9"/>
  <c r="I614" i="9"/>
  <c r="I598" i="9"/>
  <c r="I582" i="9"/>
  <c r="I566" i="9"/>
  <c r="I550" i="9"/>
  <c r="I534" i="9"/>
  <c r="I518" i="9"/>
  <c r="I502" i="9"/>
  <c r="I486" i="9"/>
  <c r="I470" i="9"/>
  <c r="I454" i="9"/>
  <c r="I438" i="9"/>
  <c r="I422" i="9"/>
  <c r="I406" i="9"/>
  <c r="I390" i="9"/>
  <c r="I374" i="9"/>
  <c r="I358" i="9"/>
  <c r="I342" i="9"/>
  <c r="I326" i="9"/>
  <c r="I310" i="9"/>
  <c r="I294" i="9"/>
  <c r="I278" i="9"/>
  <c r="I262" i="9"/>
  <c r="I246" i="9"/>
  <c r="I230" i="9"/>
  <c r="I214" i="9"/>
  <c r="I198" i="9"/>
  <c r="I182" i="9"/>
  <c r="I166" i="9"/>
  <c r="I150" i="9"/>
  <c r="I134" i="9"/>
  <c r="I118" i="9"/>
  <c r="I102" i="9"/>
  <c r="I86" i="9"/>
  <c r="I70" i="9"/>
  <c r="I54" i="9"/>
  <c r="I38" i="9"/>
  <c r="I22" i="9"/>
  <c r="I6" i="9"/>
  <c r="I993" i="9"/>
  <c r="I971" i="9"/>
  <c r="I950" i="9"/>
  <c r="I929" i="9"/>
  <c r="I907" i="9"/>
  <c r="I886" i="9"/>
  <c r="I866" i="9"/>
  <c r="I850" i="9"/>
  <c r="I834" i="9"/>
  <c r="I818" i="9"/>
  <c r="I802" i="9"/>
  <c r="I786" i="9"/>
  <c r="I770" i="9"/>
  <c r="I754" i="9"/>
  <c r="I738" i="9"/>
  <c r="I722" i="9"/>
  <c r="I706" i="9"/>
  <c r="I690" i="9"/>
  <c r="I674" i="9"/>
  <c r="I658" i="9"/>
  <c r="I642" i="9"/>
  <c r="I626" i="9"/>
  <c r="I610" i="9"/>
  <c r="I594" i="9"/>
  <c r="I578" i="9"/>
  <c r="I562" i="9"/>
  <c r="I546" i="9"/>
  <c r="I530" i="9"/>
  <c r="I514" i="9"/>
  <c r="I498" i="9"/>
  <c r="I482" i="9"/>
  <c r="I466" i="9"/>
  <c r="I450" i="9"/>
  <c r="I434" i="9"/>
  <c r="I418" i="9"/>
  <c r="I402" i="9"/>
  <c r="I386" i="9"/>
  <c r="I370" i="9"/>
  <c r="I354" i="9"/>
  <c r="I338" i="9"/>
  <c r="I322" i="9"/>
  <c r="I306" i="9"/>
  <c r="I290" i="9"/>
  <c r="I274" i="9"/>
  <c r="I258" i="9"/>
  <c r="I242" i="9"/>
  <c r="I226" i="9"/>
  <c r="I210" i="9"/>
  <c r="I194" i="9"/>
  <c r="I178" i="9"/>
  <c r="I162" i="9"/>
  <c r="I146" i="9"/>
  <c r="I130" i="9"/>
  <c r="I114" i="9"/>
  <c r="I98" i="9"/>
  <c r="I82" i="9"/>
  <c r="I66" i="9"/>
  <c r="I50" i="9"/>
  <c r="I34" i="9"/>
  <c r="I18" i="9"/>
  <c r="I2" i="9"/>
  <c r="I982" i="9"/>
  <c r="I897" i="9"/>
  <c r="I826" i="9"/>
  <c r="I762" i="9"/>
  <c r="I698" i="9"/>
  <c r="I634" i="9"/>
  <c r="I570" i="9"/>
  <c r="I506" i="9"/>
  <c r="I442" i="9"/>
  <c r="I378" i="9"/>
  <c r="I314" i="9"/>
  <c r="I250" i="9"/>
  <c r="I186" i="9"/>
  <c r="I122" i="9"/>
  <c r="I58" i="9"/>
  <c r="I918" i="9"/>
  <c r="I842" i="9"/>
  <c r="I778" i="9"/>
  <c r="I714" i="9"/>
  <c r="I650" i="9"/>
  <c r="I586" i="9"/>
  <c r="I522" i="9"/>
  <c r="I458" i="9"/>
  <c r="I394" i="9"/>
  <c r="I330" i="9"/>
  <c r="I266" i="9"/>
  <c r="I202" i="9"/>
  <c r="I138" i="9"/>
  <c r="I74" i="9"/>
  <c r="I10" i="9"/>
  <c r="I961" i="9"/>
  <c r="I875" i="9"/>
  <c r="I810" i="9"/>
  <c r="I746" i="9"/>
  <c r="I682" i="9"/>
  <c r="I618" i="9"/>
  <c r="I554" i="9"/>
  <c r="I490" i="9"/>
  <c r="I426" i="9"/>
  <c r="I362" i="9"/>
  <c r="I298" i="9"/>
  <c r="I234" i="9"/>
  <c r="I170" i="9"/>
  <c r="I106" i="9"/>
  <c r="I42" i="9"/>
  <c r="I939" i="9"/>
  <c r="I858" i="9"/>
  <c r="I794" i="9"/>
  <c r="I730" i="9"/>
  <c r="I666" i="9"/>
  <c r="I602" i="9"/>
  <c r="I538" i="9"/>
  <c r="I474" i="9"/>
  <c r="I410" i="9"/>
  <c r="I346" i="9"/>
  <c r="I282" i="9"/>
  <c r="I218" i="9"/>
  <c r="I154" i="9"/>
  <c r="I90" i="9"/>
  <c r="I26" i="9"/>
  <c r="I999" i="36"/>
  <c r="I995" i="36"/>
  <c r="I991" i="36"/>
  <c r="I987" i="36"/>
  <c r="I983" i="36"/>
  <c r="I979" i="36"/>
  <c r="I975" i="36"/>
  <c r="I971" i="36"/>
  <c r="I967" i="36"/>
  <c r="I963" i="36"/>
  <c r="I959" i="36"/>
  <c r="I955" i="36"/>
  <c r="I951" i="36"/>
  <c r="I947" i="36"/>
  <c r="I943" i="36"/>
  <c r="I939" i="36"/>
  <c r="I935" i="36"/>
  <c r="I931" i="36"/>
  <c r="I927" i="36"/>
  <c r="I923" i="36"/>
  <c r="I919" i="36"/>
  <c r="I915" i="36"/>
  <c r="I911" i="36"/>
  <c r="I907" i="36"/>
  <c r="I903" i="36"/>
  <c r="I899" i="36"/>
  <c r="I895" i="36"/>
  <c r="I891" i="36"/>
  <c r="I887" i="36"/>
  <c r="I883" i="36"/>
  <c r="I879" i="36"/>
  <c r="I875" i="36"/>
  <c r="I871" i="36"/>
  <c r="I867" i="36"/>
  <c r="I863" i="36"/>
  <c r="I859" i="36"/>
  <c r="I855" i="36"/>
  <c r="I851" i="36"/>
  <c r="I847" i="36"/>
  <c r="I843" i="36"/>
  <c r="I839" i="36"/>
  <c r="I835" i="36"/>
  <c r="I831" i="36"/>
  <c r="I827" i="36"/>
  <c r="I823" i="36"/>
  <c r="I819" i="36"/>
  <c r="I815" i="36"/>
  <c r="I811" i="36"/>
  <c r="I807" i="36"/>
  <c r="I803" i="36"/>
  <c r="I799" i="36"/>
  <c r="I795" i="36"/>
  <c r="I791" i="36"/>
  <c r="I787" i="36"/>
  <c r="I783" i="36"/>
  <c r="I779" i="36"/>
  <c r="I775" i="36"/>
  <c r="I771" i="36"/>
  <c r="I767" i="36"/>
  <c r="I763" i="36"/>
  <c r="I759" i="36"/>
  <c r="I755" i="36"/>
  <c r="I751" i="36"/>
  <c r="I747" i="36"/>
  <c r="I743" i="36"/>
  <c r="I739" i="36"/>
  <c r="I735" i="36"/>
  <c r="I731" i="36"/>
  <c r="I727" i="36"/>
  <c r="I723" i="36"/>
  <c r="I719" i="36"/>
  <c r="I715" i="36"/>
  <c r="I711" i="36"/>
  <c r="I707" i="36"/>
  <c r="I703" i="36"/>
  <c r="I699" i="36"/>
  <c r="I695" i="36"/>
  <c r="I691" i="36"/>
  <c r="I687" i="36"/>
  <c r="I683" i="36"/>
  <c r="I679" i="36"/>
  <c r="I675" i="36"/>
  <c r="I671" i="36"/>
  <c r="I667" i="36"/>
  <c r="I663" i="36"/>
  <c r="I659" i="36"/>
  <c r="I655" i="36"/>
  <c r="I651" i="36"/>
  <c r="I647" i="36"/>
  <c r="I643" i="36"/>
  <c r="I639" i="36"/>
  <c r="I635" i="36"/>
  <c r="I631" i="36"/>
  <c r="I627" i="36"/>
  <c r="I623" i="36"/>
  <c r="I619" i="36"/>
  <c r="I615" i="36"/>
  <c r="I611" i="36"/>
  <c r="I607" i="36"/>
  <c r="I603" i="36"/>
  <c r="I599" i="36"/>
  <c r="I595" i="36"/>
  <c r="I591" i="36"/>
  <c r="I587" i="36"/>
  <c r="I583" i="36"/>
  <c r="I579" i="36"/>
  <c r="I575" i="36"/>
  <c r="I571" i="36"/>
  <c r="I567" i="36"/>
  <c r="I563" i="36"/>
  <c r="I559" i="36"/>
  <c r="I555" i="36"/>
  <c r="I551" i="36"/>
  <c r="I547" i="36"/>
  <c r="I543" i="36"/>
  <c r="I539" i="36"/>
  <c r="I535" i="36"/>
  <c r="I531" i="36"/>
  <c r="I527" i="36"/>
  <c r="I523" i="36"/>
  <c r="I519" i="36"/>
  <c r="I515" i="36"/>
  <c r="I511" i="36"/>
  <c r="I507" i="36"/>
  <c r="I503" i="36"/>
  <c r="I499" i="36"/>
  <c r="I495" i="36"/>
  <c r="I491" i="36"/>
  <c r="I487" i="36"/>
  <c r="I483" i="36"/>
  <c r="I479" i="36"/>
  <c r="I475" i="36"/>
  <c r="I471" i="36"/>
  <c r="I467" i="36"/>
  <c r="I463" i="36"/>
  <c r="I459" i="36"/>
  <c r="I455" i="36"/>
  <c r="I451" i="36"/>
  <c r="I447" i="36"/>
  <c r="I443" i="36"/>
  <c r="I439" i="36"/>
  <c r="I435" i="36"/>
  <c r="I431" i="36"/>
  <c r="I427" i="36"/>
  <c r="I423" i="36"/>
  <c r="I419" i="36"/>
  <c r="I415" i="36"/>
  <c r="I411" i="36"/>
  <c r="I407" i="36"/>
  <c r="I403" i="36"/>
  <c r="I399" i="36"/>
  <c r="I395" i="36"/>
  <c r="I391" i="36"/>
  <c r="I387" i="36"/>
  <c r="I383" i="36"/>
  <c r="I379" i="36"/>
  <c r="I375" i="36"/>
  <c r="I371" i="36"/>
  <c r="I367" i="36"/>
  <c r="I363" i="36"/>
  <c r="I359" i="36"/>
  <c r="I355" i="36"/>
  <c r="I351" i="36"/>
  <c r="I347" i="36"/>
  <c r="I343" i="36"/>
  <c r="I339" i="36"/>
  <c r="I335" i="36"/>
  <c r="I331" i="36"/>
  <c r="I327" i="36"/>
  <c r="I323" i="36"/>
  <c r="I319" i="36"/>
  <c r="I315" i="36"/>
  <c r="I311" i="36"/>
  <c r="I307" i="36"/>
  <c r="I303" i="36"/>
  <c r="I299" i="36"/>
  <c r="I295" i="36"/>
  <c r="I291" i="36"/>
  <c r="I287" i="36"/>
  <c r="I283" i="36"/>
  <c r="I279" i="36"/>
  <c r="I275" i="36"/>
  <c r="I271" i="36"/>
  <c r="I267" i="36"/>
  <c r="I263" i="36"/>
  <c r="I259" i="36"/>
  <c r="I255" i="36"/>
  <c r="I251" i="36"/>
  <c r="I247" i="36"/>
  <c r="I243" i="36"/>
  <c r="I239" i="36"/>
  <c r="I235" i="36"/>
  <c r="I231" i="36"/>
  <c r="I227" i="36"/>
  <c r="I223" i="36"/>
  <c r="I219" i="36"/>
  <c r="I215" i="36"/>
  <c r="I211" i="36"/>
  <c r="I207" i="36"/>
  <c r="I203" i="36"/>
  <c r="I199" i="36"/>
  <c r="I195" i="36"/>
  <c r="I191" i="36"/>
  <c r="I187" i="36"/>
  <c r="I183" i="36"/>
  <c r="I179" i="36"/>
  <c r="I175" i="36"/>
  <c r="I171" i="36"/>
  <c r="I167" i="36"/>
  <c r="I163" i="36"/>
  <c r="I159" i="36"/>
  <c r="I155" i="36"/>
  <c r="I151" i="36"/>
  <c r="I147" i="36"/>
  <c r="I143" i="36"/>
  <c r="I139" i="36"/>
  <c r="I135" i="36"/>
  <c r="I131" i="36"/>
  <c r="I127" i="36"/>
  <c r="I123" i="36"/>
  <c r="I119" i="36"/>
  <c r="I115" i="36"/>
  <c r="I111" i="36"/>
  <c r="I107" i="36"/>
  <c r="I103" i="36"/>
  <c r="I99" i="36"/>
  <c r="I95" i="36"/>
  <c r="I91" i="36"/>
  <c r="I87" i="36"/>
  <c r="I83" i="36"/>
  <c r="I79" i="36"/>
  <c r="I75" i="36"/>
  <c r="I71" i="36"/>
  <c r="I67" i="36"/>
  <c r="I63" i="36"/>
  <c r="I59" i="36"/>
  <c r="I55" i="36"/>
  <c r="I51" i="36"/>
  <c r="I47" i="36"/>
  <c r="I43" i="36"/>
  <c r="I39" i="36"/>
  <c r="I35" i="36"/>
  <c r="I31" i="36"/>
  <c r="I27" i="36"/>
  <c r="I23" i="36"/>
  <c r="I19" i="36"/>
  <c r="I15" i="36"/>
  <c r="I11" i="36"/>
  <c r="I7" i="36"/>
  <c r="I3" i="36"/>
  <c r="I996" i="36"/>
  <c r="I990" i="36"/>
  <c r="I985" i="36"/>
  <c r="I980" i="36"/>
  <c r="I974" i="36"/>
  <c r="I969" i="36"/>
  <c r="I964" i="36"/>
  <c r="I958" i="36"/>
  <c r="I953" i="36"/>
  <c r="I948" i="36"/>
  <c r="I942" i="36"/>
  <c r="I937" i="36"/>
  <c r="I932" i="36"/>
  <c r="I926" i="36"/>
  <c r="I921" i="36"/>
  <c r="I916" i="36"/>
  <c r="I910" i="36"/>
  <c r="I905" i="36"/>
  <c r="I900" i="36"/>
  <c r="I894" i="36"/>
  <c r="I889" i="36"/>
  <c r="I884" i="36"/>
  <c r="I878" i="36"/>
  <c r="I873" i="36"/>
  <c r="I868" i="36"/>
  <c r="I862" i="36"/>
  <c r="I857" i="36"/>
  <c r="I852" i="36"/>
  <c r="I846" i="36"/>
  <c r="I841" i="36"/>
  <c r="I836" i="36"/>
  <c r="I830" i="36"/>
  <c r="I825" i="36"/>
  <c r="I820" i="36"/>
  <c r="I814" i="36"/>
  <c r="I809" i="36"/>
  <c r="I804" i="36"/>
  <c r="I798" i="36"/>
  <c r="I793" i="36"/>
  <c r="I788" i="36"/>
  <c r="I782" i="36"/>
  <c r="I777" i="36"/>
  <c r="I772" i="36"/>
  <c r="I766" i="36"/>
  <c r="I761" i="36"/>
  <c r="I756" i="36"/>
  <c r="I750" i="36"/>
  <c r="I745" i="36"/>
  <c r="I740" i="36"/>
  <c r="I734" i="36"/>
  <c r="I729" i="36"/>
  <c r="I724" i="36"/>
  <c r="I718" i="36"/>
  <c r="I713" i="36"/>
  <c r="I708" i="36"/>
  <c r="I702" i="36"/>
  <c r="I697" i="36"/>
  <c r="I692" i="36"/>
  <c r="I686" i="36"/>
  <c r="I681" i="36"/>
  <c r="I676" i="36"/>
  <c r="I670" i="36"/>
  <c r="I665" i="36"/>
  <c r="I660" i="36"/>
  <c r="I654" i="36"/>
  <c r="I649" i="36"/>
  <c r="I644" i="36"/>
  <c r="I638" i="36"/>
  <c r="I633" i="36"/>
  <c r="I628" i="36"/>
  <c r="I622" i="36"/>
  <c r="I617" i="36"/>
  <c r="I612" i="36"/>
  <c r="I606" i="36"/>
  <c r="I601" i="36"/>
  <c r="I596" i="36"/>
  <c r="I590" i="36"/>
  <c r="I585" i="36"/>
  <c r="I580" i="36"/>
  <c r="I574" i="36"/>
  <c r="I569" i="36"/>
  <c r="I564" i="36"/>
  <c r="I558" i="36"/>
  <c r="I553" i="36"/>
  <c r="I548" i="36"/>
  <c r="I542" i="36"/>
  <c r="I537" i="36"/>
  <c r="I532" i="36"/>
  <c r="I526" i="36"/>
  <c r="I521" i="36"/>
  <c r="I516" i="36"/>
  <c r="I510" i="36"/>
  <c r="I505" i="36"/>
  <c r="I500" i="36"/>
  <c r="I494" i="36"/>
  <c r="I489" i="36"/>
  <c r="I484" i="36"/>
  <c r="I478" i="36"/>
  <c r="I473" i="36"/>
  <c r="I468" i="36"/>
  <c r="I462" i="36"/>
  <c r="I457" i="36"/>
  <c r="I452" i="36"/>
  <c r="I446" i="36"/>
  <c r="I441" i="36"/>
  <c r="I436" i="36"/>
  <c r="I430" i="36"/>
  <c r="I425" i="36"/>
  <c r="I420" i="36"/>
  <c r="I414" i="36"/>
  <c r="I409" i="36"/>
  <c r="I404" i="36"/>
  <c r="I398" i="36"/>
  <c r="I393" i="36"/>
  <c r="I388" i="36"/>
  <c r="I382" i="36"/>
  <c r="I377" i="36"/>
  <c r="I372" i="36"/>
  <c r="I366" i="36"/>
  <c r="I361" i="36"/>
  <c r="I356" i="36"/>
  <c r="I350" i="36"/>
  <c r="I345" i="36"/>
  <c r="I340" i="36"/>
  <c r="I334" i="36"/>
  <c r="I329" i="36"/>
  <c r="I324" i="36"/>
  <c r="I318" i="36"/>
  <c r="I313" i="36"/>
  <c r="I308" i="36"/>
  <c r="I302" i="36"/>
  <c r="I297" i="36"/>
  <c r="I292" i="36"/>
  <c r="I286" i="36"/>
  <c r="I281" i="36"/>
  <c r="I276" i="36"/>
  <c r="I270" i="36"/>
  <c r="I265" i="36"/>
  <c r="I260" i="36"/>
  <c r="I254" i="36"/>
  <c r="I249" i="36"/>
  <c r="I244" i="36"/>
  <c r="I238" i="36"/>
  <c r="I233" i="36"/>
  <c r="I228" i="36"/>
  <c r="I222" i="36"/>
  <c r="I217" i="36"/>
  <c r="I212" i="36"/>
  <c r="I206" i="36"/>
  <c r="I201" i="36"/>
  <c r="I196" i="36"/>
  <c r="I190" i="36"/>
  <c r="I185" i="36"/>
  <c r="I180" i="36"/>
  <c r="I174" i="36"/>
  <c r="I169" i="36"/>
  <c r="I164" i="36"/>
  <c r="I158" i="36"/>
  <c r="I153" i="36"/>
  <c r="I148" i="36"/>
  <c r="I142" i="36"/>
  <c r="I137" i="36"/>
  <c r="I132" i="36"/>
  <c r="I126" i="36"/>
  <c r="I121" i="36"/>
  <c r="I116" i="36"/>
  <c r="I110" i="36"/>
  <c r="I105" i="36"/>
  <c r="I100" i="36"/>
  <c r="I94" i="36"/>
  <c r="I89" i="36"/>
  <c r="I84" i="36"/>
  <c r="I78" i="36"/>
  <c r="I73" i="36"/>
  <c r="I68" i="36"/>
  <c r="I62" i="36"/>
  <c r="I57" i="36"/>
  <c r="I52" i="36"/>
  <c r="I46" i="36"/>
  <c r="I41" i="36"/>
  <c r="I36" i="36"/>
  <c r="I30" i="36"/>
  <c r="I25" i="36"/>
  <c r="I20" i="36"/>
  <c r="I14" i="36"/>
  <c r="I9" i="36"/>
  <c r="I4" i="36"/>
  <c r="I998" i="36"/>
  <c r="I993" i="36"/>
  <c r="I988" i="36"/>
  <c r="I982" i="36"/>
  <c r="I977" i="36"/>
  <c r="I972" i="36"/>
  <c r="I966" i="36"/>
  <c r="I961" i="36"/>
  <c r="I956" i="36"/>
  <c r="I950" i="36"/>
  <c r="I945" i="36"/>
  <c r="I940" i="36"/>
  <c r="I934" i="36"/>
  <c r="I929" i="36"/>
  <c r="I924" i="36"/>
  <c r="I918" i="36"/>
  <c r="I913" i="36"/>
  <c r="I908" i="36"/>
  <c r="I902" i="36"/>
  <c r="I897" i="36"/>
  <c r="I892" i="36"/>
  <c r="I886" i="36"/>
  <c r="I881" i="36"/>
  <c r="I876" i="36"/>
  <c r="I870" i="36"/>
  <c r="I865" i="36"/>
  <c r="I860" i="36"/>
  <c r="I854" i="36"/>
  <c r="I849" i="36"/>
  <c r="I844" i="36"/>
  <c r="I838" i="36"/>
  <c r="I833" i="36"/>
  <c r="I828" i="36"/>
  <c r="I822" i="36"/>
  <c r="I817" i="36"/>
  <c r="I812" i="36"/>
  <c r="I806" i="36"/>
  <c r="I801" i="36"/>
  <c r="I796" i="36"/>
  <c r="I790" i="36"/>
  <c r="I785" i="36"/>
  <c r="I780" i="36"/>
  <c r="I774" i="36"/>
  <c r="I769" i="36"/>
  <c r="I764" i="36"/>
  <c r="I758" i="36"/>
  <c r="I753" i="36"/>
  <c r="I748" i="36"/>
  <c r="I742" i="36"/>
  <c r="I737" i="36"/>
  <c r="I732" i="36"/>
  <c r="I726" i="36"/>
  <c r="I721" i="36"/>
  <c r="I716" i="36"/>
  <c r="I710" i="36"/>
  <c r="I705" i="36"/>
  <c r="I700" i="36"/>
  <c r="I694" i="36"/>
  <c r="I689" i="36"/>
  <c r="I684" i="36"/>
  <c r="I678" i="36"/>
  <c r="I673" i="36"/>
  <c r="I668" i="36"/>
  <c r="I662" i="36"/>
  <c r="I657" i="36"/>
  <c r="I652" i="36"/>
  <c r="I646" i="36"/>
  <c r="I641" i="36"/>
  <c r="I636" i="36"/>
  <c r="I630" i="36"/>
  <c r="I625" i="36"/>
  <c r="I620" i="36"/>
  <c r="I614" i="36"/>
  <c r="I609" i="36"/>
  <c r="I604" i="36"/>
  <c r="I598" i="36"/>
  <c r="I593" i="36"/>
  <c r="I588" i="36"/>
  <c r="I582" i="36"/>
  <c r="I577" i="36"/>
  <c r="I572" i="36"/>
  <c r="I566" i="36"/>
  <c r="I561" i="36"/>
  <c r="I556" i="36"/>
  <c r="I550" i="36"/>
  <c r="I545" i="36"/>
  <c r="I540" i="36"/>
  <c r="I534" i="36"/>
  <c r="I529" i="36"/>
  <c r="I524" i="36"/>
  <c r="I518" i="36"/>
  <c r="I513" i="36"/>
  <c r="I508" i="36"/>
  <c r="I502" i="36"/>
  <c r="I497" i="36"/>
  <c r="I492" i="36"/>
  <c r="I486" i="36"/>
  <c r="I481" i="36"/>
  <c r="I476" i="36"/>
  <c r="I470" i="36"/>
  <c r="I465" i="36"/>
  <c r="I460" i="36"/>
  <c r="I454" i="36"/>
  <c r="I449" i="36"/>
  <c r="I444" i="36"/>
  <c r="I438" i="36"/>
  <c r="I433" i="36"/>
  <c r="I428" i="36"/>
  <c r="I422" i="36"/>
  <c r="I417" i="36"/>
  <c r="I412" i="36"/>
  <c r="I406" i="36"/>
  <c r="I401" i="36"/>
  <c r="I396" i="36"/>
  <c r="I390" i="36"/>
  <c r="I385" i="36"/>
  <c r="I380" i="36"/>
  <c r="I374" i="36"/>
  <c r="I369" i="36"/>
  <c r="I364" i="36"/>
  <c r="I358" i="36"/>
  <c r="I353" i="36"/>
  <c r="I348" i="36"/>
  <c r="I342" i="36"/>
  <c r="I337" i="36"/>
  <c r="I332" i="36"/>
  <c r="I326" i="36"/>
  <c r="I321" i="36"/>
  <c r="I316" i="36"/>
  <c r="I310" i="36"/>
  <c r="I305" i="36"/>
  <c r="I300" i="36"/>
  <c r="I294" i="36"/>
  <c r="I289" i="36"/>
  <c r="I284" i="36"/>
  <c r="I278" i="36"/>
  <c r="I273" i="36"/>
  <c r="I268" i="36"/>
  <c r="I262" i="36"/>
  <c r="I257" i="36"/>
  <c r="I252" i="36"/>
  <c r="I246" i="36"/>
  <c r="I241" i="36"/>
  <c r="I236" i="36"/>
  <c r="I230" i="36"/>
  <c r="I225" i="36"/>
  <c r="I220" i="36"/>
  <c r="I214" i="36"/>
  <c r="I209" i="36"/>
  <c r="I204" i="36"/>
  <c r="I198" i="36"/>
  <c r="I193" i="36"/>
  <c r="I188" i="36"/>
  <c r="I182" i="36"/>
  <c r="I177" i="36"/>
  <c r="I172" i="36"/>
  <c r="I166" i="36"/>
  <c r="I161" i="36"/>
  <c r="I156" i="36"/>
  <c r="I150" i="36"/>
  <c r="I145" i="36"/>
  <c r="I140" i="36"/>
  <c r="I134" i="36"/>
  <c r="I129" i="36"/>
  <c r="I124" i="36"/>
  <c r="I118" i="36"/>
  <c r="I113" i="36"/>
  <c r="I108" i="36"/>
  <c r="I102" i="36"/>
  <c r="I97" i="36"/>
  <c r="I92" i="36"/>
  <c r="I86" i="36"/>
  <c r="I81" i="36"/>
  <c r="I76" i="36"/>
  <c r="I70" i="36"/>
  <c r="I65" i="36"/>
  <c r="I60" i="36"/>
  <c r="I54" i="36"/>
  <c r="I49" i="36"/>
  <c r="I44" i="36"/>
  <c r="I38" i="36"/>
  <c r="I33" i="36"/>
  <c r="I28" i="36"/>
  <c r="I22" i="36"/>
  <c r="I17" i="36"/>
  <c r="I12" i="36"/>
  <c r="I6" i="36"/>
  <c r="I994" i="36"/>
  <c r="I984" i="36"/>
  <c r="I973" i="36"/>
  <c r="I962" i="36"/>
  <c r="I952" i="36"/>
  <c r="I941" i="36"/>
  <c r="I930" i="36"/>
  <c r="I920" i="36"/>
  <c r="I909" i="36"/>
  <c r="I898" i="36"/>
  <c r="I888" i="36"/>
  <c r="I877" i="36"/>
  <c r="I866" i="36"/>
  <c r="I856" i="36"/>
  <c r="I845" i="36"/>
  <c r="I834" i="36"/>
  <c r="I824" i="36"/>
  <c r="I813" i="36"/>
  <c r="I802" i="36"/>
  <c r="I792" i="36"/>
  <c r="I781" i="36"/>
  <c r="I770" i="36"/>
  <c r="I760" i="36"/>
  <c r="I749" i="36"/>
  <c r="I738" i="36"/>
  <c r="I728" i="36"/>
  <c r="I717" i="36"/>
  <c r="I706" i="36"/>
  <c r="I696" i="36"/>
  <c r="I685" i="36"/>
  <c r="I674" i="36"/>
  <c r="I664" i="36"/>
  <c r="I653" i="36"/>
  <c r="I642" i="36"/>
  <c r="I632" i="36"/>
  <c r="I621" i="36"/>
  <c r="I610" i="36"/>
  <c r="I600" i="36"/>
  <c r="I589" i="36"/>
  <c r="I578" i="36"/>
  <c r="I568" i="36"/>
  <c r="I557" i="36"/>
  <c r="I546" i="36"/>
  <c r="I536" i="36"/>
  <c r="I525" i="36"/>
  <c r="I514" i="36"/>
  <c r="I504" i="36"/>
  <c r="I493" i="36"/>
  <c r="I482" i="36"/>
  <c r="I472" i="36"/>
  <c r="I461" i="36"/>
  <c r="I450" i="36"/>
  <c r="I440" i="36"/>
  <c r="I429" i="36"/>
  <c r="I418" i="36"/>
  <c r="I408" i="36"/>
  <c r="I397" i="36"/>
  <c r="I386" i="36"/>
  <c r="I376" i="36"/>
  <c r="I365" i="36"/>
  <c r="I354" i="36"/>
  <c r="I344" i="36"/>
  <c r="I333" i="36"/>
  <c r="I322" i="36"/>
  <c r="I312" i="36"/>
  <c r="I301" i="36"/>
  <c r="I290" i="36"/>
  <c r="I280" i="36"/>
  <c r="I269" i="36"/>
  <c r="I258" i="36"/>
  <c r="I248" i="36"/>
  <c r="I237" i="36"/>
  <c r="I226" i="36"/>
  <c r="I216" i="36"/>
  <c r="I205" i="36"/>
  <c r="I194" i="36"/>
  <c r="I184" i="36"/>
  <c r="I173" i="36"/>
  <c r="I162" i="36"/>
  <c r="I152" i="36"/>
  <c r="I141" i="36"/>
  <c r="I130" i="36"/>
  <c r="I120" i="36"/>
  <c r="I109" i="36"/>
  <c r="I98" i="36"/>
  <c r="I88" i="36"/>
  <c r="I77" i="36"/>
  <c r="I66" i="36"/>
  <c r="I56" i="36"/>
  <c r="I45" i="36"/>
  <c r="I34" i="36"/>
  <c r="I24" i="36"/>
  <c r="I13" i="36"/>
  <c r="I2" i="36"/>
  <c r="I992" i="36"/>
  <c r="I981" i="36"/>
  <c r="I970" i="36"/>
  <c r="I960" i="36"/>
  <c r="I949" i="36"/>
  <c r="I938" i="36"/>
  <c r="I928" i="36"/>
  <c r="I917" i="36"/>
  <c r="I906" i="36"/>
  <c r="I896" i="36"/>
  <c r="I885" i="36"/>
  <c r="I874" i="36"/>
  <c r="I864" i="36"/>
  <c r="I853" i="36"/>
  <c r="I842" i="36"/>
  <c r="I832" i="36"/>
  <c r="I821" i="36"/>
  <c r="I810" i="36"/>
  <c r="I800" i="36"/>
  <c r="I789" i="36"/>
  <c r="I778" i="36"/>
  <c r="I768" i="36"/>
  <c r="I757" i="36"/>
  <c r="I746" i="36"/>
  <c r="I736" i="36"/>
  <c r="I725" i="36"/>
  <c r="I714" i="36"/>
  <c r="I704" i="36"/>
  <c r="I693" i="36"/>
  <c r="I682" i="36"/>
  <c r="I672" i="36"/>
  <c r="I661" i="36"/>
  <c r="I650" i="36"/>
  <c r="I640" i="36"/>
  <c r="I629" i="36"/>
  <c r="I618" i="36"/>
  <c r="I608" i="36"/>
  <c r="I597" i="36"/>
  <c r="I586" i="36"/>
  <c r="I576" i="36"/>
  <c r="I565" i="36"/>
  <c r="I554" i="36"/>
  <c r="I544" i="36"/>
  <c r="I533" i="36"/>
  <c r="I522" i="36"/>
  <c r="I512" i="36"/>
  <c r="I501" i="36"/>
  <c r="I490" i="36"/>
  <c r="I480" i="36"/>
  <c r="I469" i="36"/>
  <c r="I458" i="36"/>
  <c r="I448" i="36"/>
  <c r="I437" i="36"/>
  <c r="I426" i="36"/>
  <c r="I416" i="36"/>
  <c r="I405" i="36"/>
  <c r="I394" i="36"/>
  <c r="I384" i="36"/>
  <c r="I373" i="36"/>
  <c r="I362" i="36"/>
  <c r="I352" i="36"/>
  <c r="I341" i="36"/>
  <c r="I330" i="36"/>
  <c r="I320" i="36"/>
  <c r="I309" i="36"/>
  <c r="I298" i="36"/>
  <c r="I288" i="36"/>
  <c r="I277" i="36"/>
  <c r="I266" i="36"/>
  <c r="I256" i="36"/>
  <c r="I245" i="36"/>
  <c r="I234" i="36"/>
  <c r="I224" i="36"/>
  <c r="I213" i="36"/>
  <c r="I202" i="36"/>
  <c r="I192" i="36"/>
  <c r="I181" i="36"/>
  <c r="I170" i="36"/>
  <c r="I160" i="36"/>
  <c r="I149" i="36"/>
  <c r="I138" i="36"/>
  <c r="I128" i="36"/>
  <c r="I117" i="36"/>
  <c r="I106" i="36"/>
  <c r="I96" i="36"/>
  <c r="I85" i="36"/>
  <c r="I74" i="36"/>
  <c r="I64" i="36"/>
  <c r="I53" i="36"/>
  <c r="I42" i="36"/>
  <c r="I32" i="36"/>
  <c r="I21" i="36"/>
  <c r="I10" i="36"/>
  <c r="I1" i="36"/>
  <c r="I997" i="36"/>
  <c r="I976" i="36"/>
  <c r="I954" i="36"/>
  <c r="I933" i="36"/>
  <c r="I912" i="36"/>
  <c r="I890" i="36"/>
  <c r="I869" i="36"/>
  <c r="I848" i="36"/>
  <c r="I826" i="36"/>
  <c r="I805" i="36"/>
  <c r="I784" i="36"/>
  <c r="I762" i="36"/>
  <c r="I741" i="36"/>
  <c r="I720" i="36"/>
  <c r="I698" i="36"/>
  <c r="I677" i="36"/>
  <c r="I656" i="36"/>
  <c r="I634" i="36"/>
  <c r="I613" i="36"/>
  <c r="I592" i="36"/>
  <c r="I570" i="36"/>
  <c r="I549" i="36"/>
  <c r="I528" i="36"/>
  <c r="I506" i="36"/>
  <c r="I485" i="36"/>
  <c r="I464" i="36"/>
  <c r="I442" i="36"/>
  <c r="I421" i="36"/>
  <c r="I400" i="36"/>
  <c r="I378" i="36"/>
  <c r="I357" i="36"/>
  <c r="I336" i="36"/>
  <c r="I314" i="36"/>
  <c r="I293" i="36"/>
  <c r="I272" i="36"/>
  <c r="I250" i="36"/>
  <c r="I229" i="36"/>
  <c r="I208" i="36"/>
  <c r="I186" i="36"/>
  <c r="I165" i="36"/>
  <c r="I144" i="36"/>
  <c r="I122" i="36"/>
  <c r="I101" i="36"/>
  <c r="I80" i="36"/>
  <c r="I58" i="36"/>
  <c r="I37" i="36"/>
  <c r="I16" i="36"/>
  <c r="I986" i="36"/>
  <c r="I965" i="36"/>
  <c r="I944" i="36"/>
  <c r="I922" i="36"/>
  <c r="I901" i="36"/>
  <c r="I880" i="36"/>
  <c r="I858" i="36"/>
  <c r="I837" i="36"/>
  <c r="I816" i="36"/>
  <c r="I794" i="36"/>
  <c r="I773" i="36"/>
  <c r="I752" i="36"/>
  <c r="I730" i="36"/>
  <c r="I709" i="36"/>
  <c r="I688" i="36"/>
  <c r="I666" i="36"/>
  <c r="I645" i="36"/>
  <c r="I624" i="36"/>
  <c r="I602" i="36"/>
  <c r="I581" i="36"/>
  <c r="I560" i="36"/>
  <c r="I538" i="36"/>
  <c r="I517" i="36"/>
  <c r="I496" i="36"/>
  <c r="I474" i="36"/>
  <c r="I453" i="36"/>
  <c r="I432" i="36"/>
  <c r="I410" i="36"/>
  <c r="I389" i="36"/>
  <c r="I368" i="36"/>
  <c r="I346" i="36"/>
  <c r="I325" i="36"/>
  <c r="I304" i="36"/>
  <c r="I282" i="36"/>
  <c r="I261" i="36"/>
  <c r="I240" i="36"/>
  <c r="I218" i="36"/>
  <c r="I197" i="36"/>
  <c r="I176" i="36"/>
  <c r="I154" i="36"/>
  <c r="I133" i="36"/>
  <c r="I112" i="36"/>
  <c r="I90" i="36"/>
  <c r="I69" i="36"/>
  <c r="I48" i="36"/>
  <c r="I26" i="36"/>
  <c r="I5" i="36"/>
  <c r="I968" i="36"/>
  <c r="I925" i="36"/>
  <c r="I882" i="36"/>
  <c r="I840" i="36"/>
  <c r="I797" i="36"/>
  <c r="I754" i="36"/>
  <c r="I712" i="36"/>
  <c r="I669" i="36"/>
  <c r="I626" i="36"/>
  <c r="I584" i="36"/>
  <c r="I541" i="36"/>
  <c r="I498" i="36"/>
  <c r="I456" i="36"/>
  <c r="I413" i="36"/>
  <c r="I370" i="36"/>
  <c r="I328" i="36"/>
  <c r="I285" i="36"/>
  <c r="I242" i="36"/>
  <c r="I200" i="36"/>
  <c r="I157" i="36"/>
  <c r="I114" i="36"/>
  <c r="I72" i="36"/>
  <c r="I29" i="36"/>
  <c r="I989" i="36"/>
  <c r="I946" i="36"/>
  <c r="I904" i="36"/>
  <c r="I861" i="36"/>
  <c r="I818" i="36"/>
  <c r="I776" i="36"/>
  <c r="I733" i="36"/>
  <c r="I690" i="36"/>
  <c r="I648" i="36"/>
  <c r="I605" i="36"/>
  <c r="I562" i="36"/>
  <c r="I520" i="36"/>
  <c r="I477" i="36"/>
  <c r="I434" i="36"/>
  <c r="I392" i="36"/>
  <c r="I349" i="36"/>
  <c r="I306" i="36"/>
  <c r="I264" i="36"/>
  <c r="I221" i="36"/>
  <c r="I178" i="36"/>
  <c r="I136" i="36"/>
  <c r="I93" i="36"/>
  <c r="I50" i="36"/>
  <c r="I8" i="36"/>
  <c r="I1000" i="36"/>
  <c r="I914" i="36"/>
  <c r="I829" i="36"/>
  <c r="I744" i="36"/>
  <c r="I658" i="36"/>
  <c r="I573" i="36"/>
  <c r="I488" i="36"/>
  <c r="I402" i="36"/>
  <c r="I317" i="36"/>
  <c r="I232" i="36"/>
  <c r="I146" i="36"/>
  <c r="I61" i="36"/>
  <c r="I978" i="36"/>
  <c r="I893" i="36"/>
  <c r="I808" i="36"/>
  <c r="I722" i="36"/>
  <c r="I637" i="36"/>
  <c r="I552" i="36"/>
  <c r="I466" i="36"/>
  <c r="I381" i="36"/>
  <c r="I296" i="36"/>
  <c r="I210" i="36"/>
  <c r="I125" i="36"/>
  <c r="I40" i="36"/>
  <c r="I957" i="36"/>
  <c r="I786" i="36"/>
  <c r="I616" i="36"/>
  <c r="I445" i="36"/>
  <c r="I274" i="36"/>
  <c r="I104" i="36"/>
  <c r="I872" i="36"/>
  <c r="I701" i="36"/>
  <c r="I530" i="36"/>
  <c r="I360" i="36"/>
  <c r="I189" i="36"/>
  <c r="I18" i="36"/>
  <c r="I936" i="36"/>
  <c r="I594" i="36"/>
  <c r="I253" i="36"/>
  <c r="I850" i="36"/>
  <c r="I509" i="36"/>
  <c r="I168" i="36"/>
  <c r="I680" i="36"/>
  <c r="I424" i="36"/>
  <c r="I338" i="36"/>
  <c r="I82" i="36"/>
  <c r="I765" i="36"/>
  <c r="Q3" i="26"/>
  <c r="I998" i="22"/>
  <c r="I994" i="22"/>
  <c r="I990" i="22"/>
  <c r="I986" i="22"/>
  <c r="I982" i="22"/>
  <c r="I978" i="22"/>
  <c r="I974" i="22"/>
  <c r="I970" i="22"/>
  <c r="I966" i="22"/>
  <c r="I962" i="22"/>
  <c r="I958" i="22"/>
  <c r="I954" i="22"/>
  <c r="I950" i="22"/>
  <c r="I946" i="22"/>
  <c r="I942" i="22"/>
  <c r="I938" i="22"/>
  <c r="I934" i="22"/>
  <c r="I930" i="22"/>
  <c r="I926" i="22"/>
  <c r="I922" i="22"/>
  <c r="I918" i="22"/>
  <c r="I914" i="22"/>
  <c r="I910" i="22"/>
  <c r="I906" i="22"/>
  <c r="I902" i="22"/>
  <c r="I898" i="22"/>
  <c r="I894" i="22"/>
  <c r="I890" i="22"/>
  <c r="I886" i="22"/>
  <c r="I882" i="22"/>
  <c r="I878" i="22"/>
  <c r="I874" i="22"/>
  <c r="I870" i="22"/>
  <c r="I866" i="22"/>
  <c r="I862" i="22"/>
  <c r="I858" i="22"/>
  <c r="I854" i="22"/>
  <c r="I850" i="22"/>
  <c r="I846" i="22"/>
  <c r="I842" i="22"/>
  <c r="I838" i="22"/>
  <c r="I834" i="22"/>
  <c r="I830" i="22"/>
  <c r="I826" i="22"/>
  <c r="I822" i="22"/>
  <c r="I818" i="22"/>
  <c r="I814" i="22"/>
  <c r="I810" i="22"/>
  <c r="I806" i="22"/>
  <c r="I802" i="22"/>
  <c r="I798" i="22"/>
  <c r="I794" i="22"/>
  <c r="I790" i="22"/>
  <c r="I786" i="22"/>
  <c r="I782" i="22"/>
  <c r="I778" i="22"/>
  <c r="I774" i="22"/>
  <c r="I770" i="22"/>
  <c r="I766" i="22"/>
  <c r="I762" i="22"/>
  <c r="I758" i="22"/>
  <c r="I754" i="22"/>
  <c r="I750" i="22"/>
  <c r="I746" i="22"/>
  <c r="I742" i="22"/>
  <c r="I738" i="22"/>
  <c r="I734" i="22"/>
  <c r="I730" i="22"/>
  <c r="I726" i="22"/>
  <c r="I722" i="22"/>
  <c r="I718" i="22"/>
  <c r="I714" i="22"/>
  <c r="I710" i="22"/>
  <c r="I706" i="22"/>
  <c r="I702" i="22"/>
  <c r="I698" i="22"/>
  <c r="I694" i="22"/>
  <c r="I690" i="22"/>
  <c r="I686" i="22"/>
  <c r="I682" i="22"/>
  <c r="I678" i="22"/>
  <c r="I674" i="22"/>
  <c r="I670" i="22"/>
  <c r="I666" i="22"/>
  <c r="I662" i="22"/>
  <c r="I658" i="22"/>
  <c r="I654" i="22"/>
  <c r="I650" i="22"/>
  <c r="I646" i="22"/>
  <c r="I642" i="22"/>
  <c r="I638" i="22"/>
  <c r="I634" i="22"/>
  <c r="I630" i="22"/>
  <c r="I626" i="22"/>
  <c r="I622" i="22"/>
  <c r="I618" i="22"/>
  <c r="I614" i="22"/>
  <c r="I610" i="22"/>
  <c r="I606" i="22"/>
  <c r="I602" i="22"/>
  <c r="I598" i="22"/>
  <c r="I594" i="22"/>
  <c r="I590" i="22"/>
  <c r="I586" i="22"/>
  <c r="I582" i="22"/>
  <c r="I578" i="22"/>
  <c r="I574" i="22"/>
  <c r="I570" i="22"/>
  <c r="I566" i="22"/>
  <c r="I562" i="22"/>
  <c r="I558" i="22"/>
  <c r="I554" i="22"/>
  <c r="I550" i="22"/>
  <c r="I546" i="22"/>
  <c r="I542" i="22"/>
  <c r="I538" i="22"/>
  <c r="I534" i="22"/>
  <c r="I530" i="22"/>
  <c r="I526" i="22"/>
  <c r="I522" i="22"/>
  <c r="I518" i="22"/>
  <c r="I514" i="22"/>
  <c r="I510" i="22"/>
  <c r="I506" i="22"/>
  <c r="I502" i="22"/>
  <c r="I498" i="22"/>
  <c r="I494" i="22"/>
  <c r="I490" i="22"/>
  <c r="I486" i="22"/>
  <c r="I482" i="22"/>
  <c r="I478" i="22"/>
  <c r="I474" i="22"/>
  <c r="I470" i="22"/>
  <c r="I466" i="22"/>
  <c r="I462" i="22"/>
  <c r="I458" i="22"/>
  <c r="I454" i="22"/>
  <c r="I450" i="22"/>
  <c r="I446" i="22"/>
  <c r="I442" i="22"/>
  <c r="I438" i="22"/>
  <c r="I434" i="22"/>
  <c r="I430" i="22"/>
  <c r="I426" i="22"/>
  <c r="I422" i="22"/>
  <c r="I418" i="22"/>
  <c r="I414" i="22"/>
  <c r="I410" i="22"/>
  <c r="I406" i="22"/>
  <c r="I402" i="22"/>
  <c r="I398" i="22"/>
  <c r="I394" i="22"/>
  <c r="I390" i="22"/>
  <c r="I386" i="22"/>
  <c r="I382" i="22"/>
  <c r="I378" i="22"/>
  <c r="I374" i="22"/>
  <c r="I370" i="22"/>
  <c r="I366" i="22"/>
  <c r="I362" i="22"/>
  <c r="I358" i="22"/>
  <c r="I354" i="22"/>
  <c r="I350" i="22"/>
  <c r="I346" i="22"/>
  <c r="I342" i="22"/>
  <c r="I338" i="22"/>
  <c r="I334" i="22"/>
  <c r="I330" i="22"/>
  <c r="I326" i="22"/>
  <c r="I322" i="22"/>
  <c r="I318" i="22"/>
  <c r="I314" i="22"/>
  <c r="I310" i="22"/>
  <c r="I306" i="22"/>
  <c r="I302" i="22"/>
  <c r="I298" i="22"/>
  <c r="I294" i="22"/>
  <c r="I290" i="22"/>
  <c r="I286" i="22"/>
  <c r="I282" i="22"/>
  <c r="I278" i="22"/>
  <c r="I274" i="22"/>
  <c r="I270" i="22"/>
  <c r="I266" i="22"/>
  <c r="I262" i="22"/>
  <c r="I258" i="22"/>
  <c r="I254" i="22"/>
  <c r="I250" i="22"/>
  <c r="I246" i="22"/>
  <c r="I242" i="22"/>
  <c r="I238" i="22"/>
  <c r="I234" i="22"/>
  <c r="I230" i="22"/>
  <c r="I226" i="22"/>
  <c r="I222" i="22"/>
  <c r="I218" i="22"/>
  <c r="I214" i="22"/>
  <c r="I210" i="22"/>
  <c r="I206" i="22"/>
  <c r="I202" i="22"/>
  <c r="I198" i="22"/>
  <c r="I194" i="22"/>
  <c r="I190" i="22"/>
  <c r="I186" i="22"/>
  <c r="I182" i="22"/>
  <c r="I178" i="22"/>
  <c r="I174" i="22"/>
  <c r="I170" i="22"/>
  <c r="I166" i="22"/>
  <c r="I162" i="22"/>
  <c r="I158" i="22"/>
  <c r="I154" i="22"/>
  <c r="I150" i="22"/>
  <c r="I146" i="22"/>
  <c r="I142" i="22"/>
  <c r="I138" i="22"/>
  <c r="I134" i="22"/>
  <c r="I130" i="22"/>
  <c r="I126" i="22"/>
  <c r="I122" i="22"/>
  <c r="I118" i="22"/>
  <c r="I114" i="22"/>
  <c r="I110" i="22"/>
  <c r="I106" i="22"/>
  <c r="I102" i="22"/>
  <c r="I98" i="22"/>
  <c r="I94" i="22"/>
  <c r="I90" i="22"/>
  <c r="I86" i="22"/>
  <c r="I82" i="22"/>
  <c r="I78" i="22"/>
  <c r="I74" i="22"/>
  <c r="I70" i="22"/>
  <c r="I66" i="22"/>
  <c r="I62" i="22"/>
  <c r="I58" i="22"/>
  <c r="I54" i="22"/>
  <c r="I50" i="22"/>
  <c r="I46" i="22"/>
  <c r="I42" i="22"/>
  <c r="I38" i="22"/>
  <c r="I34" i="22"/>
  <c r="I30" i="22"/>
  <c r="I26" i="22"/>
  <c r="I22" i="22"/>
  <c r="I18" i="22"/>
  <c r="I14" i="22"/>
  <c r="I10" i="22"/>
  <c r="I6" i="22"/>
  <c r="I2" i="22"/>
  <c r="I997" i="22"/>
  <c r="I993" i="22"/>
  <c r="I989" i="22"/>
  <c r="I985" i="22"/>
  <c r="I981" i="22"/>
  <c r="I977" i="22"/>
  <c r="I973" i="22"/>
  <c r="I969" i="22"/>
  <c r="I965" i="22"/>
  <c r="I961" i="22"/>
  <c r="I957" i="22"/>
  <c r="I953" i="22"/>
  <c r="I949" i="22"/>
  <c r="I945" i="22"/>
  <c r="I941" i="22"/>
  <c r="I937" i="22"/>
  <c r="I933" i="22"/>
  <c r="I929" i="22"/>
  <c r="I925" i="22"/>
  <c r="I921" i="22"/>
  <c r="I917" i="22"/>
  <c r="I913" i="22"/>
  <c r="I909" i="22"/>
  <c r="I905" i="22"/>
  <c r="I901" i="22"/>
  <c r="I897" i="22"/>
  <c r="I893" i="22"/>
  <c r="I889" i="22"/>
  <c r="I885" i="22"/>
  <c r="I881" i="22"/>
  <c r="I877" i="22"/>
  <c r="I873" i="22"/>
  <c r="I869" i="22"/>
  <c r="I865" i="22"/>
  <c r="I861" i="22"/>
  <c r="I857" i="22"/>
  <c r="I853" i="22"/>
  <c r="I849" i="22"/>
  <c r="I845" i="22"/>
  <c r="I841" i="22"/>
  <c r="I837" i="22"/>
  <c r="I833" i="22"/>
  <c r="I829" i="22"/>
  <c r="I825" i="22"/>
  <c r="I821" i="22"/>
  <c r="I817" i="22"/>
  <c r="I813" i="22"/>
  <c r="I809" i="22"/>
  <c r="I805" i="22"/>
  <c r="I801" i="22"/>
  <c r="I797" i="22"/>
  <c r="I793" i="22"/>
  <c r="I789" i="22"/>
  <c r="I785" i="22"/>
  <c r="I781" i="22"/>
  <c r="I777" i="22"/>
  <c r="I773" i="22"/>
  <c r="I769" i="22"/>
  <c r="I765" i="22"/>
  <c r="I761" i="22"/>
  <c r="I757" i="22"/>
  <c r="I753" i="22"/>
  <c r="I749" i="22"/>
  <c r="I745" i="22"/>
  <c r="I741" i="22"/>
  <c r="I737" i="22"/>
  <c r="I733" i="22"/>
  <c r="I729" i="22"/>
  <c r="I725" i="22"/>
  <c r="I721" i="22"/>
  <c r="I717" i="22"/>
  <c r="I713" i="22"/>
  <c r="I709" i="22"/>
  <c r="I705" i="22"/>
  <c r="I701" i="22"/>
  <c r="I697" i="22"/>
  <c r="I693" i="22"/>
  <c r="I689" i="22"/>
  <c r="I685" i="22"/>
  <c r="I681" i="22"/>
  <c r="I677" i="22"/>
  <c r="I673" i="22"/>
  <c r="I669" i="22"/>
  <c r="I665" i="22"/>
  <c r="I661" i="22"/>
  <c r="I657" i="22"/>
  <c r="I653" i="22"/>
  <c r="I649" i="22"/>
  <c r="I645" i="22"/>
  <c r="I641" i="22"/>
  <c r="I637" i="22"/>
  <c r="I633" i="22"/>
  <c r="I629" i="22"/>
  <c r="I625" i="22"/>
  <c r="I621" i="22"/>
  <c r="I617" i="22"/>
  <c r="I613" i="22"/>
  <c r="I609" i="22"/>
  <c r="I605" i="22"/>
  <c r="I601" i="22"/>
  <c r="I597" i="22"/>
  <c r="I593" i="22"/>
  <c r="I589" i="22"/>
  <c r="I585" i="22"/>
  <c r="I581" i="22"/>
  <c r="I577" i="22"/>
  <c r="I573" i="22"/>
  <c r="I569" i="22"/>
  <c r="I565" i="22"/>
  <c r="I561" i="22"/>
  <c r="I557" i="22"/>
  <c r="I553" i="22"/>
  <c r="I549" i="22"/>
  <c r="I545" i="22"/>
  <c r="I541" i="22"/>
  <c r="I537" i="22"/>
  <c r="I533" i="22"/>
  <c r="I529" i="22"/>
  <c r="I525" i="22"/>
  <c r="I521" i="22"/>
  <c r="I517" i="22"/>
  <c r="I513" i="22"/>
  <c r="I509" i="22"/>
  <c r="I505" i="22"/>
  <c r="I501" i="22"/>
  <c r="I497" i="22"/>
  <c r="I493" i="22"/>
  <c r="I489" i="22"/>
  <c r="I485" i="22"/>
  <c r="I481" i="22"/>
  <c r="I477" i="22"/>
  <c r="I473" i="22"/>
  <c r="I469" i="22"/>
  <c r="I465" i="22"/>
  <c r="I461" i="22"/>
  <c r="I457" i="22"/>
  <c r="I453" i="22"/>
  <c r="I449" i="22"/>
  <c r="I445" i="22"/>
  <c r="I441" i="22"/>
  <c r="I437" i="22"/>
  <c r="I433" i="22"/>
  <c r="I429" i="22"/>
  <c r="I425" i="22"/>
  <c r="I421" i="22"/>
  <c r="I417" i="22"/>
  <c r="I413" i="22"/>
  <c r="I409" i="22"/>
  <c r="I405" i="22"/>
  <c r="I401" i="22"/>
  <c r="I397" i="22"/>
  <c r="I393" i="22"/>
  <c r="I389" i="22"/>
  <c r="I385" i="22"/>
  <c r="I381" i="22"/>
  <c r="I377" i="22"/>
  <c r="I373" i="22"/>
  <c r="I369" i="22"/>
  <c r="I365" i="22"/>
  <c r="I361" i="22"/>
  <c r="I357" i="22"/>
  <c r="I353" i="22"/>
  <c r="I349" i="22"/>
  <c r="I345" i="22"/>
  <c r="I341" i="22"/>
  <c r="I337" i="22"/>
  <c r="I333" i="22"/>
  <c r="I329" i="22"/>
  <c r="I325" i="22"/>
  <c r="I321" i="22"/>
  <c r="I317" i="22"/>
  <c r="I313" i="22"/>
  <c r="I309" i="22"/>
  <c r="I305" i="22"/>
  <c r="I301" i="22"/>
  <c r="I297" i="22"/>
  <c r="I293" i="22"/>
  <c r="I289" i="22"/>
  <c r="I285" i="22"/>
  <c r="I281" i="22"/>
  <c r="I277" i="22"/>
  <c r="I273" i="22"/>
  <c r="I269" i="22"/>
  <c r="I265" i="22"/>
  <c r="I261" i="22"/>
  <c r="I257" i="22"/>
  <c r="I253" i="22"/>
  <c r="I249" i="22"/>
  <c r="I245" i="22"/>
  <c r="I241" i="22"/>
  <c r="I237" i="22"/>
  <c r="I233" i="22"/>
  <c r="I229" i="22"/>
  <c r="I225" i="22"/>
  <c r="I221" i="22"/>
  <c r="I217" i="22"/>
  <c r="I213" i="22"/>
  <c r="I209" i="22"/>
  <c r="I205" i="22"/>
  <c r="I201" i="22"/>
  <c r="I197" i="22"/>
  <c r="I193" i="22"/>
  <c r="I189" i="22"/>
  <c r="I185" i="22"/>
  <c r="I181" i="22"/>
  <c r="I177" i="22"/>
  <c r="I173" i="22"/>
  <c r="I169" i="22"/>
  <c r="I165" i="22"/>
  <c r="I161" i="22"/>
  <c r="I157" i="22"/>
  <c r="I153" i="22"/>
  <c r="I149" i="22"/>
  <c r="I145" i="22"/>
  <c r="I141" i="22"/>
  <c r="I137" i="22"/>
  <c r="I133" i="22"/>
  <c r="I129" i="22"/>
  <c r="I125" i="22"/>
  <c r="I121" i="22"/>
  <c r="I117" i="22"/>
  <c r="I113" i="22"/>
  <c r="I109" i="22"/>
  <c r="I105" i="22"/>
  <c r="I101" i="22"/>
  <c r="I97" i="22"/>
  <c r="I93" i="22"/>
  <c r="I89" i="22"/>
  <c r="I85" i="22"/>
  <c r="I81" i="22"/>
  <c r="I77" i="22"/>
  <c r="I73" i="22"/>
  <c r="I69" i="22"/>
  <c r="I65" i="22"/>
  <c r="I61" i="22"/>
  <c r="I57" i="22"/>
  <c r="I53" i="22"/>
  <c r="I49" i="22"/>
  <c r="I45" i="22"/>
  <c r="I41" i="22"/>
  <c r="I37" i="22"/>
  <c r="I33" i="22"/>
  <c r="I29" i="22"/>
  <c r="I25" i="22"/>
  <c r="I21" i="22"/>
  <c r="I17" i="22"/>
  <c r="I13" i="22"/>
  <c r="I9" i="22"/>
  <c r="I5" i="22"/>
  <c r="I1000" i="22"/>
  <c r="I992" i="22"/>
  <c r="I984" i="22"/>
  <c r="I976" i="22"/>
  <c r="I968" i="22"/>
  <c r="I960" i="22"/>
  <c r="I952" i="22"/>
  <c r="I944" i="22"/>
  <c r="I936" i="22"/>
  <c r="I928" i="22"/>
  <c r="I920" i="22"/>
  <c r="I912" i="22"/>
  <c r="I904" i="22"/>
  <c r="I896" i="22"/>
  <c r="I888" i="22"/>
  <c r="I880" i="22"/>
  <c r="I872" i="22"/>
  <c r="I864" i="22"/>
  <c r="I856" i="22"/>
  <c r="I848" i="22"/>
  <c r="I840" i="22"/>
  <c r="I832" i="22"/>
  <c r="I824" i="22"/>
  <c r="I816" i="22"/>
  <c r="I808" i="22"/>
  <c r="I800" i="22"/>
  <c r="I792" i="22"/>
  <c r="I784" i="22"/>
  <c r="I776" i="22"/>
  <c r="I768" i="22"/>
  <c r="I760" i="22"/>
  <c r="I752" i="22"/>
  <c r="I744" i="22"/>
  <c r="I736" i="22"/>
  <c r="I728" i="22"/>
  <c r="I720" i="22"/>
  <c r="I712" i="22"/>
  <c r="I704" i="22"/>
  <c r="I696" i="22"/>
  <c r="I688" i="22"/>
  <c r="I680" i="22"/>
  <c r="I672" i="22"/>
  <c r="I664" i="22"/>
  <c r="I656" i="22"/>
  <c r="I648" i="22"/>
  <c r="I640" i="22"/>
  <c r="I632" i="22"/>
  <c r="I624" i="22"/>
  <c r="I616" i="22"/>
  <c r="I608" i="22"/>
  <c r="I600" i="22"/>
  <c r="I592" i="22"/>
  <c r="I584" i="22"/>
  <c r="I576" i="22"/>
  <c r="I568" i="22"/>
  <c r="I560" i="22"/>
  <c r="I552" i="22"/>
  <c r="I544" i="22"/>
  <c r="I536" i="22"/>
  <c r="I528" i="22"/>
  <c r="I520" i="22"/>
  <c r="I512" i="22"/>
  <c r="I504" i="22"/>
  <c r="I496" i="22"/>
  <c r="I488" i="22"/>
  <c r="I480" i="22"/>
  <c r="I472" i="22"/>
  <c r="I464" i="22"/>
  <c r="I456" i="22"/>
  <c r="I448" i="22"/>
  <c r="I440" i="22"/>
  <c r="I432" i="22"/>
  <c r="I424" i="22"/>
  <c r="I416" i="22"/>
  <c r="I408" i="22"/>
  <c r="I400" i="22"/>
  <c r="I392" i="22"/>
  <c r="I384" i="22"/>
  <c r="I376" i="22"/>
  <c r="I368" i="22"/>
  <c r="I360" i="22"/>
  <c r="I352" i="22"/>
  <c r="I344" i="22"/>
  <c r="I336" i="22"/>
  <c r="I328" i="22"/>
  <c r="I320" i="22"/>
  <c r="I312" i="22"/>
  <c r="I304" i="22"/>
  <c r="I296" i="22"/>
  <c r="I288" i="22"/>
  <c r="I280" i="22"/>
  <c r="I272" i="22"/>
  <c r="I264" i="22"/>
  <c r="I256" i="22"/>
  <c r="I248" i="22"/>
  <c r="I240" i="22"/>
  <c r="I232" i="22"/>
  <c r="I224" i="22"/>
  <c r="I216" i="22"/>
  <c r="I208" i="22"/>
  <c r="I200" i="22"/>
  <c r="I192" i="22"/>
  <c r="I184" i="22"/>
  <c r="I176" i="22"/>
  <c r="I168" i="22"/>
  <c r="I160" i="22"/>
  <c r="I152" i="22"/>
  <c r="I144" i="22"/>
  <c r="I136" i="22"/>
  <c r="I128" i="22"/>
  <c r="I120" i="22"/>
  <c r="I112" i="22"/>
  <c r="I104" i="22"/>
  <c r="I96" i="22"/>
  <c r="I88" i="22"/>
  <c r="I80" i="22"/>
  <c r="I72" i="22"/>
  <c r="I64" i="22"/>
  <c r="I56" i="22"/>
  <c r="I48" i="22"/>
  <c r="I40" i="22"/>
  <c r="I32" i="22"/>
  <c r="I24" i="22"/>
  <c r="I16" i="22"/>
  <c r="I8" i="22"/>
  <c r="I1" i="22"/>
  <c r="I999" i="22"/>
  <c r="I991" i="22"/>
  <c r="I983" i="22"/>
  <c r="I975" i="22"/>
  <c r="I967" i="22"/>
  <c r="I959" i="22"/>
  <c r="I951" i="22"/>
  <c r="I943" i="22"/>
  <c r="I935" i="22"/>
  <c r="I927" i="22"/>
  <c r="I919" i="22"/>
  <c r="I911" i="22"/>
  <c r="I903" i="22"/>
  <c r="I895" i="22"/>
  <c r="I887" i="22"/>
  <c r="I879" i="22"/>
  <c r="I871" i="22"/>
  <c r="I863" i="22"/>
  <c r="I855" i="22"/>
  <c r="I847" i="22"/>
  <c r="I839" i="22"/>
  <c r="I831" i="22"/>
  <c r="I823" i="22"/>
  <c r="I815" i="22"/>
  <c r="I807" i="22"/>
  <c r="I799" i="22"/>
  <c r="I791" i="22"/>
  <c r="I783" i="22"/>
  <c r="I775" i="22"/>
  <c r="I767" i="22"/>
  <c r="I759" i="22"/>
  <c r="I751" i="22"/>
  <c r="I743" i="22"/>
  <c r="I735" i="22"/>
  <c r="I727" i="22"/>
  <c r="I719" i="22"/>
  <c r="I711" i="22"/>
  <c r="I703" i="22"/>
  <c r="I695" i="22"/>
  <c r="I687" i="22"/>
  <c r="I679" i="22"/>
  <c r="I671" i="22"/>
  <c r="I663" i="22"/>
  <c r="I655" i="22"/>
  <c r="I647" i="22"/>
  <c r="I639" i="22"/>
  <c r="I631" i="22"/>
  <c r="I623" i="22"/>
  <c r="I615" i="22"/>
  <c r="I607" i="22"/>
  <c r="I599" i="22"/>
  <c r="I591" i="22"/>
  <c r="I583" i="22"/>
  <c r="I575" i="22"/>
  <c r="I567" i="22"/>
  <c r="I559" i="22"/>
  <c r="I551" i="22"/>
  <c r="I543" i="22"/>
  <c r="I535" i="22"/>
  <c r="I527" i="22"/>
  <c r="I519" i="22"/>
  <c r="I511" i="22"/>
  <c r="I503" i="22"/>
  <c r="I495" i="22"/>
  <c r="I487" i="22"/>
  <c r="I479" i="22"/>
  <c r="I471" i="22"/>
  <c r="I463" i="22"/>
  <c r="I455" i="22"/>
  <c r="I447" i="22"/>
  <c r="I439" i="22"/>
  <c r="I431" i="22"/>
  <c r="I423" i="22"/>
  <c r="I415" i="22"/>
  <c r="I407" i="22"/>
  <c r="I399" i="22"/>
  <c r="I391" i="22"/>
  <c r="I383" i="22"/>
  <c r="I375" i="22"/>
  <c r="I367" i="22"/>
  <c r="I359" i="22"/>
  <c r="I351" i="22"/>
  <c r="I343" i="22"/>
  <c r="I335" i="22"/>
  <c r="I327" i="22"/>
  <c r="I319" i="22"/>
  <c r="I311" i="22"/>
  <c r="I303" i="22"/>
  <c r="I295" i="22"/>
  <c r="I287" i="22"/>
  <c r="I279" i="22"/>
  <c r="I271" i="22"/>
  <c r="I263" i="22"/>
  <c r="I255" i="22"/>
  <c r="I247" i="22"/>
  <c r="I239" i="22"/>
  <c r="I231" i="22"/>
  <c r="I223" i="22"/>
  <c r="I215" i="22"/>
  <c r="I207" i="22"/>
  <c r="I199" i="22"/>
  <c r="I191" i="22"/>
  <c r="I183" i="22"/>
  <c r="I175" i="22"/>
  <c r="I167" i="22"/>
  <c r="I159" i="22"/>
  <c r="I151" i="22"/>
  <c r="I143" i="22"/>
  <c r="I135" i="22"/>
  <c r="I127" i="22"/>
  <c r="I119" i="22"/>
  <c r="I111" i="22"/>
  <c r="I103" i="22"/>
  <c r="I95" i="22"/>
  <c r="I87" i="22"/>
  <c r="I79" i="22"/>
  <c r="I71" i="22"/>
  <c r="I63" i="22"/>
  <c r="I55" i="22"/>
  <c r="I47" i="22"/>
  <c r="I39" i="22"/>
  <c r="I31" i="22"/>
  <c r="I23" i="22"/>
  <c r="I15" i="22"/>
  <c r="I7" i="22"/>
  <c r="I995" i="22"/>
  <c r="I979" i="22"/>
  <c r="I963" i="22"/>
  <c r="I947" i="22"/>
  <c r="I931" i="22"/>
  <c r="I915" i="22"/>
  <c r="I899" i="22"/>
  <c r="I883" i="22"/>
  <c r="I867" i="22"/>
  <c r="I851" i="22"/>
  <c r="I835" i="22"/>
  <c r="I819" i="22"/>
  <c r="I803" i="22"/>
  <c r="I787" i="22"/>
  <c r="I771" i="22"/>
  <c r="I755" i="22"/>
  <c r="I739" i="22"/>
  <c r="I723" i="22"/>
  <c r="I707" i="22"/>
  <c r="I691" i="22"/>
  <c r="I675" i="22"/>
  <c r="I659" i="22"/>
  <c r="I643" i="22"/>
  <c r="I627" i="22"/>
  <c r="I611" i="22"/>
  <c r="I595" i="22"/>
  <c r="I579" i="22"/>
  <c r="I563" i="22"/>
  <c r="I547" i="22"/>
  <c r="I531" i="22"/>
  <c r="I515" i="22"/>
  <c r="I499" i="22"/>
  <c r="I483" i="22"/>
  <c r="I467" i="22"/>
  <c r="I451" i="22"/>
  <c r="I435" i="22"/>
  <c r="I419" i="22"/>
  <c r="I403" i="22"/>
  <c r="I387" i="22"/>
  <c r="I371" i="22"/>
  <c r="I355" i="22"/>
  <c r="I339" i="22"/>
  <c r="I323" i="22"/>
  <c r="I307" i="22"/>
  <c r="I291" i="22"/>
  <c r="I275" i="22"/>
  <c r="I259" i="22"/>
  <c r="I243" i="22"/>
  <c r="I227" i="22"/>
  <c r="I211" i="22"/>
  <c r="I195" i="22"/>
  <c r="I179" i="22"/>
  <c r="I163" i="22"/>
  <c r="I147" i="22"/>
  <c r="I131" i="22"/>
  <c r="I115" i="22"/>
  <c r="I99" i="22"/>
  <c r="I83" i="22"/>
  <c r="I67" i="22"/>
  <c r="I51" i="22"/>
  <c r="I35" i="22"/>
  <c r="I19" i="22"/>
  <c r="I3" i="22"/>
  <c r="I987" i="22"/>
  <c r="I971" i="22"/>
  <c r="I955" i="22"/>
  <c r="I939" i="22"/>
  <c r="I923" i="22"/>
  <c r="I907" i="22"/>
  <c r="I891" i="22"/>
  <c r="I875" i="22"/>
  <c r="I859" i="22"/>
  <c r="I843" i="22"/>
  <c r="I827" i="22"/>
  <c r="I811" i="22"/>
  <c r="I795" i="22"/>
  <c r="I779" i="22"/>
  <c r="I763" i="22"/>
  <c r="I747" i="22"/>
  <c r="I731" i="22"/>
  <c r="I715" i="22"/>
  <c r="I699" i="22"/>
  <c r="I683" i="22"/>
  <c r="I667" i="22"/>
  <c r="I651" i="22"/>
  <c r="I635" i="22"/>
  <c r="I619" i="22"/>
  <c r="I603" i="22"/>
  <c r="I587" i="22"/>
  <c r="I571" i="22"/>
  <c r="I555" i="22"/>
  <c r="I539" i="22"/>
  <c r="I523" i="22"/>
  <c r="I507" i="22"/>
  <c r="I491" i="22"/>
  <c r="I475" i="22"/>
  <c r="I459" i="22"/>
  <c r="I443" i="22"/>
  <c r="I427" i="22"/>
  <c r="I411" i="22"/>
  <c r="I395" i="22"/>
  <c r="I379" i="22"/>
  <c r="I363" i="22"/>
  <c r="I347" i="22"/>
  <c r="I331" i="22"/>
  <c r="I315" i="22"/>
  <c r="I299" i="22"/>
  <c r="I283" i="22"/>
  <c r="I267" i="22"/>
  <c r="I251" i="22"/>
  <c r="I235" i="22"/>
  <c r="I219" i="22"/>
  <c r="I203" i="22"/>
  <c r="I187" i="22"/>
  <c r="I171" i="22"/>
  <c r="I155" i="22"/>
  <c r="I139" i="22"/>
  <c r="I123" i="22"/>
  <c r="I107" i="22"/>
  <c r="I91" i="22"/>
  <c r="I75" i="22"/>
  <c r="I59" i="22"/>
  <c r="I43" i="22"/>
  <c r="I27" i="22"/>
  <c r="I11" i="22"/>
  <c r="I988" i="22"/>
  <c r="I956" i="22"/>
  <c r="I924" i="22"/>
  <c r="I892" i="22"/>
  <c r="I860" i="22"/>
  <c r="I828" i="22"/>
  <c r="I796" i="22"/>
  <c r="I764" i="22"/>
  <c r="I732" i="22"/>
  <c r="I700" i="22"/>
  <c r="I668" i="22"/>
  <c r="I636" i="22"/>
  <c r="I604" i="22"/>
  <c r="I572" i="22"/>
  <c r="I540" i="22"/>
  <c r="I508" i="22"/>
  <c r="I476" i="22"/>
  <c r="I444" i="22"/>
  <c r="I412" i="22"/>
  <c r="I380" i="22"/>
  <c r="I348" i="22"/>
  <c r="I316" i="22"/>
  <c r="I284" i="22"/>
  <c r="I252" i="22"/>
  <c r="I220" i="22"/>
  <c r="I188" i="22"/>
  <c r="I156" i="22"/>
  <c r="I124" i="22"/>
  <c r="I92" i="22"/>
  <c r="I60" i="22"/>
  <c r="I28" i="22"/>
  <c r="I972" i="22"/>
  <c r="I940" i="22"/>
  <c r="I908" i="22"/>
  <c r="I876" i="22"/>
  <c r="I844" i="22"/>
  <c r="I812" i="22"/>
  <c r="I780" i="22"/>
  <c r="I748" i="22"/>
  <c r="I716" i="22"/>
  <c r="I684" i="22"/>
  <c r="I652" i="22"/>
  <c r="I620" i="22"/>
  <c r="I588" i="22"/>
  <c r="I556" i="22"/>
  <c r="I524" i="22"/>
  <c r="I492" i="22"/>
  <c r="I460" i="22"/>
  <c r="I428" i="22"/>
  <c r="I396" i="22"/>
  <c r="I364" i="22"/>
  <c r="I332" i="22"/>
  <c r="I300" i="22"/>
  <c r="I268" i="22"/>
  <c r="I236" i="22"/>
  <c r="I204" i="22"/>
  <c r="I172" i="22"/>
  <c r="I140" i="22"/>
  <c r="I108" i="22"/>
  <c r="I76" i="22"/>
  <c r="I44" i="22"/>
  <c r="I12" i="22"/>
  <c r="I996" i="22"/>
  <c r="I932" i="22"/>
  <c r="I868" i="22"/>
  <c r="I804" i="22"/>
  <c r="I740" i="22"/>
  <c r="I676" i="22"/>
  <c r="I612" i="22"/>
  <c r="I548" i="22"/>
  <c r="I484" i="22"/>
  <c r="I420" i="22"/>
  <c r="I356" i="22"/>
  <c r="I292" i="22"/>
  <c r="I228" i="22"/>
  <c r="I164" i="22"/>
  <c r="I100" i="22"/>
  <c r="I36" i="22"/>
  <c r="I964" i="22"/>
  <c r="I900" i="22"/>
  <c r="I836" i="22"/>
  <c r="I772" i="22"/>
  <c r="I708" i="22"/>
  <c r="I644" i="22"/>
  <c r="I580" i="22"/>
  <c r="I516" i="22"/>
  <c r="I452" i="22"/>
  <c r="I388" i="22"/>
  <c r="I324" i="22"/>
  <c r="I260" i="22"/>
  <c r="I196" i="22"/>
  <c r="I132" i="22"/>
  <c r="I68" i="22"/>
  <c r="I4" i="22"/>
  <c r="I884" i="22"/>
  <c r="I756" i="22"/>
  <c r="I628" i="22"/>
  <c r="I500" i="22"/>
  <c r="I372" i="22"/>
  <c r="I244" i="22"/>
  <c r="I116" i="22"/>
  <c r="I948" i="22"/>
  <c r="I820" i="22"/>
  <c r="I692" i="22"/>
  <c r="I564" i="22"/>
  <c r="I436" i="22"/>
  <c r="I308" i="22"/>
  <c r="I180" i="22"/>
  <c r="I52" i="22"/>
  <c r="I916" i="22"/>
  <c r="I788" i="22"/>
  <c r="I660" i="22"/>
  <c r="I532" i="22"/>
  <c r="I404" i="22"/>
  <c r="I276" i="22"/>
  <c r="I148" i="22"/>
  <c r="I20" i="22"/>
  <c r="I724" i="22"/>
  <c r="I212" i="22"/>
  <c r="I852" i="22"/>
  <c r="I340" i="22"/>
  <c r="I596" i="22"/>
  <c r="I84" i="22"/>
  <c r="I980" i="22"/>
  <c r="I468" i="22"/>
  <c r="P3" i="17"/>
  <c r="I999" i="21"/>
  <c r="I995" i="21"/>
  <c r="I991" i="21"/>
  <c r="I987" i="21"/>
  <c r="I983" i="21"/>
  <c r="I979" i="21"/>
  <c r="I975" i="21"/>
  <c r="I971" i="21"/>
  <c r="I967" i="21"/>
  <c r="I963" i="21"/>
  <c r="I959" i="21"/>
  <c r="I955" i="21"/>
  <c r="I951" i="21"/>
  <c r="I947" i="21"/>
  <c r="I943" i="21"/>
  <c r="I939" i="21"/>
  <c r="I935" i="21"/>
  <c r="I931" i="21"/>
  <c r="I927" i="21"/>
  <c r="I923" i="21"/>
  <c r="I919" i="21"/>
  <c r="I915" i="21"/>
  <c r="I911" i="21"/>
  <c r="I907" i="21"/>
  <c r="I903" i="21"/>
  <c r="I899" i="21"/>
  <c r="I895" i="21"/>
  <c r="I891" i="21"/>
  <c r="I887" i="21"/>
  <c r="I883" i="21"/>
  <c r="I879" i="21"/>
  <c r="I875" i="21"/>
  <c r="I871" i="21"/>
  <c r="I867" i="21"/>
  <c r="I863" i="21"/>
  <c r="I859" i="21"/>
  <c r="I855" i="21"/>
  <c r="I851" i="21"/>
  <c r="I847" i="21"/>
  <c r="I843" i="21"/>
  <c r="I839" i="21"/>
  <c r="I835" i="21"/>
  <c r="I831" i="21"/>
  <c r="I827" i="21"/>
  <c r="I823" i="21"/>
  <c r="I819" i="21"/>
  <c r="I815" i="21"/>
  <c r="I811" i="21"/>
  <c r="I807" i="21"/>
  <c r="I803" i="21"/>
  <c r="I799" i="21"/>
  <c r="I795" i="21"/>
  <c r="I791" i="21"/>
  <c r="I787" i="21"/>
  <c r="I783" i="21"/>
  <c r="I779" i="21"/>
  <c r="I775" i="21"/>
  <c r="I771" i="21"/>
  <c r="I767" i="21"/>
  <c r="I763" i="21"/>
  <c r="I759" i="21"/>
  <c r="I755" i="21"/>
  <c r="I751" i="21"/>
  <c r="I747" i="21"/>
  <c r="I743" i="21"/>
  <c r="I739" i="21"/>
  <c r="I735" i="21"/>
  <c r="I731" i="21"/>
  <c r="I727" i="21"/>
  <c r="I723" i="21"/>
  <c r="I719" i="21"/>
  <c r="I715" i="21"/>
  <c r="I711" i="21"/>
  <c r="I707" i="21"/>
  <c r="I703" i="21"/>
  <c r="I699" i="21"/>
  <c r="I695" i="21"/>
  <c r="I691" i="21"/>
  <c r="I687" i="21"/>
  <c r="I683" i="21"/>
  <c r="I679" i="21"/>
  <c r="I675" i="21"/>
  <c r="I671" i="21"/>
  <c r="I667" i="21"/>
  <c r="I663" i="21"/>
  <c r="I659" i="21"/>
  <c r="I655" i="21"/>
  <c r="I651" i="21"/>
  <c r="I647" i="21"/>
  <c r="I643" i="21"/>
  <c r="I639" i="21"/>
  <c r="I635" i="21"/>
  <c r="I631" i="21"/>
  <c r="I627" i="21"/>
  <c r="I623" i="21"/>
  <c r="I619" i="21"/>
  <c r="I615" i="21"/>
  <c r="I611" i="21"/>
  <c r="I607" i="21"/>
  <c r="I603" i="21"/>
  <c r="I599" i="21"/>
  <c r="I595" i="21"/>
  <c r="I591" i="21"/>
  <c r="I587" i="21"/>
  <c r="I583" i="21"/>
  <c r="I579" i="21"/>
  <c r="I575" i="21"/>
  <c r="I571" i="21"/>
  <c r="I567" i="21"/>
  <c r="I563" i="21"/>
  <c r="I559" i="21"/>
  <c r="I555" i="21"/>
  <c r="I551" i="21"/>
  <c r="I547" i="21"/>
  <c r="I543" i="21"/>
  <c r="I539" i="21"/>
  <c r="I535" i="21"/>
  <c r="I531" i="21"/>
  <c r="I527" i="21"/>
  <c r="I523" i="21"/>
  <c r="I519" i="21"/>
  <c r="I515" i="21"/>
  <c r="I511" i="21"/>
  <c r="I507" i="21"/>
  <c r="I503" i="21"/>
  <c r="I499" i="21"/>
  <c r="I495" i="21"/>
  <c r="I491" i="21"/>
  <c r="I487" i="21"/>
  <c r="I483" i="21"/>
  <c r="I479" i="21"/>
  <c r="I475" i="21"/>
  <c r="I471" i="21"/>
  <c r="I467" i="21"/>
  <c r="I463" i="21"/>
  <c r="I459" i="21"/>
  <c r="I455" i="21"/>
  <c r="I451" i="21"/>
  <c r="I447" i="21"/>
  <c r="I443" i="21"/>
  <c r="I439" i="21"/>
  <c r="I435" i="21"/>
  <c r="I431" i="21"/>
  <c r="I427" i="21"/>
  <c r="I423" i="21"/>
  <c r="I419" i="21"/>
  <c r="I415" i="21"/>
  <c r="I411" i="21"/>
  <c r="I407" i="21"/>
  <c r="I403" i="21"/>
  <c r="I399" i="21"/>
  <c r="I395" i="21"/>
  <c r="I391" i="21"/>
  <c r="I387" i="21"/>
  <c r="I383" i="21"/>
  <c r="I379" i="21"/>
  <c r="I375" i="21"/>
  <c r="I371" i="21"/>
  <c r="I367" i="21"/>
  <c r="I363" i="21"/>
  <c r="I359" i="21"/>
  <c r="I355" i="21"/>
  <c r="I351" i="21"/>
  <c r="I347" i="21"/>
  <c r="I343" i="21"/>
  <c r="I339" i="21"/>
  <c r="I335" i="21"/>
  <c r="I331" i="21"/>
  <c r="I327" i="21"/>
  <c r="I323" i="21"/>
  <c r="I319" i="21"/>
  <c r="I315" i="21"/>
  <c r="I311" i="21"/>
  <c r="I307" i="21"/>
  <c r="I303" i="21"/>
  <c r="I299" i="21"/>
  <c r="I295" i="21"/>
  <c r="I291" i="21"/>
  <c r="I287" i="21"/>
  <c r="I283" i="21"/>
  <c r="I279" i="21"/>
  <c r="I275" i="21"/>
  <c r="I271" i="21"/>
  <c r="I267" i="21"/>
  <c r="I263" i="21"/>
  <c r="I259" i="21"/>
  <c r="I255" i="21"/>
  <c r="I251" i="21"/>
  <c r="I247" i="21"/>
  <c r="I243" i="21"/>
  <c r="I239" i="21"/>
  <c r="I235" i="21"/>
  <c r="I231" i="21"/>
  <c r="I227" i="21"/>
  <c r="I223" i="21"/>
  <c r="I219" i="21"/>
  <c r="I215" i="21"/>
  <c r="I211" i="21"/>
  <c r="I207" i="21"/>
  <c r="I203" i="21"/>
  <c r="I199" i="21"/>
  <c r="I195" i="21"/>
  <c r="I191" i="21"/>
  <c r="I187" i="21"/>
  <c r="I183" i="21"/>
  <c r="I179" i="21"/>
  <c r="I175" i="21"/>
  <c r="I171" i="21"/>
  <c r="I167" i="21"/>
  <c r="I163" i="21"/>
  <c r="I159" i="21"/>
  <c r="I155" i="21"/>
  <c r="I151" i="21"/>
  <c r="I147" i="21"/>
  <c r="I143" i="21"/>
  <c r="I139" i="21"/>
  <c r="I135" i="21"/>
  <c r="I131" i="21"/>
  <c r="I127" i="21"/>
  <c r="I123" i="21"/>
  <c r="I119" i="21"/>
  <c r="I115" i="21"/>
  <c r="I111" i="21"/>
  <c r="I107" i="21"/>
  <c r="I103" i="21"/>
  <c r="I99" i="21"/>
  <c r="I95" i="21"/>
  <c r="I91" i="21"/>
  <c r="I87" i="21"/>
  <c r="I83" i="21"/>
  <c r="I79" i="21"/>
  <c r="I75" i="21"/>
  <c r="I71" i="21"/>
  <c r="I67" i="21"/>
  <c r="I63" i="21"/>
  <c r="I59" i="21"/>
  <c r="I55" i="21"/>
  <c r="I51" i="21"/>
  <c r="I47" i="21"/>
  <c r="I43" i="21"/>
  <c r="I39" i="21"/>
  <c r="I35" i="21"/>
  <c r="I31" i="21"/>
  <c r="I27" i="21"/>
  <c r="I23" i="21"/>
  <c r="I19" i="21"/>
  <c r="I15" i="21"/>
  <c r="I11" i="21"/>
  <c r="I7" i="21"/>
  <c r="I3" i="21"/>
  <c r="I998" i="21"/>
  <c r="I994" i="21"/>
  <c r="I990" i="21"/>
  <c r="I986" i="21"/>
  <c r="I982" i="21"/>
  <c r="I978" i="21"/>
  <c r="I974" i="21"/>
  <c r="I970" i="21"/>
  <c r="I966" i="21"/>
  <c r="I962" i="21"/>
  <c r="I958" i="21"/>
  <c r="I954" i="21"/>
  <c r="I950" i="21"/>
  <c r="I946" i="21"/>
  <c r="I942" i="21"/>
  <c r="I938" i="21"/>
  <c r="I934" i="21"/>
  <c r="I930" i="21"/>
  <c r="I926" i="21"/>
  <c r="I922" i="21"/>
  <c r="I918" i="21"/>
  <c r="I914" i="21"/>
  <c r="I910" i="21"/>
  <c r="I906" i="21"/>
  <c r="I902" i="21"/>
  <c r="I898" i="21"/>
  <c r="I894" i="21"/>
  <c r="I890" i="21"/>
  <c r="I886" i="21"/>
  <c r="I882" i="21"/>
  <c r="I878" i="21"/>
  <c r="I874" i="21"/>
  <c r="I870" i="21"/>
  <c r="I866" i="21"/>
  <c r="I862" i="21"/>
  <c r="I858" i="21"/>
  <c r="I854" i="21"/>
  <c r="I850" i="21"/>
  <c r="I846" i="21"/>
  <c r="I842" i="21"/>
  <c r="I838" i="21"/>
  <c r="I834" i="21"/>
  <c r="I830" i="21"/>
  <c r="I826" i="21"/>
  <c r="I822" i="21"/>
  <c r="I818" i="21"/>
  <c r="I814" i="21"/>
  <c r="I810" i="21"/>
  <c r="I806" i="21"/>
  <c r="I802" i="21"/>
  <c r="I798" i="21"/>
  <c r="I794" i="21"/>
  <c r="I790" i="21"/>
  <c r="I786" i="21"/>
  <c r="I782" i="21"/>
  <c r="I778" i="21"/>
  <c r="I774" i="21"/>
  <c r="I770" i="21"/>
  <c r="I766" i="21"/>
  <c r="I762" i="21"/>
  <c r="I758" i="21"/>
  <c r="I754" i="21"/>
  <c r="I750" i="21"/>
  <c r="I746" i="21"/>
  <c r="I742" i="21"/>
  <c r="I738" i="21"/>
  <c r="I734" i="21"/>
  <c r="I730" i="21"/>
  <c r="I726" i="21"/>
  <c r="I722" i="21"/>
  <c r="I718" i="21"/>
  <c r="I714" i="21"/>
  <c r="I710" i="21"/>
  <c r="I706" i="21"/>
  <c r="I702" i="21"/>
  <c r="I698" i="21"/>
  <c r="I694" i="21"/>
  <c r="I690" i="21"/>
  <c r="I686" i="21"/>
  <c r="I682" i="21"/>
  <c r="I678" i="21"/>
  <c r="I674" i="21"/>
  <c r="I670" i="21"/>
  <c r="I666" i="21"/>
  <c r="I662" i="21"/>
  <c r="I658" i="21"/>
  <c r="I654" i="21"/>
  <c r="I650" i="21"/>
  <c r="I646" i="21"/>
  <c r="I642" i="21"/>
  <c r="I638" i="21"/>
  <c r="I634" i="21"/>
  <c r="I630" i="21"/>
  <c r="I626" i="21"/>
  <c r="I622" i="21"/>
  <c r="I618" i="21"/>
  <c r="I614" i="21"/>
  <c r="I610" i="21"/>
  <c r="I606" i="21"/>
  <c r="I602" i="21"/>
  <c r="I598" i="21"/>
  <c r="I594" i="21"/>
  <c r="I590" i="21"/>
  <c r="I586" i="21"/>
  <c r="I582" i="21"/>
  <c r="I578" i="21"/>
  <c r="I574" i="21"/>
  <c r="I570" i="21"/>
  <c r="I566" i="21"/>
  <c r="I562" i="21"/>
  <c r="I558" i="21"/>
  <c r="I554" i="21"/>
  <c r="I550" i="21"/>
  <c r="I546" i="21"/>
  <c r="I542" i="21"/>
  <c r="I538" i="21"/>
  <c r="I534" i="21"/>
  <c r="I530" i="21"/>
  <c r="I526" i="21"/>
  <c r="I522" i="21"/>
  <c r="I518" i="21"/>
  <c r="I514" i="21"/>
  <c r="I510" i="21"/>
  <c r="I506" i="21"/>
  <c r="I502" i="21"/>
  <c r="I498" i="21"/>
  <c r="I494" i="21"/>
  <c r="I490" i="21"/>
  <c r="I486" i="21"/>
  <c r="I482" i="21"/>
  <c r="I478" i="21"/>
  <c r="I474" i="21"/>
  <c r="I470" i="21"/>
  <c r="I466" i="21"/>
  <c r="I462" i="21"/>
  <c r="I458" i="21"/>
  <c r="I454" i="21"/>
  <c r="I450" i="21"/>
  <c r="I446" i="21"/>
  <c r="I442" i="21"/>
  <c r="I438" i="21"/>
  <c r="I434" i="21"/>
  <c r="I430" i="21"/>
  <c r="I426" i="21"/>
  <c r="I422" i="21"/>
  <c r="I418" i="21"/>
  <c r="I414" i="21"/>
  <c r="I410" i="21"/>
  <c r="I406" i="21"/>
  <c r="I402" i="21"/>
  <c r="I398" i="21"/>
  <c r="I394" i="21"/>
  <c r="I390" i="21"/>
  <c r="I386" i="21"/>
  <c r="I382" i="21"/>
  <c r="I378" i="21"/>
  <c r="I374" i="21"/>
  <c r="I370" i="21"/>
  <c r="I366" i="21"/>
  <c r="I362" i="21"/>
  <c r="I358" i="21"/>
  <c r="I354" i="21"/>
  <c r="I350" i="21"/>
  <c r="I346" i="21"/>
  <c r="I342" i="21"/>
  <c r="I338" i="21"/>
  <c r="I334" i="21"/>
  <c r="I330" i="21"/>
  <c r="I326" i="21"/>
  <c r="I322" i="21"/>
  <c r="I318" i="21"/>
  <c r="I314" i="21"/>
  <c r="I310" i="21"/>
  <c r="I306" i="21"/>
  <c r="I302" i="21"/>
  <c r="I298" i="21"/>
  <c r="I294" i="21"/>
  <c r="I290" i="21"/>
  <c r="I286" i="21"/>
  <c r="I282" i="21"/>
  <c r="I278" i="21"/>
  <c r="I274" i="21"/>
  <c r="I270" i="21"/>
  <c r="I266" i="21"/>
  <c r="I262" i="21"/>
  <c r="I258" i="21"/>
  <c r="I254" i="21"/>
  <c r="I250" i="21"/>
  <c r="I246" i="21"/>
  <c r="I242" i="21"/>
  <c r="I238" i="21"/>
  <c r="I234" i="21"/>
  <c r="I230" i="21"/>
  <c r="I226" i="21"/>
  <c r="I222" i="21"/>
  <c r="I218" i="21"/>
  <c r="I214" i="21"/>
  <c r="I210" i="21"/>
  <c r="I206" i="21"/>
  <c r="I202" i="21"/>
  <c r="I198" i="21"/>
  <c r="I194" i="21"/>
  <c r="I190" i="21"/>
  <c r="I186" i="21"/>
  <c r="I182" i="21"/>
  <c r="I178" i="21"/>
  <c r="I174" i="21"/>
  <c r="I170" i="21"/>
  <c r="I166" i="21"/>
  <c r="I162" i="21"/>
  <c r="I158" i="21"/>
  <c r="I154" i="21"/>
  <c r="I150" i="21"/>
  <c r="I146" i="21"/>
  <c r="I142" i="21"/>
  <c r="I138" i="21"/>
  <c r="I134" i="21"/>
  <c r="I130" i="21"/>
  <c r="I126" i="21"/>
  <c r="I122" i="21"/>
  <c r="I118" i="21"/>
  <c r="I114" i="21"/>
  <c r="I110" i="21"/>
  <c r="I106" i="21"/>
  <c r="I102" i="21"/>
  <c r="I98" i="21"/>
  <c r="I94" i="21"/>
  <c r="I90" i="21"/>
  <c r="I86" i="21"/>
  <c r="I82" i="21"/>
  <c r="I78" i="21"/>
  <c r="I74" i="21"/>
  <c r="I70" i="21"/>
  <c r="I66" i="21"/>
  <c r="I62" i="21"/>
  <c r="I58" i="21"/>
  <c r="I54" i="21"/>
  <c r="I50" i="21"/>
  <c r="I46" i="21"/>
  <c r="I42" i="21"/>
  <c r="I38" i="21"/>
  <c r="I34" i="21"/>
  <c r="I30" i="21"/>
  <c r="I26" i="21"/>
  <c r="I22" i="21"/>
  <c r="I18" i="21"/>
  <c r="I14" i="21"/>
  <c r="I10" i="21"/>
  <c r="I6" i="21"/>
  <c r="I2" i="21"/>
  <c r="I993" i="21"/>
  <c r="I985" i="21"/>
  <c r="I977" i="21"/>
  <c r="I969" i="21"/>
  <c r="I961" i="21"/>
  <c r="I953" i="21"/>
  <c r="I945" i="21"/>
  <c r="I937" i="21"/>
  <c r="I929" i="21"/>
  <c r="I921" i="21"/>
  <c r="I913" i="21"/>
  <c r="I905" i="21"/>
  <c r="I897" i="21"/>
  <c r="I889" i="21"/>
  <c r="I881" i="21"/>
  <c r="I873" i="21"/>
  <c r="I865" i="21"/>
  <c r="I857" i="21"/>
  <c r="I849" i="21"/>
  <c r="I841" i="21"/>
  <c r="I833" i="21"/>
  <c r="I825" i="21"/>
  <c r="I817" i="21"/>
  <c r="I809" i="21"/>
  <c r="I801" i="21"/>
  <c r="I793" i="21"/>
  <c r="I785" i="21"/>
  <c r="I777" i="21"/>
  <c r="I769" i="21"/>
  <c r="I761" i="21"/>
  <c r="I753" i="21"/>
  <c r="I745" i="21"/>
  <c r="I737" i="21"/>
  <c r="I729" i="21"/>
  <c r="I721" i="21"/>
  <c r="I713" i="21"/>
  <c r="I705" i="21"/>
  <c r="I697" i="21"/>
  <c r="I689" i="21"/>
  <c r="I681" i="21"/>
  <c r="I673" i="21"/>
  <c r="I665" i="21"/>
  <c r="I657" i="21"/>
  <c r="I649" i="21"/>
  <c r="I641" i="21"/>
  <c r="I633" i="21"/>
  <c r="I625" i="21"/>
  <c r="I617" i="21"/>
  <c r="I609" i="21"/>
  <c r="I601" i="21"/>
  <c r="I593" i="21"/>
  <c r="I585" i="21"/>
  <c r="I577" i="21"/>
  <c r="I569" i="21"/>
  <c r="I561" i="21"/>
  <c r="I553" i="21"/>
  <c r="I545" i="21"/>
  <c r="I537" i="21"/>
  <c r="I529" i="21"/>
  <c r="I521" i="21"/>
  <c r="I513" i="21"/>
  <c r="I505" i="21"/>
  <c r="I497" i="21"/>
  <c r="I489" i="21"/>
  <c r="I481" i="21"/>
  <c r="I473" i="21"/>
  <c r="I465" i="21"/>
  <c r="I457" i="21"/>
  <c r="I449" i="21"/>
  <c r="I441" i="21"/>
  <c r="I433" i="21"/>
  <c r="I425" i="21"/>
  <c r="I417" i="21"/>
  <c r="I409" i="21"/>
  <c r="I401" i="21"/>
  <c r="I393" i="21"/>
  <c r="I385" i="21"/>
  <c r="I377" i="21"/>
  <c r="I369" i="21"/>
  <c r="I361" i="21"/>
  <c r="I353" i="21"/>
  <c r="I345" i="21"/>
  <c r="I337" i="21"/>
  <c r="I329" i="21"/>
  <c r="I321" i="21"/>
  <c r="I313" i="21"/>
  <c r="I305" i="21"/>
  <c r="I297" i="21"/>
  <c r="I289" i="21"/>
  <c r="I281" i="21"/>
  <c r="I273" i="21"/>
  <c r="I265" i="21"/>
  <c r="I257" i="21"/>
  <c r="I249" i="21"/>
  <c r="I241" i="21"/>
  <c r="I233" i="21"/>
  <c r="I225" i="21"/>
  <c r="I217" i="21"/>
  <c r="I209" i="21"/>
  <c r="I201" i="21"/>
  <c r="I193" i="21"/>
  <c r="I185" i="21"/>
  <c r="I177" i="21"/>
  <c r="I169" i="21"/>
  <c r="I161" i="21"/>
  <c r="I153" i="21"/>
  <c r="I145" i="21"/>
  <c r="I137" i="21"/>
  <c r="I129" i="21"/>
  <c r="I121" i="21"/>
  <c r="I113" i="21"/>
  <c r="I105" i="21"/>
  <c r="I97" i="21"/>
  <c r="I89" i="21"/>
  <c r="I81" i="21"/>
  <c r="I73" i="21"/>
  <c r="I65" i="21"/>
  <c r="I57" i="21"/>
  <c r="I49" i="21"/>
  <c r="I41" i="21"/>
  <c r="I33" i="21"/>
  <c r="I25" i="21"/>
  <c r="I17" i="21"/>
  <c r="I9" i="21"/>
  <c r="I1000" i="21"/>
  <c r="I992" i="21"/>
  <c r="I984" i="21"/>
  <c r="I976" i="21"/>
  <c r="I968" i="21"/>
  <c r="I960" i="21"/>
  <c r="I952" i="21"/>
  <c r="I944" i="21"/>
  <c r="I936" i="21"/>
  <c r="I928" i="21"/>
  <c r="I920" i="21"/>
  <c r="I912" i="21"/>
  <c r="I904" i="21"/>
  <c r="I896" i="21"/>
  <c r="I888" i="21"/>
  <c r="I880" i="21"/>
  <c r="I872" i="21"/>
  <c r="I864" i="21"/>
  <c r="I856" i="21"/>
  <c r="I848" i="21"/>
  <c r="I840" i="21"/>
  <c r="I832" i="21"/>
  <c r="I824" i="21"/>
  <c r="I816" i="21"/>
  <c r="I808" i="21"/>
  <c r="I800" i="21"/>
  <c r="I792" i="21"/>
  <c r="I784" i="21"/>
  <c r="I776" i="21"/>
  <c r="I768" i="21"/>
  <c r="I760" i="21"/>
  <c r="I752" i="21"/>
  <c r="I744" i="21"/>
  <c r="I736" i="21"/>
  <c r="I728" i="21"/>
  <c r="I720" i="21"/>
  <c r="I712" i="21"/>
  <c r="I704" i="21"/>
  <c r="I696" i="21"/>
  <c r="I688" i="21"/>
  <c r="I680" i="21"/>
  <c r="I672" i="21"/>
  <c r="I664" i="21"/>
  <c r="I656" i="21"/>
  <c r="I648" i="21"/>
  <c r="I640" i="21"/>
  <c r="I632" i="21"/>
  <c r="I624" i="21"/>
  <c r="I616" i="21"/>
  <c r="I608" i="21"/>
  <c r="I600" i="21"/>
  <c r="I592" i="21"/>
  <c r="I584" i="21"/>
  <c r="I576" i="21"/>
  <c r="I568" i="21"/>
  <c r="I560" i="21"/>
  <c r="I552" i="21"/>
  <c r="I544" i="21"/>
  <c r="I536" i="21"/>
  <c r="I528" i="21"/>
  <c r="I520" i="21"/>
  <c r="I512" i="21"/>
  <c r="I504" i="21"/>
  <c r="I496" i="21"/>
  <c r="I488" i="21"/>
  <c r="I480" i="21"/>
  <c r="I472" i="21"/>
  <c r="I464" i="21"/>
  <c r="I456" i="21"/>
  <c r="I448" i="21"/>
  <c r="I440" i="21"/>
  <c r="I432" i="21"/>
  <c r="I424" i="21"/>
  <c r="I416" i="21"/>
  <c r="I408" i="21"/>
  <c r="I400" i="21"/>
  <c r="I392" i="21"/>
  <c r="I384" i="21"/>
  <c r="I376" i="21"/>
  <c r="I368" i="21"/>
  <c r="I360" i="21"/>
  <c r="I352" i="21"/>
  <c r="I344" i="21"/>
  <c r="I336" i="21"/>
  <c r="I328" i="21"/>
  <c r="I320" i="21"/>
  <c r="I312" i="21"/>
  <c r="I304" i="21"/>
  <c r="I296" i="21"/>
  <c r="I288" i="21"/>
  <c r="I280" i="21"/>
  <c r="I272" i="21"/>
  <c r="I264" i="21"/>
  <c r="I256" i="21"/>
  <c r="I248" i="21"/>
  <c r="I240" i="21"/>
  <c r="I232" i="21"/>
  <c r="I224" i="21"/>
  <c r="I216" i="21"/>
  <c r="I208" i="21"/>
  <c r="I200" i="21"/>
  <c r="I192" i="21"/>
  <c r="I184" i="21"/>
  <c r="I176" i="21"/>
  <c r="I168" i="21"/>
  <c r="I160" i="21"/>
  <c r="I152" i="21"/>
  <c r="I144" i="21"/>
  <c r="I136" i="21"/>
  <c r="I128" i="21"/>
  <c r="I120" i="21"/>
  <c r="I112" i="21"/>
  <c r="I104" i="21"/>
  <c r="I96" i="21"/>
  <c r="I88" i="21"/>
  <c r="I80" i="21"/>
  <c r="I72" i="21"/>
  <c r="I64" i="21"/>
  <c r="I56" i="21"/>
  <c r="I48" i="21"/>
  <c r="I40" i="21"/>
  <c r="I32" i="21"/>
  <c r="I24" i="21"/>
  <c r="I16" i="21"/>
  <c r="I8" i="21"/>
  <c r="I1" i="21"/>
  <c r="I988" i="21"/>
  <c r="I972" i="21"/>
  <c r="I956" i="21"/>
  <c r="I940" i="21"/>
  <c r="I924" i="21"/>
  <c r="I908" i="21"/>
  <c r="I892" i="21"/>
  <c r="I876" i="21"/>
  <c r="I860" i="21"/>
  <c r="I844" i="21"/>
  <c r="I828" i="21"/>
  <c r="I812" i="21"/>
  <c r="I796" i="21"/>
  <c r="I780" i="21"/>
  <c r="I764" i="21"/>
  <c r="I748" i="21"/>
  <c r="I732" i="21"/>
  <c r="I716" i="21"/>
  <c r="I700" i="21"/>
  <c r="I684" i="21"/>
  <c r="I668" i="21"/>
  <c r="I652" i="21"/>
  <c r="I636" i="21"/>
  <c r="I620" i="21"/>
  <c r="I604" i="21"/>
  <c r="I588" i="21"/>
  <c r="I572" i="21"/>
  <c r="I556" i="21"/>
  <c r="I540" i="21"/>
  <c r="I524" i="21"/>
  <c r="I508" i="21"/>
  <c r="I492" i="21"/>
  <c r="I476" i="21"/>
  <c r="I460" i="21"/>
  <c r="I444" i="21"/>
  <c r="I428" i="21"/>
  <c r="I412" i="21"/>
  <c r="I396" i="21"/>
  <c r="I380" i="21"/>
  <c r="I364" i="21"/>
  <c r="I348" i="21"/>
  <c r="I332" i="21"/>
  <c r="I316" i="21"/>
  <c r="I300" i="21"/>
  <c r="I284" i="21"/>
  <c r="I268" i="21"/>
  <c r="I252" i="21"/>
  <c r="I236" i="21"/>
  <c r="I220" i="21"/>
  <c r="I204" i="21"/>
  <c r="I188" i="21"/>
  <c r="I172" i="21"/>
  <c r="I156" i="21"/>
  <c r="I140" i="21"/>
  <c r="I124" i="21"/>
  <c r="I108" i="21"/>
  <c r="I92" i="21"/>
  <c r="I76" i="21"/>
  <c r="I60" i="21"/>
  <c r="I44" i="21"/>
  <c r="I28" i="21"/>
  <c r="I12" i="21"/>
  <c r="I996" i="21"/>
  <c r="I980" i="21"/>
  <c r="I964" i="21"/>
  <c r="I948" i="21"/>
  <c r="I932" i="21"/>
  <c r="I916" i="21"/>
  <c r="I900" i="21"/>
  <c r="I884" i="21"/>
  <c r="I868" i="21"/>
  <c r="I852" i="21"/>
  <c r="I836" i="21"/>
  <c r="I820" i="21"/>
  <c r="I804" i="21"/>
  <c r="I788" i="21"/>
  <c r="I772" i="21"/>
  <c r="I756" i="21"/>
  <c r="I740" i="21"/>
  <c r="I724" i="21"/>
  <c r="I708" i="21"/>
  <c r="I692" i="21"/>
  <c r="I676" i="21"/>
  <c r="I660" i="21"/>
  <c r="I644" i="21"/>
  <c r="I628" i="21"/>
  <c r="I612" i="21"/>
  <c r="I596" i="21"/>
  <c r="I580" i="21"/>
  <c r="I564" i="21"/>
  <c r="I548" i="21"/>
  <c r="I532" i="21"/>
  <c r="I516" i="21"/>
  <c r="I500" i="21"/>
  <c r="I484" i="21"/>
  <c r="I468" i="21"/>
  <c r="I452" i="21"/>
  <c r="I436" i="21"/>
  <c r="I420" i="21"/>
  <c r="I404" i="21"/>
  <c r="I388" i="21"/>
  <c r="I372" i="21"/>
  <c r="I356" i="21"/>
  <c r="I340" i="21"/>
  <c r="I324" i="21"/>
  <c r="I308" i="21"/>
  <c r="I292" i="21"/>
  <c r="I276" i="21"/>
  <c r="I260" i="21"/>
  <c r="I244" i="21"/>
  <c r="I228" i="21"/>
  <c r="I212" i="21"/>
  <c r="I196" i="21"/>
  <c r="I180" i="21"/>
  <c r="I164" i="21"/>
  <c r="I148" i="21"/>
  <c r="I132" i="21"/>
  <c r="I116" i="21"/>
  <c r="I100" i="21"/>
  <c r="I84" i="21"/>
  <c r="I68" i="21"/>
  <c r="I52" i="21"/>
  <c r="I36" i="21"/>
  <c r="I20" i="21"/>
  <c r="I4" i="21"/>
  <c r="I981" i="21"/>
  <c r="I949" i="21"/>
  <c r="I917" i="21"/>
  <c r="I885" i="21"/>
  <c r="I853" i="21"/>
  <c r="I821" i="21"/>
  <c r="I789" i="21"/>
  <c r="I757" i="21"/>
  <c r="I725" i="21"/>
  <c r="I693" i="21"/>
  <c r="I661" i="21"/>
  <c r="I629" i="21"/>
  <c r="I597" i="21"/>
  <c r="I565" i="21"/>
  <c r="I533" i="21"/>
  <c r="I501" i="21"/>
  <c r="I469" i="21"/>
  <c r="I437" i="21"/>
  <c r="I405" i="21"/>
  <c r="I373" i="21"/>
  <c r="I341" i="21"/>
  <c r="I309" i="21"/>
  <c r="I277" i="21"/>
  <c r="I245" i="21"/>
  <c r="I213" i="21"/>
  <c r="I181" i="21"/>
  <c r="I149" i="21"/>
  <c r="I117" i="21"/>
  <c r="I85" i="21"/>
  <c r="I53" i="21"/>
  <c r="I21" i="21"/>
  <c r="I997" i="21"/>
  <c r="I965" i="21"/>
  <c r="I933" i="21"/>
  <c r="I901" i="21"/>
  <c r="I869" i="21"/>
  <c r="I837" i="21"/>
  <c r="I805" i="21"/>
  <c r="I773" i="21"/>
  <c r="I741" i="21"/>
  <c r="I709" i="21"/>
  <c r="I677" i="21"/>
  <c r="I645" i="21"/>
  <c r="I613" i="21"/>
  <c r="I581" i="21"/>
  <c r="I549" i="21"/>
  <c r="I517" i="21"/>
  <c r="I485" i="21"/>
  <c r="I453" i="21"/>
  <c r="I421" i="21"/>
  <c r="I389" i="21"/>
  <c r="I357" i="21"/>
  <c r="I325" i="21"/>
  <c r="I293" i="21"/>
  <c r="I261" i="21"/>
  <c r="I229" i="21"/>
  <c r="I197" i="21"/>
  <c r="I165" i="21"/>
  <c r="I133" i="21"/>
  <c r="I101" i="21"/>
  <c r="I69" i="21"/>
  <c r="I37" i="21"/>
  <c r="I5" i="21"/>
  <c r="I989" i="21"/>
  <c r="I925" i="21"/>
  <c r="I861" i="21"/>
  <c r="I797" i="21"/>
  <c r="I733" i="21"/>
  <c r="I669" i="21"/>
  <c r="I605" i="21"/>
  <c r="I541" i="21"/>
  <c r="I477" i="21"/>
  <c r="I413" i="21"/>
  <c r="I349" i="21"/>
  <c r="I285" i="21"/>
  <c r="I221" i="21"/>
  <c r="I157" i="21"/>
  <c r="I93" i="21"/>
  <c r="I29" i="21"/>
  <c r="I957" i="21"/>
  <c r="I893" i="21"/>
  <c r="I829" i="21"/>
  <c r="I765" i="21"/>
  <c r="I701" i="21"/>
  <c r="I637" i="21"/>
  <c r="I573" i="21"/>
  <c r="I509" i="21"/>
  <c r="I445" i="21"/>
  <c r="I381" i="21"/>
  <c r="I317" i="21"/>
  <c r="I253" i="21"/>
  <c r="I189" i="21"/>
  <c r="I125" i="21"/>
  <c r="I61" i="21"/>
  <c r="I941" i="21"/>
  <c r="I813" i="21"/>
  <c r="I685" i="21"/>
  <c r="I557" i="21"/>
  <c r="I429" i="21"/>
  <c r="I301" i="21"/>
  <c r="I173" i="21"/>
  <c r="I45" i="21"/>
  <c r="I877" i="21"/>
  <c r="I749" i="21"/>
  <c r="I621" i="21"/>
  <c r="I493" i="21"/>
  <c r="I365" i="21"/>
  <c r="I237" i="21"/>
  <c r="I109" i="21"/>
  <c r="I973" i="21"/>
  <c r="I845" i="21"/>
  <c r="I717" i="21"/>
  <c r="I589" i="21"/>
  <c r="I461" i="21"/>
  <c r="I333" i="21"/>
  <c r="I205" i="21"/>
  <c r="I77" i="21"/>
  <c r="I781" i="21"/>
  <c r="I269" i="21"/>
  <c r="I909" i="21"/>
  <c r="I397" i="21"/>
  <c r="I653" i="21"/>
  <c r="I141" i="21"/>
  <c r="I525" i="21"/>
  <c r="I13" i="21"/>
  <c r="I998" i="11"/>
  <c r="I994" i="11"/>
  <c r="I990" i="11"/>
  <c r="I986" i="11"/>
  <c r="I982" i="11"/>
  <c r="I978" i="11"/>
  <c r="I974" i="11"/>
  <c r="I970" i="11"/>
  <c r="I966" i="11"/>
  <c r="I962" i="11"/>
  <c r="I958" i="11"/>
  <c r="I954" i="11"/>
  <c r="I950" i="11"/>
  <c r="I946" i="11"/>
  <c r="I942" i="11"/>
  <c r="I938" i="11"/>
  <c r="I934" i="11"/>
  <c r="I930" i="11"/>
  <c r="I926" i="11"/>
  <c r="I922" i="11"/>
  <c r="I918" i="11"/>
  <c r="I914" i="11"/>
  <c r="I910" i="11"/>
  <c r="I906" i="11"/>
  <c r="I902" i="11"/>
  <c r="I898" i="11"/>
  <c r="I894" i="11"/>
  <c r="I890" i="11"/>
  <c r="I886" i="11"/>
  <c r="I882" i="11"/>
  <c r="I878" i="11"/>
  <c r="I874" i="11"/>
  <c r="I870" i="11"/>
  <c r="I866" i="11"/>
  <c r="I862" i="11"/>
  <c r="I858" i="11"/>
  <c r="I854" i="11"/>
  <c r="I850" i="11"/>
  <c r="I846" i="11"/>
  <c r="I842" i="11"/>
  <c r="I838" i="11"/>
  <c r="I834" i="11"/>
  <c r="I830" i="11"/>
  <c r="I826" i="11"/>
  <c r="I822" i="11"/>
  <c r="I818" i="11"/>
  <c r="I814" i="11"/>
  <c r="I810" i="11"/>
  <c r="I806" i="11"/>
  <c r="I802" i="11"/>
  <c r="I798" i="11"/>
  <c r="I794" i="11"/>
  <c r="I790" i="11"/>
  <c r="I786" i="11"/>
  <c r="I782" i="11"/>
  <c r="I778" i="11"/>
  <c r="I774" i="11"/>
  <c r="I770" i="11"/>
  <c r="I766" i="11"/>
  <c r="I762" i="11"/>
  <c r="I758" i="11"/>
  <c r="I754" i="11"/>
  <c r="I750" i="11"/>
  <c r="I746" i="11"/>
  <c r="I742" i="11"/>
  <c r="I738" i="11"/>
  <c r="I734" i="11"/>
  <c r="I730" i="11"/>
  <c r="I726" i="11"/>
  <c r="I722" i="11"/>
  <c r="I718" i="11"/>
  <c r="I714" i="11"/>
  <c r="I710" i="11"/>
  <c r="I706" i="11"/>
  <c r="I702" i="11"/>
  <c r="I698" i="11"/>
  <c r="I694" i="11"/>
  <c r="I690" i="11"/>
  <c r="I686" i="11"/>
  <c r="I682" i="11"/>
  <c r="I678" i="11"/>
  <c r="I674" i="11"/>
  <c r="I670" i="11"/>
  <c r="I666" i="11"/>
  <c r="I662" i="11"/>
  <c r="I658" i="11"/>
  <c r="I654" i="11"/>
  <c r="I650" i="11"/>
  <c r="I646" i="11"/>
  <c r="I642" i="11"/>
  <c r="I638" i="11"/>
  <c r="I634" i="11"/>
  <c r="I630" i="11"/>
  <c r="I626" i="11"/>
  <c r="I622" i="11"/>
  <c r="I618" i="11"/>
  <c r="I614" i="11"/>
  <c r="I610" i="11"/>
  <c r="I606" i="11"/>
  <c r="I602" i="11"/>
  <c r="I598" i="11"/>
  <c r="I594" i="11"/>
  <c r="I590" i="11"/>
  <c r="I586" i="11"/>
  <c r="I582" i="11"/>
  <c r="I578" i="11"/>
  <c r="I574" i="11"/>
  <c r="I570" i="11"/>
  <c r="I566" i="11"/>
  <c r="I562" i="11"/>
  <c r="I558" i="11"/>
  <c r="I554" i="11"/>
  <c r="I550" i="11"/>
  <c r="I546" i="11"/>
  <c r="I542" i="11"/>
  <c r="I538" i="11"/>
  <c r="I534" i="11"/>
  <c r="I530" i="11"/>
  <c r="I526" i="11"/>
  <c r="I522" i="11"/>
  <c r="I518" i="11"/>
  <c r="I514" i="11"/>
  <c r="I510" i="11"/>
  <c r="I506" i="11"/>
  <c r="I502" i="11"/>
  <c r="I498" i="11"/>
  <c r="I494" i="11"/>
  <c r="I490" i="11"/>
  <c r="I486" i="11"/>
  <c r="I482" i="11"/>
  <c r="I478" i="11"/>
  <c r="I474" i="11"/>
  <c r="I470" i="11"/>
  <c r="I466" i="11"/>
  <c r="I462" i="11"/>
  <c r="I458" i="11"/>
  <c r="I454" i="11"/>
  <c r="I450" i="11"/>
  <c r="I446" i="11"/>
  <c r="I442" i="11"/>
  <c r="I438" i="11"/>
  <c r="I434" i="11"/>
  <c r="I430" i="11"/>
  <c r="I426" i="11"/>
  <c r="I422" i="11"/>
  <c r="I418" i="11"/>
  <c r="I414" i="11"/>
  <c r="I410" i="11"/>
  <c r="I406" i="11"/>
  <c r="I402" i="11"/>
  <c r="I398" i="11"/>
  <c r="I394" i="11"/>
  <c r="I390" i="11"/>
  <c r="I386" i="11"/>
  <c r="I382" i="11"/>
  <c r="I378" i="11"/>
  <c r="I374" i="11"/>
  <c r="I370" i="11"/>
  <c r="I366" i="11"/>
  <c r="I362" i="11"/>
  <c r="I358" i="11"/>
  <c r="I354" i="11"/>
  <c r="I350" i="11"/>
  <c r="I346" i="11"/>
  <c r="I342" i="11"/>
  <c r="I338" i="11"/>
  <c r="I334" i="11"/>
  <c r="I330" i="11"/>
  <c r="I326" i="11"/>
  <c r="I322" i="11"/>
  <c r="I318" i="11"/>
  <c r="I314" i="11"/>
  <c r="I310" i="11"/>
  <c r="I306" i="11"/>
  <c r="I302" i="11"/>
  <c r="I298" i="11"/>
  <c r="I294" i="11"/>
  <c r="I290" i="11"/>
  <c r="I286" i="11"/>
  <c r="I282" i="11"/>
  <c r="I278" i="11"/>
  <c r="I274" i="11"/>
  <c r="I270" i="11"/>
  <c r="I266" i="11"/>
  <c r="I262" i="11"/>
  <c r="I258" i="11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I186" i="11"/>
  <c r="I182" i="11"/>
  <c r="I178" i="11"/>
  <c r="I174" i="11"/>
  <c r="I170" i="11"/>
  <c r="I166" i="11"/>
  <c r="I162" i="11"/>
  <c r="I158" i="11"/>
  <c r="I154" i="11"/>
  <c r="I150" i="11"/>
  <c r="I146" i="11"/>
  <c r="I142" i="11"/>
  <c r="I138" i="11"/>
  <c r="I134" i="11"/>
  <c r="I130" i="11"/>
  <c r="I126" i="11"/>
  <c r="I122" i="11"/>
  <c r="I118" i="11"/>
  <c r="I114" i="11"/>
  <c r="I110" i="11"/>
  <c r="I106" i="11"/>
  <c r="I102" i="11"/>
  <c r="I98" i="11"/>
  <c r="I94" i="11"/>
  <c r="I90" i="11"/>
  <c r="I86" i="11"/>
  <c r="I82" i="11"/>
  <c r="I78" i="11"/>
  <c r="I74" i="11"/>
  <c r="I70" i="11"/>
  <c r="I66" i="11"/>
  <c r="I62" i="11"/>
  <c r="I58" i="11"/>
  <c r="I54" i="11"/>
  <c r="I50" i="11"/>
  <c r="I46" i="11"/>
  <c r="I42" i="11"/>
  <c r="I38" i="11"/>
  <c r="I34" i="11"/>
  <c r="I30" i="11"/>
  <c r="I26" i="11"/>
  <c r="I22" i="11"/>
  <c r="I18" i="11"/>
  <c r="I14" i="11"/>
  <c r="I10" i="11"/>
  <c r="I6" i="11"/>
  <c r="I2" i="11"/>
  <c r="I997" i="11"/>
  <c r="I992" i="11"/>
  <c r="I987" i="11"/>
  <c r="I981" i="11"/>
  <c r="I976" i="11"/>
  <c r="I971" i="11"/>
  <c r="I965" i="11"/>
  <c r="I960" i="11"/>
  <c r="I955" i="11"/>
  <c r="I949" i="11"/>
  <c r="I944" i="11"/>
  <c r="I939" i="11"/>
  <c r="I933" i="11"/>
  <c r="I928" i="11"/>
  <c r="I923" i="11"/>
  <c r="I917" i="11"/>
  <c r="I912" i="11"/>
  <c r="I907" i="11"/>
  <c r="I901" i="11"/>
  <c r="I896" i="11"/>
  <c r="I891" i="11"/>
  <c r="I885" i="11"/>
  <c r="I880" i="11"/>
  <c r="I875" i="11"/>
  <c r="I869" i="11"/>
  <c r="I864" i="11"/>
  <c r="I859" i="11"/>
  <c r="I853" i="11"/>
  <c r="I848" i="11"/>
  <c r="I843" i="11"/>
  <c r="I837" i="11"/>
  <c r="I832" i="11"/>
  <c r="I827" i="11"/>
  <c r="I821" i="11"/>
  <c r="I816" i="11"/>
  <c r="I811" i="11"/>
  <c r="I805" i="11"/>
  <c r="I800" i="11"/>
  <c r="I795" i="11"/>
  <c r="I789" i="11"/>
  <c r="I784" i="11"/>
  <c r="I779" i="11"/>
  <c r="I773" i="11"/>
  <c r="I768" i="11"/>
  <c r="I763" i="11"/>
  <c r="I757" i="11"/>
  <c r="I752" i="11"/>
  <c r="I747" i="11"/>
  <c r="I741" i="11"/>
  <c r="I736" i="11"/>
  <c r="I731" i="11"/>
  <c r="I725" i="11"/>
  <c r="I720" i="11"/>
  <c r="I715" i="11"/>
  <c r="I709" i="11"/>
  <c r="I704" i="11"/>
  <c r="I699" i="11"/>
  <c r="I693" i="11"/>
  <c r="I688" i="11"/>
  <c r="I683" i="11"/>
  <c r="I677" i="11"/>
  <c r="I672" i="11"/>
  <c r="I667" i="11"/>
  <c r="I661" i="11"/>
  <c r="I656" i="11"/>
  <c r="I651" i="11"/>
  <c r="I645" i="11"/>
  <c r="I640" i="11"/>
  <c r="I635" i="11"/>
  <c r="I629" i="11"/>
  <c r="I624" i="11"/>
  <c r="I619" i="11"/>
  <c r="I613" i="11"/>
  <c r="I608" i="11"/>
  <c r="I603" i="11"/>
  <c r="I597" i="11"/>
  <c r="I592" i="11"/>
  <c r="I587" i="11"/>
  <c r="I581" i="11"/>
  <c r="I576" i="11"/>
  <c r="I571" i="11"/>
  <c r="I565" i="11"/>
  <c r="I560" i="11"/>
  <c r="I555" i="11"/>
  <c r="I549" i="11"/>
  <c r="I544" i="11"/>
  <c r="I539" i="11"/>
  <c r="I533" i="11"/>
  <c r="I528" i="11"/>
  <c r="I523" i="11"/>
  <c r="I517" i="11"/>
  <c r="I512" i="11"/>
  <c r="I507" i="11"/>
  <c r="I501" i="11"/>
  <c r="I496" i="11"/>
  <c r="I491" i="11"/>
  <c r="I485" i="11"/>
  <c r="I480" i="11"/>
  <c r="I475" i="11"/>
  <c r="I469" i="11"/>
  <c r="I464" i="11"/>
  <c r="I459" i="11"/>
  <c r="I453" i="11"/>
  <c r="I448" i="11"/>
  <c r="I443" i="11"/>
  <c r="I437" i="11"/>
  <c r="I432" i="11"/>
  <c r="I427" i="11"/>
  <c r="I421" i="11"/>
  <c r="I416" i="11"/>
  <c r="I411" i="11"/>
  <c r="I405" i="11"/>
  <c r="I400" i="11"/>
  <c r="I395" i="11"/>
  <c r="I389" i="11"/>
  <c r="I384" i="11"/>
  <c r="I379" i="11"/>
  <c r="I373" i="11"/>
  <c r="I368" i="11"/>
  <c r="I363" i="11"/>
  <c r="I357" i="11"/>
  <c r="I352" i="11"/>
  <c r="I347" i="11"/>
  <c r="I341" i="11"/>
  <c r="I336" i="11"/>
  <c r="I331" i="11"/>
  <c r="I325" i="11"/>
  <c r="I320" i="11"/>
  <c r="I315" i="11"/>
  <c r="I309" i="11"/>
  <c r="I304" i="11"/>
  <c r="I299" i="11"/>
  <c r="I293" i="11"/>
  <c r="I288" i="11"/>
  <c r="I283" i="11"/>
  <c r="I277" i="11"/>
  <c r="I272" i="11"/>
  <c r="I267" i="11"/>
  <c r="I261" i="11"/>
  <c r="I256" i="11"/>
  <c r="I251" i="11"/>
  <c r="I245" i="11"/>
  <c r="I240" i="11"/>
  <c r="I235" i="11"/>
  <c r="I229" i="11"/>
  <c r="I224" i="11"/>
  <c r="I219" i="11"/>
  <c r="I213" i="11"/>
  <c r="I208" i="11"/>
  <c r="I203" i="11"/>
  <c r="I197" i="11"/>
  <c r="I192" i="11"/>
  <c r="I187" i="11"/>
  <c r="I181" i="11"/>
  <c r="I176" i="11"/>
  <c r="I171" i="11"/>
  <c r="I165" i="11"/>
  <c r="I160" i="11"/>
  <c r="I155" i="11"/>
  <c r="I149" i="11"/>
  <c r="I144" i="11"/>
  <c r="I139" i="11"/>
  <c r="I133" i="11"/>
  <c r="I128" i="11"/>
  <c r="I123" i="11"/>
  <c r="I117" i="11"/>
  <c r="I112" i="11"/>
  <c r="I107" i="11"/>
  <c r="I101" i="11"/>
  <c r="I96" i="11"/>
  <c r="I91" i="11"/>
  <c r="I85" i="11"/>
  <c r="I80" i="11"/>
  <c r="I75" i="11"/>
  <c r="I69" i="11"/>
  <c r="I64" i="11"/>
  <c r="I59" i="11"/>
  <c r="I53" i="11"/>
  <c r="I48" i="11"/>
  <c r="I43" i="11"/>
  <c r="I37" i="11"/>
  <c r="I32" i="11"/>
  <c r="I27" i="11"/>
  <c r="I21" i="11"/>
  <c r="I16" i="11"/>
  <c r="I11" i="11"/>
  <c r="I5" i="11"/>
  <c r="I1" i="11"/>
  <c r="I1000" i="11"/>
  <c r="I995" i="11"/>
  <c r="I989" i="11"/>
  <c r="I984" i="11"/>
  <c r="I979" i="11"/>
  <c r="I973" i="11"/>
  <c r="I968" i="11"/>
  <c r="I963" i="11"/>
  <c r="I957" i="11"/>
  <c r="I952" i="11"/>
  <c r="I947" i="11"/>
  <c r="I941" i="11"/>
  <c r="I936" i="11"/>
  <c r="I931" i="11"/>
  <c r="I925" i="11"/>
  <c r="I920" i="11"/>
  <c r="I915" i="11"/>
  <c r="I909" i="11"/>
  <c r="I904" i="11"/>
  <c r="I899" i="11"/>
  <c r="I893" i="11"/>
  <c r="I888" i="11"/>
  <c r="I883" i="11"/>
  <c r="I877" i="11"/>
  <c r="I872" i="11"/>
  <c r="I867" i="11"/>
  <c r="I861" i="11"/>
  <c r="I856" i="11"/>
  <c r="I851" i="11"/>
  <c r="I845" i="11"/>
  <c r="I840" i="11"/>
  <c r="I835" i="11"/>
  <c r="I829" i="11"/>
  <c r="I824" i="11"/>
  <c r="I819" i="11"/>
  <c r="I813" i="11"/>
  <c r="I808" i="11"/>
  <c r="I803" i="11"/>
  <c r="I797" i="11"/>
  <c r="I792" i="11"/>
  <c r="I787" i="11"/>
  <c r="I781" i="11"/>
  <c r="I776" i="11"/>
  <c r="I771" i="11"/>
  <c r="I765" i="11"/>
  <c r="I760" i="11"/>
  <c r="I755" i="11"/>
  <c r="I749" i="11"/>
  <c r="I744" i="11"/>
  <c r="I739" i="11"/>
  <c r="I733" i="11"/>
  <c r="I728" i="11"/>
  <c r="I723" i="11"/>
  <c r="I717" i="11"/>
  <c r="I712" i="11"/>
  <c r="I707" i="11"/>
  <c r="I701" i="11"/>
  <c r="I696" i="11"/>
  <c r="I691" i="11"/>
  <c r="I685" i="11"/>
  <c r="I680" i="11"/>
  <c r="I675" i="11"/>
  <c r="I669" i="11"/>
  <c r="I664" i="11"/>
  <c r="I659" i="11"/>
  <c r="I653" i="11"/>
  <c r="I648" i="11"/>
  <c r="I643" i="11"/>
  <c r="I637" i="11"/>
  <c r="I632" i="11"/>
  <c r="I627" i="11"/>
  <c r="I621" i="11"/>
  <c r="I616" i="11"/>
  <c r="I611" i="11"/>
  <c r="I605" i="11"/>
  <c r="I600" i="11"/>
  <c r="I595" i="11"/>
  <c r="I589" i="11"/>
  <c r="I584" i="11"/>
  <c r="I579" i="11"/>
  <c r="I573" i="11"/>
  <c r="I568" i="11"/>
  <c r="I563" i="11"/>
  <c r="I557" i="11"/>
  <c r="I552" i="11"/>
  <c r="I547" i="11"/>
  <c r="I541" i="11"/>
  <c r="I536" i="11"/>
  <c r="I531" i="11"/>
  <c r="I525" i="11"/>
  <c r="I520" i="11"/>
  <c r="I515" i="11"/>
  <c r="I509" i="11"/>
  <c r="I504" i="11"/>
  <c r="I499" i="11"/>
  <c r="I493" i="11"/>
  <c r="I488" i="11"/>
  <c r="I483" i="11"/>
  <c r="I477" i="11"/>
  <c r="I472" i="11"/>
  <c r="I467" i="11"/>
  <c r="I461" i="11"/>
  <c r="I456" i="11"/>
  <c r="I451" i="11"/>
  <c r="I445" i="11"/>
  <c r="I440" i="11"/>
  <c r="I435" i="11"/>
  <c r="I429" i="11"/>
  <c r="I424" i="11"/>
  <c r="I419" i="11"/>
  <c r="I413" i="11"/>
  <c r="I408" i="11"/>
  <c r="I403" i="11"/>
  <c r="I397" i="11"/>
  <c r="I392" i="11"/>
  <c r="I387" i="11"/>
  <c r="I381" i="11"/>
  <c r="I376" i="11"/>
  <c r="I991" i="11"/>
  <c r="I980" i="11"/>
  <c r="I969" i="11"/>
  <c r="I959" i="11"/>
  <c r="I948" i="11"/>
  <c r="I937" i="11"/>
  <c r="I927" i="11"/>
  <c r="I916" i="11"/>
  <c r="I905" i="11"/>
  <c r="I895" i="11"/>
  <c r="I884" i="11"/>
  <c r="I873" i="11"/>
  <c r="I863" i="11"/>
  <c r="I852" i="11"/>
  <c r="I841" i="11"/>
  <c r="I831" i="11"/>
  <c r="I820" i="11"/>
  <c r="I809" i="11"/>
  <c r="I799" i="11"/>
  <c r="I788" i="11"/>
  <c r="I777" i="11"/>
  <c r="I767" i="11"/>
  <c r="I756" i="11"/>
  <c r="I745" i="11"/>
  <c r="I735" i="11"/>
  <c r="I724" i="11"/>
  <c r="I713" i="11"/>
  <c r="I703" i="11"/>
  <c r="I692" i="11"/>
  <c r="I681" i="11"/>
  <c r="I671" i="11"/>
  <c r="I660" i="11"/>
  <c r="I649" i="11"/>
  <c r="I639" i="11"/>
  <c r="I628" i="11"/>
  <c r="I617" i="11"/>
  <c r="I607" i="11"/>
  <c r="I596" i="11"/>
  <c r="I585" i="11"/>
  <c r="I575" i="11"/>
  <c r="I564" i="11"/>
  <c r="I553" i="11"/>
  <c r="I543" i="11"/>
  <c r="I532" i="11"/>
  <c r="I521" i="11"/>
  <c r="I511" i="11"/>
  <c r="I500" i="11"/>
  <c r="I489" i="11"/>
  <c r="I479" i="11"/>
  <c r="I468" i="11"/>
  <c r="I457" i="11"/>
  <c r="I447" i="11"/>
  <c r="I436" i="11"/>
  <c r="I425" i="11"/>
  <c r="I415" i="11"/>
  <c r="I404" i="11"/>
  <c r="I393" i="11"/>
  <c r="I383" i="11"/>
  <c r="I372" i="11"/>
  <c r="I365" i="11"/>
  <c r="I359" i="11"/>
  <c r="I351" i="11"/>
  <c r="I344" i="11"/>
  <c r="I337" i="11"/>
  <c r="I329" i="11"/>
  <c r="I323" i="11"/>
  <c r="I316" i="11"/>
  <c r="I308" i="11"/>
  <c r="I301" i="11"/>
  <c r="I295" i="11"/>
  <c r="I287" i="11"/>
  <c r="I280" i="11"/>
  <c r="I273" i="11"/>
  <c r="I265" i="11"/>
  <c r="I259" i="11"/>
  <c r="I252" i="11"/>
  <c r="I244" i="11"/>
  <c r="I237" i="11"/>
  <c r="I231" i="11"/>
  <c r="I223" i="11"/>
  <c r="I216" i="11"/>
  <c r="I209" i="11"/>
  <c r="I201" i="11"/>
  <c r="I195" i="11"/>
  <c r="I188" i="11"/>
  <c r="I180" i="11"/>
  <c r="I173" i="11"/>
  <c r="I167" i="11"/>
  <c r="I159" i="11"/>
  <c r="I152" i="11"/>
  <c r="I145" i="11"/>
  <c r="I137" i="11"/>
  <c r="I131" i="11"/>
  <c r="I124" i="11"/>
  <c r="I116" i="11"/>
  <c r="I109" i="11"/>
  <c r="I103" i="11"/>
  <c r="I95" i="11"/>
  <c r="I88" i="11"/>
  <c r="I81" i="11"/>
  <c r="I73" i="11"/>
  <c r="I67" i="11"/>
  <c r="I60" i="11"/>
  <c r="I52" i="11"/>
  <c r="I45" i="11"/>
  <c r="I39" i="11"/>
  <c r="I31" i="11"/>
  <c r="I24" i="11"/>
  <c r="I17" i="11"/>
  <c r="I9" i="11"/>
  <c r="I3" i="11"/>
  <c r="I996" i="11"/>
  <c r="I985" i="11"/>
  <c r="I975" i="11"/>
  <c r="I964" i="11"/>
  <c r="I953" i="11"/>
  <c r="I943" i="11"/>
  <c r="I932" i="11"/>
  <c r="I921" i="11"/>
  <c r="I911" i="11"/>
  <c r="I900" i="11"/>
  <c r="I889" i="11"/>
  <c r="I879" i="11"/>
  <c r="I868" i="11"/>
  <c r="I857" i="11"/>
  <c r="I847" i="11"/>
  <c r="I836" i="11"/>
  <c r="I825" i="11"/>
  <c r="I815" i="11"/>
  <c r="I804" i="11"/>
  <c r="I793" i="11"/>
  <c r="I783" i="11"/>
  <c r="I772" i="11"/>
  <c r="I761" i="11"/>
  <c r="I751" i="11"/>
  <c r="I740" i="11"/>
  <c r="I729" i="11"/>
  <c r="I719" i="11"/>
  <c r="I708" i="11"/>
  <c r="I697" i="11"/>
  <c r="I687" i="11"/>
  <c r="I676" i="11"/>
  <c r="I665" i="11"/>
  <c r="I655" i="11"/>
  <c r="I644" i="11"/>
  <c r="I633" i="11"/>
  <c r="I623" i="11"/>
  <c r="I612" i="11"/>
  <c r="I601" i="11"/>
  <c r="I591" i="11"/>
  <c r="I580" i="11"/>
  <c r="I569" i="11"/>
  <c r="I559" i="11"/>
  <c r="I548" i="11"/>
  <c r="I537" i="11"/>
  <c r="I527" i="11"/>
  <c r="I516" i="11"/>
  <c r="I505" i="11"/>
  <c r="I495" i="11"/>
  <c r="I484" i="11"/>
  <c r="I473" i="11"/>
  <c r="I463" i="11"/>
  <c r="I452" i="11"/>
  <c r="I441" i="11"/>
  <c r="I431" i="11"/>
  <c r="I420" i="11"/>
  <c r="I409" i="11"/>
  <c r="I399" i="11"/>
  <c r="I388" i="11"/>
  <c r="I377" i="11"/>
  <c r="I369" i="11"/>
  <c r="I361" i="11"/>
  <c r="I355" i="11"/>
  <c r="I348" i="11"/>
  <c r="I340" i="11"/>
  <c r="I333" i="11"/>
  <c r="I327" i="11"/>
  <c r="I319" i="11"/>
  <c r="I312" i="11"/>
  <c r="I305" i="11"/>
  <c r="I297" i="11"/>
  <c r="I291" i="11"/>
  <c r="I284" i="11"/>
  <c r="I276" i="11"/>
  <c r="I269" i="11"/>
  <c r="I263" i="11"/>
  <c r="I255" i="11"/>
  <c r="I248" i="11"/>
  <c r="I241" i="11"/>
  <c r="I233" i="11"/>
  <c r="I227" i="11"/>
  <c r="I220" i="11"/>
  <c r="I212" i="11"/>
  <c r="I205" i="11"/>
  <c r="I199" i="11"/>
  <c r="I191" i="11"/>
  <c r="I184" i="11"/>
  <c r="I177" i="11"/>
  <c r="I169" i="11"/>
  <c r="I163" i="11"/>
  <c r="I156" i="11"/>
  <c r="I148" i="11"/>
  <c r="I141" i="11"/>
  <c r="I135" i="11"/>
  <c r="I127" i="11"/>
  <c r="I120" i="11"/>
  <c r="I113" i="11"/>
  <c r="I105" i="11"/>
  <c r="I99" i="11"/>
  <c r="I92" i="11"/>
  <c r="I84" i="11"/>
  <c r="I77" i="11"/>
  <c r="I71" i="11"/>
  <c r="I63" i="11"/>
  <c r="I56" i="11"/>
  <c r="I49" i="11"/>
  <c r="I41" i="11"/>
  <c r="I35" i="11"/>
  <c r="I28" i="11"/>
  <c r="I20" i="11"/>
  <c r="I13" i="11"/>
  <c r="I7" i="11"/>
  <c r="I993" i="11"/>
  <c r="I972" i="11"/>
  <c r="I951" i="11"/>
  <c r="I929" i="11"/>
  <c r="I908" i="11"/>
  <c r="I887" i="11"/>
  <c r="I865" i="11"/>
  <c r="I844" i="11"/>
  <c r="I823" i="11"/>
  <c r="I801" i="11"/>
  <c r="I780" i="11"/>
  <c r="I759" i="11"/>
  <c r="I737" i="11"/>
  <c r="I716" i="11"/>
  <c r="I695" i="11"/>
  <c r="I673" i="11"/>
  <c r="I652" i="11"/>
  <c r="I631" i="11"/>
  <c r="I609" i="11"/>
  <c r="I588" i="11"/>
  <c r="I567" i="11"/>
  <c r="I545" i="11"/>
  <c r="I524" i="11"/>
  <c r="I503" i="11"/>
  <c r="I481" i="11"/>
  <c r="I460" i="11"/>
  <c r="I439" i="11"/>
  <c r="I417" i="11"/>
  <c r="I396" i="11"/>
  <c r="I375" i="11"/>
  <c r="I360" i="11"/>
  <c r="I345" i="11"/>
  <c r="I332" i="11"/>
  <c r="I317" i="11"/>
  <c r="I303" i="11"/>
  <c r="I289" i="11"/>
  <c r="I275" i="11"/>
  <c r="I260" i="11"/>
  <c r="I247" i="11"/>
  <c r="I232" i="11"/>
  <c r="I217" i="11"/>
  <c r="I204" i="11"/>
  <c r="I189" i="11"/>
  <c r="I175" i="11"/>
  <c r="I161" i="11"/>
  <c r="I147" i="11"/>
  <c r="I132" i="11"/>
  <c r="I119" i="11"/>
  <c r="I104" i="11"/>
  <c r="I89" i="11"/>
  <c r="I76" i="11"/>
  <c r="I61" i="11"/>
  <c r="I47" i="11"/>
  <c r="I33" i="11"/>
  <c r="I19" i="11"/>
  <c r="I4" i="11"/>
  <c r="I983" i="11"/>
  <c r="I961" i="11"/>
  <c r="I940" i="11"/>
  <c r="I919" i="11"/>
  <c r="I897" i="11"/>
  <c r="I876" i="11"/>
  <c r="I855" i="11"/>
  <c r="I833" i="11"/>
  <c r="I812" i="11"/>
  <c r="I791" i="11"/>
  <c r="I769" i="11"/>
  <c r="I748" i="11"/>
  <c r="I727" i="11"/>
  <c r="I705" i="11"/>
  <c r="I684" i="11"/>
  <c r="I663" i="11"/>
  <c r="I641" i="11"/>
  <c r="I620" i="11"/>
  <c r="I599" i="11"/>
  <c r="I577" i="11"/>
  <c r="I556" i="11"/>
  <c r="I535" i="11"/>
  <c r="I513" i="11"/>
  <c r="I492" i="11"/>
  <c r="I471" i="11"/>
  <c r="I449" i="11"/>
  <c r="I428" i="11"/>
  <c r="I407" i="11"/>
  <c r="I385" i="11"/>
  <c r="I367" i="11"/>
  <c r="I353" i="11"/>
  <c r="I339" i="11"/>
  <c r="I324" i="11"/>
  <c r="I311" i="11"/>
  <c r="I296" i="11"/>
  <c r="I281" i="11"/>
  <c r="I268" i="11"/>
  <c r="I253" i="11"/>
  <c r="I239" i="11"/>
  <c r="I225" i="11"/>
  <c r="I211" i="11"/>
  <c r="I196" i="11"/>
  <c r="I183" i="11"/>
  <c r="I168" i="11"/>
  <c r="I153" i="11"/>
  <c r="I140" i="11"/>
  <c r="I125" i="11"/>
  <c r="I111" i="11"/>
  <c r="I97" i="11"/>
  <c r="I83" i="11"/>
  <c r="I68" i="11"/>
  <c r="I55" i="11"/>
  <c r="I40" i="11"/>
  <c r="I25" i="11"/>
  <c r="I12" i="11"/>
  <c r="I967" i="11"/>
  <c r="I924" i="11"/>
  <c r="I881" i="11"/>
  <c r="I839" i="11"/>
  <c r="I796" i="11"/>
  <c r="I753" i="11"/>
  <c r="I711" i="11"/>
  <c r="I668" i="11"/>
  <c r="I625" i="11"/>
  <c r="I583" i="11"/>
  <c r="I540" i="11"/>
  <c r="I497" i="11"/>
  <c r="I455" i="11"/>
  <c r="I412" i="11"/>
  <c r="I371" i="11"/>
  <c r="I343" i="11"/>
  <c r="I313" i="11"/>
  <c r="I285" i="11"/>
  <c r="I257" i="11"/>
  <c r="I228" i="11"/>
  <c r="I200" i="11"/>
  <c r="I172" i="11"/>
  <c r="I143" i="11"/>
  <c r="I115" i="11"/>
  <c r="I87" i="11"/>
  <c r="I57" i="11"/>
  <c r="I29" i="11"/>
  <c r="I988" i="11"/>
  <c r="I945" i="11"/>
  <c r="I903" i="11"/>
  <c r="I860" i="11"/>
  <c r="I817" i="11"/>
  <c r="I775" i="11"/>
  <c r="I732" i="11"/>
  <c r="I689" i="11"/>
  <c r="I647" i="11"/>
  <c r="I604" i="11"/>
  <c r="I561" i="11"/>
  <c r="I519" i="11"/>
  <c r="I476" i="11"/>
  <c r="I433" i="11"/>
  <c r="I391" i="11"/>
  <c r="I356" i="11"/>
  <c r="I328" i="11"/>
  <c r="I300" i="11"/>
  <c r="I271" i="11"/>
  <c r="I243" i="11"/>
  <c r="I215" i="11"/>
  <c r="I185" i="11"/>
  <c r="I157" i="11"/>
  <c r="I129" i="11"/>
  <c r="I100" i="11"/>
  <c r="I72" i="11"/>
  <c r="I44" i="11"/>
  <c r="I15" i="11"/>
  <c r="I977" i="11"/>
  <c r="I935" i="11"/>
  <c r="I892" i="11"/>
  <c r="I849" i="11"/>
  <c r="I807" i="11"/>
  <c r="I764" i="11"/>
  <c r="I721" i="11"/>
  <c r="I679" i="11"/>
  <c r="I636" i="11"/>
  <c r="I593" i="11"/>
  <c r="I551" i="11"/>
  <c r="I508" i="11"/>
  <c r="I465" i="11"/>
  <c r="I423" i="11"/>
  <c r="I380" i="11"/>
  <c r="I349" i="11"/>
  <c r="I321" i="11"/>
  <c r="I292" i="11"/>
  <c r="I264" i="11"/>
  <c r="I236" i="11"/>
  <c r="I207" i="11"/>
  <c r="I179" i="11"/>
  <c r="I151" i="11"/>
  <c r="I121" i="11"/>
  <c r="I93" i="11"/>
  <c r="I65" i="11"/>
  <c r="I36" i="11"/>
  <c r="I8" i="11"/>
  <c r="I956" i="11"/>
  <c r="I785" i="11"/>
  <c r="I615" i="11"/>
  <c r="I444" i="11"/>
  <c r="I307" i="11"/>
  <c r="I193" i="11"/>
  <c r="I79" i="11"/>
  <c r="I999" i="11"/>
  <c r="I828" i="11"/>
  <c r="I657" i="11"/>
  <c r="I487" i="11"/>
  <c r="I335" i="11"/>
  <c r="I221" i="11"/>
  <c r="I108" i="11"/>
  <c r="I913" i="11"/>
  <c r="I743" i="11"/>
  <c r="I572" i="11"/>
  <c r="I401" i="11"/>
  <c r="I279" i="11"/>
  <c r="I164" i="11"/>
  <c r="I51" i="11"/>
  <c r="I871" i="11"/>
  <c r="I700" i="11"/>
  <c r="I529" i="11"/>
  <c r="I364" i="11"/>
  <c r="I249" i="11"/>
  <c r="I136" i="11"/>
  <c r="I23" i="11"/>
  <c r="I999" i="10"/>
  <c r="I995" i="10"/>
  <c r="I991" i="10"/>
  <c r="I987" i="10"/>
  <c r="I983" i="10"/>
  <c r="I979" i="10"/>
  <c r="I975" i="10"/>
  <c r="I971" i="10"/>
  <c r="I967" i="10"/>
  <c r="I963" i="10"/>
  <c r="I959" i="10"/>
  <c r="I955" i="10"/>
  <c r="I951" i="10"/>
  <c r="I947" i="10"/>
  <c r="I943" i="10"/>
  <c r="I939" i="10"/>
  <c r="I935" i="10"/>
  <c r="I931" i="10"/>
  <c r="I927" i="10"/>
  <c r="I923" i="10"/>
  <c r="I919" i="10"/>
  <c r="I915" i="10"/>
  <c r="I911" i="10"/>
  <c r="I907" i="10"/>
  <c r="I903" i="10"/>
  <c r="I899" i="10"/>
  <c r="I895" i="10"/>
  <c r="I891" i="10"/>
  <c r="I887" i="10"/>
  <c r="I883" i="10"/>
  <c r="I879" i="10"/>
  <c r="I875" i="10"/>
  <c r="I871" i="10"/>
  <c r="I867" i="10"/>
  <c r="I863" i="10"/>
  <c r="I859" i="10"/>
  <c r="I855" i="10"/>
  <c r="I851" i="10"/>
  <c r="I847" i="10"/>
  <c r="I843" i="10"/>
  <c r="I839" i="10"/>
  <c r="I835" i="10"/>
  <c r="I831" i="10"/>
  <c r="I827" i="10"/>
  <c r="I823" i="10"/>
  <c r="I819" i="10"/>
  <c r="I815" i="10"/>
  <c r="I811" i="10"/>
  <c r="I807" i="10"/>
  <c r="I803" i="10"/>
  <c r="I799" i="10"/>
  <c r="I795" i="10"/>
  <c r="I791" i="10"/>
  <c r="I787" i="10"/>
  <c r="I783" i="10"/>
  <c r="I779" i="10"/>
  <c r="I775" i="10"/>
  <c r="I771" i="10"/>
  <c r="I767" i="10"/>
  <c r="I763" i="10"/>
  <c r="I759" i="10"/>
  <c r="I755" i="10"/>
  <c r="I751" i="10"/>
  <c r="I747" i="10"/>
  <c r="I743" i="10"/>
  <c r="I739" i="10"/>
  <c r="I735" i="10"/>
  <c r="I731" i="10"/>
  <c r="I727" i="10"/>
  <c r="I723" i="10"/>
  <c r="I719" i="10"/>
  <c r="I715" i="10"/>
  <c r="I711" i="10"/>
  <c r="I707" i="10"/>
  <c r="I703" i="10"/>
  <c r="I699" i="10"/>
  <c r="I695" i="10"/>
  <c r="I691" i="10"/>
  <c r="I687" i="10"/>
  <c r="I683" i="10"/>
  <c r="I679" i="10"/>
  <c r="I675" i="10"/>
  <c r="I671" i="10"/>
  <c r="I667" i="10"/>
  <c r="I663" i="10"/>
  <c r="I659" i="10"/>
  <c r="I655" i="10"/>
  <c r="I651" i="10"/>
  <c r="I647" i="10"/>
  <c r="I643" i="10"/>
  <c r="I639" i="10"/>
  <c r="I635" i="10"/>
  <c r="I631" i="10"/>
  <c r="I627" i="10"/>
  <c r="I623" i="10"/>
  <c r="I619" i="10"/>
  <c r="I615" i="10"/>
  <c r="I611" i="10"/>
  <c r="I607" i="10"/>
  <c r="I603" i="10"/>
  <c r="I599" i="10"/>
  <c r="I595" i="10"/>
  <c r="I591" i="10"/>
  <c r="I587" i="10"/>
  <c r="I583" i="10"/>
  <c r="I579" i="10"/>
  <c r="I575" i="10"/>
  <c r="I571" i="10"/>
  <c r="I567" i="10"/>
  <c r="I563" i="10"/>
  <c r="I559" i="10"/>
  <c r="I555" i="10"/>
  <c r="I551" i="10"/>
  <c r="I547" i="10"/>
  <c r="I543" i="10"/>
  <c r="I539" i="10"/>
  <c r="I535" i="10"/>
  <c r="I531" i="10"/>
  <c r="I527" i="10"/>
  <c r="I523" i="10"/>
  <c r="I519" i="10"/>
  <c r="I515" i="10"/>
  <c r="I511" i="10"/>
  <c r="I507" i="10"/>
  <c r="I503" i="10"/>
  <c r="I499" i="10"/>
  <c r="I495" i="10"/>
  <c r="I491" i="10"/>
  <c r="I487" i="10"/>
  <c r="I483" i="10"/>
  <c r="I479" i="10"/>
  <c r="I475" i="10"/>
  <c r="I471" i="10"/>
  <c r="I467" i="10"/>
  <c r="I463" i="10"/>
  <c r="I459" i="10"/>
  <c r="I455" i="10"/>
  <c r="I451" i="10"/>
  <c r="I447" i="10"/>
  <c r="I443" i="10"/>
  <c r="I439" i="10"/>
  <c r="I435" i="10"/>
  <c r="I431" i="10"/>
  <c r="I427" i="10"/>
  <c r="I423" i="10"/>
  <c r="I419" i="10"/>
  <c r="I415" i="10"/>
  <c r="I411" i="10"/>
  <c r="I407" i="10"/>
  <c r="I403" i="10"/>
  <c r="I399" i="10"/>
  <c r="I395" i="10"/>
  <c r="I391" i="10"/>
  <c r="I387" i="10"/>
  <c r="I383" i="10"/>
  <c r="I379" i="10"/>
  <c r="I375" i="10"/>
  <c r="I371" i="10"/>
  <c r="I367" i="10"/>
  <c r="I363" i="10"/>
  <c r="I359" i="10"/>
  <c r="I355" i="10"/>
  <c r="I351" i="10"/>
  <c r="I347" i="10"/>
  <c r="I343" i="10"/>
  <c r="I339" i="10"/>
  <c r="I335" i="10"/>
  <c r="I331" i="10"/>
  <c r="I327" i="10"/>
  <c r="I323" i="10"/>
  <c r="I319" i="10"/>
  <c r="I315" i="10"/>
  <c r="I311" i="10"/>
  <c r="I307" i="10"/>
  <c r="I303" i="10"/>
  <c r="I299" i="10"/>
  <c r="I295" i="10"/>
  <c r="I291" i="10"/>
  <c r="I287" i="10"/>
  <c r="I283" i="10"/>
  <c r="I279" i="10"/>
  <c r="I275" i="10"/>
  <c r="I271" i="10"/>
  <c r="I267" i="10"/>
  <c r="I263" i="10"/>
  <c r="I259" i="10"/>
  <c r="I255" i="10"/>
  <c r="I251" i="10"/>
  <c r="I247" i="10"/>
  <c r="I243" i="10"/>
  <c r="I239" i="10"/>
  <c r="I235" i="10"/>
  <c r="I231" i="10"/>
  <c r="I227" i="10"/>
  <c r="I223" i="10"/>
  <c r="I219" i="10"/>
  <c r="I215" i="10"/>
  <c r="I211" i="10"/>
  <c r="I207" i="10"/>
  <c r="I203" i="10"/>
  <c r="I199" i="10"/>
  <c r="I195" i="10"/>
  <c r="I191" i="10"/>
  <c r="I187" i="10"/>
  <c r="I183" i="10"/>
  <c r="I179" i="10"/>
  <c r="I175" i="10"/>
  <c r="I171" i="10"/>
  <c r="I167" i="10"/>
  <c r="I163" i="10"/>
  <c r="I159" i="10"/>
  <c r="I155" i="10"/>
  <c r="I151" i="10"/>
  <c r="I147" i="10"/>
  <c r="I143" i="10"/>
  <c r="I139" i="10"/>
  <c r="I135" i="10"/>
  <c r="I131" i="10"/>
  <c r="I127" i="10"/>
  <c r="I123" i="10"/>
  <c r="I119" i="10"/>
  <c r="I115" i="10"/>
  <c r="I111" i="10"/>
  <c r="I107" i="10"/>
  <c r="I103" i="10"/>
  <c r="I99" i="10"/>
  <c r="I95" i="10"/>
  <c r="I91" i="10"/>
  <c r="I87" i="10"/>
  <c r="I83" i="10"/>
  <c r="I79" i="10"/>
  <c r="I75" i="10"/>
  <c r="I71" i="10"/>
  <c r="I67" i="10"/>
  <c r="I63" i="10"/>
  <c r="I59" i="10"/>
  <c r="I55" i="10"/>
  <c r="I51" i="10"/>
  <c r="I47" i="10"/>
  <c r="I43" i="10"/>
  <c r="I39" i="10"/>
  <c r="I35" i="10"/>
  <c r="I31" i="10"/>
  <c r="I27" i="10"/>
  <c r="I23" i="10"/>
  <c r="I19" i="10"/>
  <c r="I15" i="10"/>
  <c r="I11" i="10"/>
  <c r="I7" i="10"/>
  <c r="I3" i="10"/>
  <c r="I998" i="10"/>
  <c r="I993" i="10"/>
  <c r="I988" i="10"/>
  <c r="I982" i="10"/>
  <c r="I977" i="10"/>
  <c r="I972" i="10"/>
  <c r="I966" i="10"/>
  <c r="I961" i="10"/>
  <c r="I956" i="10"/>
  <c r="I950" i="10"/>
  <c r="I945" i="10"/>
  <c r="I940" i="10"/>
  <c r="I934" i="10"/>
  <c r="I929" i="10"/>
  <c r="I924" i="10"/>
  <c r="I918" i="10"/>
  <c r="I913" i="10"/>
  <c r="I908" i="10"/>
  <c r="I902" i="10"/>
  <c r="I897" i="10"/>
  <c r="I892" i="10"/>
  <c r="I886" i="10"/>
  <c r="I881" i="10"/>
  <c r="I876" i="10"/>
  <c r="I870" i="10"/>
  <c r="I865" i="10"/>
  <c r="I860" i="10"/>
  <c r="I854" i="10"/>
  <c r="I849" i="10"/>
  <c r="I844" i="10"/>
  <c r="I838" i="10"/>
  <c r="I833" i="10"/>
  <c r="I828" i="10"/>
  <c r="I822" i="10"/>
  <c r="I817" i="10"/>
  <c r="I812" i="10"/>
  <c r="I806" i="10"/>
  <c r="I801" i="10"/>
  <c r="I796" i="10"/>
  <c r="I790" i="10"/>
  <c r="I785" i="10"/>
  <c r="I780" i="10"/>
  <c r="I774" i="10"/>
  <c r="I769" i="10"/>
  <c r="I764" i="10"/>
  <c r="I758" i="10"/>
  <c r="I753" i="10"/>
  <c r="I748" i="10"/>
  <c r="I742" i="10"/>
  <c r="I737" i="10"/>
  <c r="I732" i="10"/>
  <c r="I726" i="10"/>
  <c r="I721" i="10"/>
  <c r="I716" i="10"/>
  <c r="I710" i="10"/>
  <c r="I705" i="10"/>
  <c r="I700" i="10"/>
  <c r="I694" i="10"/>
  <c r="I689" i="10"/>
  <c r="I684" i="10"/>
  <c r="I678" i="10"/>
  <c r="I673" i="10"/>
  <c r="I668" i="10"/>
  <c r="I662" i="10"/>
  <c r="I657" i="10"/>
  <c r="I652" i="10"/>
  <c r="I646" i="10"/>
  <c r="I641" i="10"/>
  <c r="I636" i="10"/>
  <c r="I630" i="10"/>
  <c r="I625" i="10"/>
  <c r="I620" i="10"/>
  <c r="I614" i="10"/>
  <c r="I609" i="10"/>
  <c r="I604" i="10"/>
  <c r="I598" i="10"/>
  <c r="I593" i="10"/>
  <c r="I588" i="10"/>
  <c r="I582" i="10"/>
  <c r="I577" i="10"/>
  <c r="I572" i="10"/>
  <c r="I566" i="10"/>
  <c r="I561" i="10"/>
  <c r="I556" i="10"/>
  <c r="I550" i="10"/>
  <c r="I545" i="10"/>
  <c r="I540" i="10"/>
  <c r="I534" i="10"/>
  <c r="I529" i="10"/>
  <c r="I524" i="10"/>
  <c r="I518" i="10"/>
  <c r="I513" i="10"/>
  <c r="I508" i="10"/>
  <c r="I502" i="10"/>
  <c r="I497" i="10"/>
  <c r="I492" i="10"/>
  <c r="I486" i="10"/>
  <c r="I481" i="10"/>
  <c r="I476" i="10"/>
  <c r="I470" i="10"/>
  <c r="I465" i="10"/>
  <c r="I460" i="10"/>
  <c r="I454" i="10"/>
  <c r="I449" i="10"/>
  <c r="I444" i="10"/>
  <c r="I438" i="10"/>
  <c r="I433" i="10"/>
  <c r="I428" i="10"/>
  <c r="I422" i="10"/>
  <c r="I417" i="10"/>
  <c r="I412" i="10"/>
  <c r="I406" i="10"/>
  <c r="I401" i="10"/>
  <c r="I396" i="10"/>
  <c r="I390" i="10"/>
  <c r="I385" i="10"/>
  <c r="I380" i="10"/>
  <c r="I374" i="10"/>
  <c r="I369" i="10"/>
  <c r="I364" i="10"/>
  <c r="I358" i="10"/>
  <c r="I353" i="10"/>
  <c r="I348" i="10"/>
  <c r="I342" i="10"/>
  <c r="I337" i="10"/>
  <c r="I332" i="10"/>
  <c r="I326" i="10"/>
  <c r="I321" i="10"/>
  <c r="I316" i="10"/>
  <c r="I310" i="10"/>
  <c r="I305" i="10"/>
  <c r="I300" i="10"/>
  <c r="I294" i="10"/>
  <c r="I289" i="10"/>
  <c r="I284" i="10"/>
  <c r="I278" i="10"/>
  <c r="I273" i="10"/>
  <c r="I268" i="10"/>
  <c r="I262" i="10"/>
  <c r="I257" i="10"/>
  <c r="I252" i="10"/>
  <c r="I246" i="10"/>
  <c r="I241" i="10"/>
  <c r="I236" i="10"/>
  <c r="I230" i="10"/>
  <c r="I225" i="10"/>
  <c r="I220" i="10"/>
  <c r="I214" i="10"/>
  <c r="I209" i="10"/>
  <c r="I204" i="10"/>
  <c r="I198" i="10"/>
  <c r="I193" i="10"/>
  <c r="I188" i="10"/>
  <c r="I182" i="10"/>
  <c r="I177" i="10"/>
  <c r="I172" i="10"/>
  <c r="I166" i="10"/>
  <c r="I161" i="10"/>
  <c r="I156" i="10"/>
  <c r="I150" i="10"/>
  <c r="I145" i="10"/>
  <c r="I140" i="10"/>
  <c r="I134" i="10"/>
  <c r="I129" i="10"/>
  <c r="I124" i="10"/>
  <c r="I118" i="10"/>
  <c r="I113" i="10"/>
  <c r="I108" i="10"/>
  <c r="I102" i="10"/>
  <c r="I97" i="10"/>
  <c r="I92" i="10"/>
  <c r="I86" i="10"/>
  <c r="I81" i="10"/>
  <c r="I76" i="10"/>
  <c r="I70" i="10"/>
  <c r="I65" i="10"/>
  <c r="I60" i="10"/>
  <c r="I54" i="10"/>
  <c r="I49" i="10"/>
  <c r="I44" i="10"/>
  <c r="I38" i="10"/>
  <c r="I33" i="10"/>
  <c r="I28" i="10"/>
  <c r="I22" i="10"/>
  <c r="I17" i="10"/>
  <c r="I12" i="10"/>
  <c r="I6" i="10"/>
  <c r="I994" i="10"/>
  <c r="I986" i="10"/>
  <c r="I980" i="10"/>
  <c r="I973" i="10"/>
  <c r="I965" i="10"/>
  <c r="I958" i="10"/>
  <c r="I952" i="10"/>
  <c r="I944" i="10"/>
  <c r="I937" i="10"/>
  <c r="I930" i="10"/>
  <c r="I922" i="10"/>
  <c r="I916" i="10"/>
  <c r="I909" i="10"/>
  <c r="I901" i="10"/>
  <c r="I894" i="10"/>
  <c r="I888" i="10"/>
  <c r="I880" i="10"/>
  <c r="I873" i="10"/>
  <c r="I866" i="10"/>
  <c r="I858" i="10"/>
  <c r="I852" i="10"/>
  <c r="I845" i="10"/>
  <c r="I837" i="10"/>
  <c r="I830" i="10"/>
  <c r="I824" i="10"/>
  <c r="I816" i="10"/>
  <c r="I809" i="10"/>
  <c r="I802" i="10"/>
  <c r="I794" i="10"/>
  <c r="I788" i="10"/>
  <c r="I781" i="10"/>
  <c r="I773" i="10"/>
  <c r="I766" i="10"/>
  <c r="I760" i="10"/>
  <c r="I752" i="10"/>
  <c r="I745" i="10"/>
  <c r="I738" i="10"/>
  <c r="I730" i="10"/>
  <c r="I724" i="10"/>
  <c r="I717" i="10"/>
  <c r="I709" i="10"/>
  <c r="I702" i="10"/>
  <c r="I696" i="10"/>
  <c r="I688" i="10"/>
  <c r="I681" i="10"/>
  <c r="I674" i="10"/>
  <c r="I666" i="10"/>
  <c r="I660" i="10"/>
  <c r="I653" i="10"/>
  <c r="I645" i="10"/>
  <c r="I638" i="10"/>
  <c r="I632" i="10"/>
  <c r="I624" i="10"/>
  <c r="I617" i="10"/>
  <c r="I610" i="10"/>
  <c r="I602" i="10"/>
  <c r="I596" i="10"/>
  <c r="I589" i="10"/>
  <c r="I581" i="10"/>
  <c r="I574" i="10"/>
  <c r="I568" i="10"/>
  <c r="I560" i="10"/>
  <c r="I553" i="10"/>
  <c r="I546" i="10"/>
  <c r="I538" i="10"/>
  <c r="I532" i="10"/>
  <c r="I525" i="10"/>
  <c r="I517" i="10"/>
  <c r="I510" i="10"/>
  <c r="I504" i="10"/>
  <c r="I496" i="10"/>
  <c r="I489" i="10"/>
  <c r="I482" i="10"/>
  <c r="I474" i="10"/>
  <c r="I468" i="10"/>
  <c r="I461" i="10"/>
  <c r="I453" i="10"/>
  <c r="I446" i="10"/>
  <c r="I440" i="10"/>
  <c r="I432" i="10"/>
  <c r="I425" i="10"/>
  <c r="I418" i="10"/>
  <c r="I410" i="10"/>
  <c r="I404" i="10"/>
  <c r="I397" i="10"/>
  <c r="I389" i="10"/>
  <c r="I382" i="10"/>
  <c r="I376" i="10"/>
  <c r="I368" i="10"/>
  <c r="I361" i="10"/>
  <c r="I354" i="10"/>
  <c r="I346" i="10"/>
  <c r="I340" i="10"/>
  <c r="I333" i="10"/>
  <c r="I325" i="10"/>
  <c r="I318" i="10"/>
  <c r="I312" i="10"/>
  <c r="I304" i="10"/>
  <c r="I297" i="10"/>
  <c r="I290" i="10"/>
  <c r="I282" i="10"/>
  <c r="I276" i="10"/>
  <c r="I269" i="10"/>
  <c r="I261" i="10"/>
  <c r="I254" i="10"/>
  <c r="I248" i="10"/>
  <c r="I240" i="10"/>
  <c r="I233" i="10"/>
  <c r="I226" i="10"/>
  <c r="I218" i="10"/>
  <c r="I212" i="10"/>
  <c r="I205" i="10"/>
  <c r="I197" i="10"/>
  <c r="I190" i="10"/>
  <c r="I184" i="10"/>
  <c r="I176" i="10"/>
  <c r="I169" i="10"/>
  <c r="I162" i="10"/>
  <c r="I154" i="10"/>
  <c r="I148" i="10"/>
  <c r="I141" i="10"/>
  <c r="I133" i="10"/>
  <c r="I126" i="10"/>
  <c r="I120" i="10"/>
  <c r="I112" i="10"/>
  <c r="I105" i="10"/>
  <c r="I98" i="10"/>
  <c r="I90" i="10"/>
  <c r="I84" i="10"/>
  <c r="I77" i="10"/>
  <c r="I69" i="10"/>
  <c r="I62" i="10"/>
  <c r="I56" i="10"/>
  <c r="I48" i="10"/>
  <c r="I41" i="10"/>
  <c r="I34" i="10"/>
  <c r="I26" i="10"/>
  <c r="I20" i="10"/>
  <c r="I13" i="10"/>
  <c r="I5" i="10"/>
  <c r="I997" i="10"/>
  <c r="I990" i="10"/>
  <c r="I984" i="10"/>
  <c r="I976" i="10"/>
  <c r="I969" i="10"/>
  <c r="I962" i="10"/>
  <c r="I954" i="10"/>
  <c r="I948" i="10"/>
  <c r="I941" i="10"/>
  <c r="I933" i="10"/>
  <c r="I926" i="10"/>
  <c r="I920" i="10"/>
  <c r="I912" i="10"/>
  <c r="I905" i="10"/>
  <c r="I898" i="10"/>
  <c r="I890" i="10"/>
  <c r="I884" i="10"/>
  <c r="I877" i="10"/>
  <c r="I869" i="10"/>
  <c r="I862" i="10"/>
  <c r="I856" i="10"/>
  <c r="I848" i="10"/>
  <c r="I841" i="10"/>
  <c r="I834" i="10"/>
  <c r="I826" i="10"/>
  <c r="I820" i="10"/>
  <c r="I813" i="10"/>
  <c r="I805" i="10"/>
  <c r="I798" i="10"/>
  <c r="I792" i="10"/>
  <c r="I784" i="10"/>
  <c r="I777" i="10"/>
  <c r="I770" i="10"/>
  <c r="I762" i="10"/>
  <c r="I756" i="10"/>
  <c r="I749" i="10"/>
  <c r="I741" i="10"/>
  <c r="I734" i="10"/>
  <c r="I728" i="10"/>
  <c r="I720" i="10"/>
  <c r="I713" i="10"/>
  <c r="I706" i="10"/>
  <c r="I698" i="10"/>
  <c r="I692" i="10"/>
  <c r="I685" i="10"/>
  <c r="I677" i="10"/>
  <c r="I670" i="10"/>
  <c r="I664" i="10"/>
  <c r="I656" i="10"/>
  <c r="I649" i="10"/>
  <c r="I642" i="10"/>
  <c r="I634" i="10"/>
  <c r="I628" i="10"/>
  <c r="I621" i="10"/>
  <c r="I613" i="10"/>
  <c r="I606" i="10"/>
  <c r="I600" i="10"/>
  <c r="I592" i="10"/>
  <c r="I585" i="10"/>
  <c r="I578" i="10"/>
  <c r="I570" i="10"/>
  <c r="I564" i="10"/>
  <c r="I557" i="10"/>
  <c r="I549" i="10"/>
  <c r="I542" i="10"/>
  <c r="I536" i="10"/>
  <c r="I528" i="10"/>
  <c r="I521" i="10"/>
  <c r="I514" i="10"/>
  <c r="I506" i="10"/>
  <c r="I500" i="10"/>
  <c r="I493" i="10"/>
  <c r="I485" i="10"/>
  <c r="I478" i="10"/>
  <c r="I472" i="10"/>
  <c r="I464" i="10"/>
  <c r="I457" i="10"/>
  <c r="I450" i="10"/>
  <c r="I442" i="10"/>
  <c r="I436" i="10"/>
  <c r="I429" i="10"/>
  <c r="I421" i="10"/>
  <c r="I414" i="10"/>
  <c r="I408" i="10"/>
  <c r="I400" i="10"/>
  <c r="I393" i="10"/>
  <c r="I386" i="10"/>
  <c r="I378" i="10"/>
  <c r="I372" i="10"/>
  <c r="I365" i="10"/>
  <c r="I357" i="10"/>
  <c r="I350" i="10"/>
  <c r="I344" i="10"/>
  <c r="I336" i="10"/>
  <c r="I329" i="10"/>
  <c r="I322" i="10"/>
  <c r="I314" i="10"/>
  <c r="I308" i="10"/>
  <c r="I301" i="10"/>
  <c r="I293" i="10"/>
  <c r="I286" i="10"/>
  <c r="I280" i="10"/>
  <c r="I272" i="10"/>
  <c r="I265" i="10"/>
  <c r="I258" i="10"/>
  <c r="I250" i="10"/>
  <c r="I244" i="10"/>
  <c r="I237" i="10"/>
  <c r="I229" i="10"/>
  <c r="I222" i="10"/>
  <c r="I216" i="10"/>
  <c r="I208" i="10"/>
  <c r="I201" i="10"/>
  <c r="I194" i="10"/>
  <c r="I186" i="10"/>
  <c r="I180" i="10"/>
  <c r="I173" i="10"/>
  <c r="I165" i="10"/>
  <c r="I158" i="10"/>
  <c r="I152" i="10"/>
  <c r="I144" i="10"/>
  <c r="I137" i="10"/>
  <c r="I130" i="10"/>
  <c r="I122" i="10"/>
  <c r="I116" i="10"/>
  <c r="I109" i="10"/>
  <c r="I101" i="10"/>
  <c r="I94" i="10"/>
  <c r="I88" i="10"/>
  <c r="I80" i="10"/>
  <c r="I73" i="10"/>
  <c r="I66" i="10"/>
  <c r="I58" i="10"/>
  <c r="I52" i="10"/>
  <c r="I45" i="10"/>
  <c r="I37" i="10"/>
  <c r="I30" i="10"/>
  <c r="I24" i="10"/>
  <c r="I16" i="10"/>
  <c r="I9" i="10"/>
  <c r="I2" i="10"/>
  <c r="I989" i="10"/>
  <c r="I974" i="10"/>
  <c r="I960" i="10"/>
  <c r="I946" i="10"/>
  <c r="I932" i="10"/>
  <c r="I917" i="10"/>
  <c r="I904" i="10"/>
  <c r="I889" i="10"/>
  <c r="I874" i="10"/>
  <c r="I861" i="10"/>
  <c r="I846" i="10"/>
  <c r="I832" i="10"/>
  <c r="I818" i="10"/>
  <c r="I804" i="10"/>
  <c r="I789" i="10"/>
  <c r="I776" i="10"/>
  <c r="I761" i="10"/>
  <c r="I746" i="10"/>
  <c r="I733" i="10"/>
  <c r="I718" i="10"/>
  <c r="I704" i="10"/>
  <c r="I690" i="10"/>
  <c r="I676" i="10"/>
  <c r="I661" i="10"/>
  <c r="I648" i="10"/>
  <c r="I633" i="10"/>
  <c r="I618" i="10"/>
  <c r="I605" i="10"/>
  <c r="I590" i="10"/>
  <c r="I576" i="10"/>
  <c r="I562" i="10"/>
  <c r="I548" i="10"/>
  <c r="I533" i="10"/>
  <c r="I520" i="10"/>
  <c r="I505" i="10"/>
  <c r="I490" i="10"/>
  <c r="I477" i="10"/>
  <c r="I462" i="10"/>
  <c r="I448" i="10"/>
  <c r="I434" i="10"/>
  <c r="I420" i="10"/>
  <c r="I405" i="10"/>
  <c r="I392" i="10"/>
  <c r="I377" i="10"/>
  <c r="I362" i="10"/>
  <c r="I349" i="10"/>
  <c r="I334" i="10"/>
  <c r="I320" i="10"/>
  <c r="I306" i="10"/>
  <c r="I292" i="10"/>
  <c r="I277" i="10"/>
  <c r="I264" i="10"/>
  <c r="I249" i="10"/>
  <c r="I234" i="10"/>
  <c r="I221" i="10"/>
  <c r="I206" i="10"/>
  <c r="I192" i="10"/>
  <c r="I178" i="10"/>
  <c r="I164" i="10"/>
  <c r="I149" i="10"/>
  <c r="I136" i="10"/>
  <c r="I121" i="10"/>
  <c r="I106" i="10"/>
  <c r="I93" i="10"/>
  <c r="I78" i="10"/>
  <c r="I64" i="10"/>
  <c r="I50" i="10"/>
  <c r="I36" i="10"/>
  <c r="I21" i="10"/>
  <c r="I8" i="10"/>
  <c r="I996" i="10"/>
  <c r="I981" i="10"/>
  <c r="I968" i="10"/>
  <c r="I953" i="10"/>
  <c r="I938" i="10"/>
  <c r="I925" i="10"/>
  <c r="I910" i="10"/>
  <c r="I896" i="10"/>
  <c r="I882" i="10"/>
  <c r="I868" i="10"/>
  <c r="I853" i="10"/>
  <c r="I840" i="10"/>
  <c r="I825" i="10"/>
  <c r="I810" i="10"/>
  <c r="I797" i="10"/>
  <c r="I782" i="10"/>
  <c r="I768" i="10"/>
  <c r="I754" i="10"/>
  <c r="I740" i="10"/>
  <c r="I725" i="10"/>
  <c r="I712" i="10"/>
  <c r="I697" i="10"/>
  <c r="I682" i="10"/>
  <c r="I669" i="10"/>
  <c r="I654" i="10"/>
  <c r="I640" i="10"/>
  <c r="I626" i="10"/>
  <c r="I612" i="10"/>
  <c r="I597" i="10"/>
  <c r="I584" i="10"/>
  <c r="I569" i="10"/>
  <c r="I554" i="10"/>
  <c r="I541" i="10"/>
  <c r="I526" i="10"/>
  <c r="I512" i="10"/>
  <c r="I498" i="10"/>
  <c r="I484" i="10"/>
  <c r="I469" i="10"/>
  <c r="I456" i="10"/>
  <c r="I441" i="10"/>
  <c r="I426" i="10"/>
  <c r="I413" i="10"/>
  <c r="I398" i="10"/>
  <c r="I384" i="10"/>
  <c r="I370" i="10"/>
  <c r="I356" i="10"/>
  <c r="I341" i="10"/>
  <c r="I328" i="10"/>
  <c r="I313" i="10"/>
  <c r="I298" i="10"/>
  <c r="I285" i="10"/>
  <c r="I270" i="10"/>
  <c r="I256" i="10"/>
  <c r="I242" i="10"/>
  <c r="I228" i="10"/>
  <c r="I213" i="10"/>
  <c r="I200" i="10"/>
  <c r="I185" i="10"/>
  <c r="I170" i="10"/>
  <c r="I157" i="10"/>
  <c r="I142" i="10"/>
  <c r="I128" i="10"/>
  <c r="I114" i="10"/>
  <c r="I100" i="10"/>
  <c r="I85" i="10"/>
  <c r="I72" i="10"/>
  <c r="I57" i="10"/>
  <c r="I42" i="10"/>
  <c r="I29" i="10"/>
  <c r="I14" i="10"/>
  <c r="I1" i="10"/>
  <c r="I985" i="10"/>
  <c r="I957" i="10"/>
  <c r="I928" i="10"/>
  <c r="I900" i="10"/>
  <c r="I872" i="10"/>
  <c r="I842" i="10"/>
  <c r="I814" i="10"/>
  <c r="I786" i="10"/>
  <c r="I757" i="10"/>
  <c r="I729" i="10"/>
  <c r="I701" i="10"/>
  <c r="I672" i="10"/>
  <c r="I644" i="10"/>
  <c r="I616" i="10"/>
  <c r="I586" i="10"/>
  <c r="I558" i="10"/>
  <c r="I530" i="10"/>
  <c r="I501" i="10"/>
  <c r="I473" i="10"/>
  <c r="I445" i="10"/>
  <c r="I416" i="10"/>
  <c r="I388" i="10"/>
  <c r="I360" i="10"/>
  <c r="I330" i="10"/>
  <c r="I302" i="10"/>
  <c r="I274" i="10"/>
  <c r="I245" i="10"/>
  <c r="I217" i="10"/>
  <c r="I189" i="10"/>
  <c r="I160" i="10"/>
  <c r="I132" i="10"/>
  <c r="I104" i="10"/>
  <c r="I74" i="10"/>
  <c r="I46" i="10"/>
  <c r="I18" i="10"/>
  <c r="I1000" i="10"/>
  <c r="I970" i="10"/>
  <c r="I942" i="10"/>
  <c r="I914" i="10"/>
  <c r="I885" i="10"/>
  <c r="I857" i="10"/>
  <c r="I829" i="10"/>
  <c r="I800" i="10"/>
  <c r="I772" i="10"/>
  <c r="I744" i="10"/>
  <c r="I714" i="10"/>
  <c r="I686" i="10"/>
  <c r="I658" i="10"/>
  <c r="I629" i="10"/>
  <c r="I601" i="10"/>
  <c r="I573" i="10"/>
  <c r="I544" i="10"/>
  <c r="I516" i="10"/>
  <c r="I488" i="10"/>
  <c r="I458" i="10"/>
  <c r="I430" i="10"/>
  <c r="I402" i="10"/>
  <c r="I373" i="10"/>
  <c r="I345" i="10"/>
  <c r="I317" i="10"/>
  <c r="I288" i="10"/>
  <c r="I260" i="10"/>
  <c r="I232" i="10"/>
  <c r="I202" i="10"/>
  <c r="I174" i="10"/>
  <c r="I146" i="10"/>
  <c r="I117" i="10"/>
  <c r="I89" i="10"/>
  <c r="I61" i="10"/>
  <c r="I32" i="10"/>
  <c r="I4" i="10"/>
  <c r="I992" i="10"/>
  <c r="I964" i="10"/>
  <c r="I936" i="10"/>
  <c r="I906" i="10"/>
  <c r="I878" i="10"/>
  <c r="I850" i="10"/>
  <c r="I821" i="10"/>
  <c r="I793" i="10"/>
  <c r="I765" i="10"/>
  <c r="I736" i="10"/>
  <c r="I708" i="10"/>
  <c r="I680" i="10"/>
  <c r="I650" i="10"/>
  <c r="I622" i="10"/>
  <c r="I594" i="10"/>
  <c r="I565" i="10"/>
  <c r="I537" i="10"/>
  <c r="I509" i="10"/>
  <c r="I480" i="10"/>
  <c r="I452" i="10"/>
  <c r="I424" i="10"/>
  <c r="I394" i="10"/>
  <c r="I366" i="10"/>
  <c r="I338" i="10"/>
  <c r="I309" i="10"/>
  <c r="I281" i="10"/>
  <c r="I253" i="10"/>
  <c r="I224" i="10"/>
  <c r="I196" i="10"/>
  <c r="I168" i="10"/>
  <c r="I138" i="10"/>
  <c r="I110" i="10"/>
  <c r="I82" i="10"/>
  <c r="I53" i="10"/>
  <c r="I25" i="10"/>
  <c r="I893" i="10"/>
  <c r="I778" i="10"/>
  <c r="I665" i="10"/>
  <c r="I552" i="10"/>
  <c r="I437" i="10"/>
  <c r="I324" i="10"/>
  <c r="I210" i="10"/>
  <c r="I96" i="10"/>
  <c r="I921" i="10"/>
  <c r="I808" i="10"/>
  <c r="I693" i="10"/>
  <c r="I580" i="10"/>
  <c r="I466" i="10"/>
  <c r="I352" i="10"/>
  <c r="I238" i="10"/>
  <c r="I125" i="10"/>
  <c r="I10" i="10"/>
  <c r="I978" i="10"/>
  <c r="I864" i="10"/>
  <c r="I750" i="10"/>
  <c r="I637" i="10"/>
  <c r="I522" i="10"/>
  <c r="I409" i="10"/>
  <c r="I296" i="10"/>
  <c r="I181" i="10"/>
  <c r="I68" i="10"/>
  <c r="I949" i="10"/>
  <c r="I836" i="10"/>
  <c r="I722" i="10"/>
  <c r="I608" i="10"/>
  <c r="I494" i="10"/>
  <c r="I381" i="10"/>
  <c r="I266" i="10"/>
  <c r="I153" i="10"/>
  <c r="I40" i="10"/>
  <c r="V1004" i="3"/>
  <c r="V1000" i="3"/>
  <c r="V996" i="3"/>
  <c r="V992" i="3"/>
  <c r="V988" i="3"/>
  <c r="V984" i="3"/>
  <c r="V980" i="3"/>
  <c r="V976" i="3"/>
  <c r="V972" i="3"/>
  <c r="V968" i="3"/>
  <c r="V964" i="3"/>
  <c r="V960" i="3"/>
  <c r="V956" i="3"/>
  <c r="V952" i="3"/>
  <c r="V948" i="3"/>
  <c r="V944" i="3"/>
  <c r="V940" i="3"/>
  <c r="V936" i="3"/>
  <c r="V932" i="3"/>
  <c r="V928" i="3"/>
  <c r="V924" i="3"/>
  <c r="V920" i="3"/>
  <c r="V916" i="3"/>
  <c r="V912" i="3"/>
  <c r="V908" i="3"/>
  <c r="V904" i="3"/>
  <c r="V900" i="3"/>
  <c r="V896" i="3"/>
  <c r="V892" i="3"/>
  <c r="V888" i="3"/>
  <c r="V884" i="3"/>
  <c r="V880" i="3"/>
  <c r="V876" i="3"/>
  <c r="V872" i="3"/>
  <c r="V868" i="3"/>
  <c r="V864" i="3"/>
  <c r="V860" i="3"/>
  <c r="V856" i="3"/>
  <c r="V852" i="3"/>
  <c r="V848" i="3"/>
  <c r="V844" i="3"/>
  <c r="V840" i="3"/>
  <c r="V836" i="3"/>
  <c r="V832" i="3"/>
  <c r="V828" i="3"/>
  <c r="V824" i="3"/>
  <c r="V820" i="3"/>
  <c r="V816" i="3"/>
  <c r="V812" i="3"/>
  <c r="V808" i="3"/>
  <c r="V804" i="3"/>
  <c r="V800" i="3"/>
  <c r="V796" i="3"/>
  <c r="V792" i="3"/>
  <c r="V788" i="3"/>
  <c r="V784" i="3"/>
  <c r="V780" i="3"/>
  <c r="V776" i="3"/>
  <c r="V772" i="3"/>
  <c r="V768" i="3"/>
  <c r="V764" i="3"/>
  <c r="V760" i="3"/>
  <c r="V756" i="3"/>
  <c r="V752" i="3"/>
  <c r="V748" i="3"/>
  <c r="V744" i="3"/>
  <c r="V740" i="3"/>
  <c r="V736" i="3"/>
  <c r="V732" i="3"/>
  <c r="V728" i="3"/>
  <c r="V724" i="3"/>
  <c r="V720" i="3"/>
  <c r="V716" i="3"/>
  <c r="V712" i="3"/>
  <c r="V708" i="3"/>
  <c r="V704" i="3"/>
  <c r="V700" i="3"/>
  <c r="V696" i="3"/>
  <c r="V692" i="3"/>
  <c r="V688" i="3"/>
  <c r="V684" i="3"/>
  <c r="V680" i="3"/>
  <c r="V676" i="3"/>
  <c r="V672" i="3"/>
  <c r="V668" i="3"/>
  <c r="V664" i="3"/>
  <c r="V660" i="3"/>
  <c r="V656" i="3"/>
  <c r="V652" i="3"/>
  <c r="V648" i="3"/>
  <c r="V644" i="3"/>
  <c r="V640" i="3"/>
  <c r="V636" i="3"/>
  <c r="V632" i="3"/>
  <c r="V628" i="3"/>
  <c r="V624" i="3"/>
  <c r="V620" i="3"/>
  <c r="V616" i="3"/>
  <c r="V612" i="3"/>
  <c r="V608" i="3"/>
  <c r="V604" i="3"/>
  <c r="V600" i="3"/>
  <c r="V596" i="3"/>
  <c r="V592" i="3"/>
  <c r="V588" i="3"/>
  <c r="V584" i="3"/>
  <c r="V580" i="3"/>
  <c r="V576" i="3"/>
  <c r="V572" i="3"/>
  <c r="V568" i="3"/>
  <c r="V564" i="3"/>
  <c r="V560" i="3"/>
  <c r="V556" i="3"/>
  <c r="V552" i="3"/>
  <c r="V548" i="3"/>
  <c r="V544" i="3"/>
  <c r="V540" i="3"/>
  <c r="V536" i="3"/>
  <c r="V532" i="3"/>
  <c r="V528" i="3"/>
  <c r="V524" i="3"/>
  <c r="V520" i="3"/>
  <c r="V516" i="3"/>
  <c r="V512" i="3"/>
  <c r="V508" i="3"/>
  <c r="V504" i="3"/>
  <c r="V500" i="3"/>
  <c r="V496" i="3"/>
  <c r="V492" i="3"/>
  <c r="V488" i="3"/>
  <c r="V484" i="3"/>
  <c r="V480" i="3"/>
  <c r="V476" i="3"/>
  <c r="V472" i="3"/>
  <c r="V468" i="3"/>
  <c r="V464" i="3"/>
  <c r="V460" i="3"/>
  <c r="V456" i="3"/>
  <c r="V452" i="3"/>
  <c r="V448" i="3"/>
  <c r="V444" i="3"/>
  <c r="V440" i="3"/>
  <c r="V436" i="3"/>
  <c r="V432" i="3"/>
  <c r="V428" i="3"/>
  <c r="V424" i="3"/>
  <c r="V420" i="3"/>
  <c r="V416" i="3"/>
  <c r="V412" i="3"/>
  <c r="V408" i="3"/>
  <c r="V404" i="3"/>
  <c r="V400" i="3"/>
  <c r="V396" i="3"/>
  <c r="V392" i="3"/>
  <c r="V388" i="3"/>
  <c r="V384" i="3"/>
  <c r="V380" i="3"/>
  <c r="V376" i="3"/>
  <c r="V372" i="3"/>
  <c r="V368" i="3"/>
  <c r="V364" i="3"/>
  <c r="V360" i="3"/>
  <c r="V356" i="3"/>
  <c r="V352" i="3"/>
  <c r="V348" i="3"/>
  <c r="V344" i="3"/>
  <c r="V340" i="3"/>
  <c r="V336" i="3"/>
  <c r="V332" i="3"/>
  <c r="V328" i="3"/>
  <c r="V324" i="3"/>
  <c r="V320" i="3"/>
  <c r="V316" i="3"/>
  <c r="V312" i="3"/>
  <c r="V308" i="3"/>
  <c r="V304" i="3"/>
  <c r="V300" i="3"/>
  <c r="V296" i="3"/>
  <c r="V292" i="3"/>
  <c r="V288" i="3"/>
  <c r="V284" i="3"/>
  <c r="V280" i="3"/>
  <c r="V276" i="3"/>
  <c r="V272" i="3"/>
  <c r="V268" i="3"/>
  <c r="V264" i="3"/>
  <c r="V260" i="3"/>
  <c r="V256" i="3"/>
  <c r="V252" i="3"/>
  <c r="V248" i="3"/>
  <c r="V244" i="3"/>
  <c r="V240" i="3"/>
  <c r="V236" i="3"/>
  <c r="V232" i="3"/>
  <c r="V228" i="3"/>
  <c r="V224" i="3"/>
  <c r="V220" i="3"/>
  <c r="V216" i="3"/>
  <c r="V212" i="3"/>
  <c r="V208" i="3"/>
  <c r="V204" i="3"/>
  <c r="V200" i="3"/>
  <c r="V196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136" i="3"/>
  <c r="V132" i="3"/>
  <c r="V128" i="3"/>
  <c r="V124" i="3"/>
  <c r="V120" i="3"/>
  <c r="V116" i="3"/>
  <c r="V112" i="3"/>
  <c r="V108" i="3"/>
  <c r="V104" i="3"/>
  <c r="V100" i="3"/>
  <c r="V96" i="3"/>
  <c r="V92" i="3"/>
  <c r="V88" i="3"/>
  <c r="V84" i="3"/>
  <c r="V80" i="3"/>
  <c r="V76" i="3"/>
  <c r="V72" i="3"/>
  <c r="V68" i="3"/>
  <c r="V64" i="3"/>
  <c r="V60" i="3"/>
  <c r="V56" i="3"/>
  <c r="V52" i="3"/>
  <c r="V48" i="3"/>
  <c r="V44" i="3"/>
  <c r="V40" i="3"/>
  <c r="V36" i="3"/>
  <c r="V32" i="3"/>
  <c r="V28" i="3"/>
  <c r="V24" i="3"/>
  <c r="V20" i="3"/>
  <c r="V16" i="3"/>
  <c r="V12" i="3"/>
  <c r="V8" i="3"/>
  <c r="V999" i="3"/>
  <c r="V994" i="3"/>
  <c r="V989" i="3"/>
  <c r="V983" i="3"/>
  <c r="V978" i="3"/>
  <c r="V973" i="3"/>
  <c r="V967" i="3"/>
  <c r="V962" i="3"/>
  <c r="V957" i="3"/>
  <c r="V951" i="3"/>
  <c r="V946" i="3"/>
  <c r="V941" i="3"/>
  <c r="V935" i="3"/>
  <c r="V930" i="3"/>
  <c r="V925" i="3"/>
  <c r="V919" i="3"/>
  <c r="V914" i="3"/>
  <c r="V909" i="3"/>
  <c r="V903" i="3"/>
  <c r="V898" i="3"/>
  <c r="V893" i="3"/>
  <c r="V887" i="3"/>
  <c r="V882" i="3"/>
  <c r="V877" i="3"/>
  <c r="V871" i="3"/>
  <c r="V866" i="3"/>
  <c r="V861" i="3"/>
  <c r="V855" i="3"/>
  <c r="V850" i="3"/>
  <c r="V845" i="3"/>
  <c r="V839" i="3"/>
  <c r="V834" i="3"/>
  <c r="V829" i="3"/>
  <c r="V823" i="3"/>
  <c r="V818" i="3"/>
  <c r="V813" i="3"/>
  <c r="V807" i="3"/>
  <c r="V802" i="3"/>
  <c r="V797" i="3"/>
  <c r="V791" i="3"/>
  <c r="V786" i="3"/>
  <c r="V781" i="3"/>
  <c r="V775" i="3"/>
  <c r="V770" i="3"/>
  <c r="V765" i="3"/>
  <c r="V759" i="3"/>
  <c r="V754" i="3"/>
  <c r="V749" i="3"/>
  <c r="V743" i="3"/>
  <c r="V738" i="3"/>
  <c r="V733" i="3"/>
  <c r="V727" i="3"/>
  <c r="V722" i="3"/>
  <c r="V717" i="3"/>
  <c r="V711" i="3"/>
  <c r="V706" i="3"/>
  <c r="V701" i="3"/>
  <c r="V695" i="3"/>
  <c r="V690" i="3"/>
  <c r="V685" i="3"/>
  <c r="V679" i="3"/>
  <c r="V674" i="3"/>
  <c r="V669" i="3"/>
  <c r="V663" i="3"/>
  <c r="V658" i="3"/>
  <c r="V653" i="3"/>
  <c r="V647" i="3"/>
  <c r="V642" i="3"/>
  <c r="V637" i="3"/>
  <c r="V631" i="3"/>
  <c r="V626" i="3"/>
  <c r="V621" i="3"/>
  <c r="V615" i="3"/>
  <c r="V610" i="3"/>
  <c r="V605" i="3"/>
  <c r="V599" i="3"/>
  <c r="V594" i="3"/>
  <c r="V589" i="3"/>
  <c r="V583" i="3"/>
  <c r="V578" i="3"/>
  <c r="V573" i="3"/>
  <c r="V567" i="3"/>
  <c r="V562" i="3"/>
  <c r="V557" i="3"/>
  <c r="V551" i="3"/>
  <c r="V546" i="3"/>
  <c r="V541" i="3"/>
  <c r="V535" i="3"/>
  <c r="V530" i="3"/>
  <c r="V525" i="3"/>
  <c r="V519" i="3"/>
  <c r="V514" i="3"/>
  <c r="V509" i="3"/>
  <c r="V503" i="3"/>
  <c r="V498" i="3"/>
  <c r="V493" i="3"/>
  <c r="V487" i="3"/>
  <c r="V482" i="3"/>
  <c r="V477" i="3"/>
  <c r="V471" i="3"/>
  <c r="V466" i="3"/>
  <c r="V461" i="3"/>
  <c r="V455" i="3"/>
  <c r="V450" i="3"/>
  <c r="V445" i="3"/>
  <c r="V439" i="3"/>
  <c r="V434" i="3"/>
  <c r="V429" i="3"/>
  <c r="V423" i="3"/>
  <c r="V418" i="3"/>
  <c r="V413" i="3"/>
  <c r="V407" i="3"/>
  <c r="V402" i="3"/>
  <c r="V397" i="3"/>
  <c r="V391" i="3"/>
  <c r="V386" i="3"/>
  <c r="V381" i="3"/>
  <c r="V375" i="3"/>
  <c r="V370" i="3"/>
  <c r="V365" i="3"/>
  <c r="V359" i="3"/>
  <c r="V354" i="3"/>
  <c r="V349" i="3"/>
  <c r="V343" i="3"/>
  <c r="V338" i="3"/>
  <c r="V333" i="3"/>
  <c r="V327" i="3"/>
  <c r="V322" i="3"/>
  <c r="V317" i="3"/>
  <c r="V311" i="3"/>
  <c r="V306" i="3"/>
  <c r="V301" i="3"/>
  <c r="V295" i="3"/>
  <c r="V290" i="3"/>
  <c r="V285" i="3"/>
  <c r="V279" i="3"/>
  <c r="V274" i="3"/>
  <c r="V269" i="3"/>
  <c r="V263" i="3"/>
  <c r="V258" i="3"/>
  <c r="V253" i="3"/>
  <c r="V247" i="3"/>
  <c r="V242" i="3"/>
  <c r="V237" i="3"/>
  <c r="V231" i="3"/>
  <c r="V226" i="3"/>
  <c r="V221" i="3"/>
  <c r="V215" i="3"/>
  <c r="V210" i="3"/>
  <c r="V205" i="3"/>
  <c r="V199" i="3"/>
  <c r="V194" i="3"/>
  <c r="V189" i="3"/>
  <c r="V183" i="3"/>
  <c r="V178" i="3"/>
  <c r="V173" i="3"/>
  <c r="V167" i="3"/>
  <c r="V162" i="3"/>
  <c r="V157" i="3"/>
  <c r="V151" i="3"/>
  <c r="V146" i="3"/>
  <c r="V141" i="3"/>
  <c r="V135" i="3"/>
  <c r="V130" i="3"/>
  <c r="V125" i="3"/>
  <c r="V119" i="3"/>
  <c r="V114" i="3"/>
  <c r="V109" i="3"/>
  <c r="V103" i="3"/>
  <c r="V98" i="3"/>
  <c r="V93" i="3"/>
  <c r="V87" i="3"/>
  <c r="V82" i="3"/>
  <c r="V77" i="3"/>
  <c r="V71" i="3"/>
  <c r="V66" i="3"/>
  <c r="V61" i="3"/>
  <c r="V55" i="3"/>
  <c r="V50" i="3"/>
  <c r="V45" i="3"/>
  <c r="V39" i="3"/>
  <c r="V34" i="3"/>
  <c r="V29" i="3"/>
  <c r="V23" i="3"/>
  <c r="V18" i="3"/>
  <c r="V13" i="3"/>
  <c r="V7" i="3"/>
  <c r="V1002" i="3"/>
  <c r="V997" i="3"/>
  <c r="V991" i="3"/>
  <c r="V986" i="3"/>
  <c r="V981" i="3"/>
  <c r="V975" i="3"/>
  <c r="V970" i="3"/>
  <c r="V965" i="3"/>
  <c r="V959" i="3"/>
  <c r="V954" i="3"/>
  <c r="V949" i="3"/>
  <c r="V943" i="3"/>
  <c r="V938" i="3"/>
  <c r="V933" i="3"/>
  <c r="V927" i="3"/>
  <c r="V922" i="3"/>
  <c r="V917" i="3"/>
  <c r="V911" i="3"/>
  <c r="V906" i="3"/>
  <c r="V901" i="3"/>
  <c r="V895" i="3"/>
  <c r="V890" i="3"/>
  <c r="V885" i="3"/>
  <c r="V879" i="3"/>
  <c r="V874" i="3"/>
  <c r="V869" i="3"/>
  <c r="V863" i="3"/>
  <c r="V858" i="3"/>
  <c r="V853" i="3"/>
  <c r="V847" i="3"/>
  <c r="V842" i="3"/>
  <c r="V837" i="3"/>
  <c r="V831" i="3"/>
  <c r="V826" i="3"/>
  <c r="V821" i="3"/>
  <c r="V815" i="3"/>
  <c r="V810" i="3"/>
  <c r="V805" i="3"/>
  <c r="V799" i="3"/>
  <c r="V794" i="3"/>
  <c r="V789" i="3"/>
  <c r="V783" i="3"/>
  <c r="V778" i="3"/>
  <c r="V773" i="3"/>
  <c r="V767" i="3"/>
  <c r="V762" i="3"/>
  <c r="V757" i="3"/>
  <c r="V751" i="3"/>
  <c r="V746" i="3"/>
  <c r="V741" i="3"/>
  <c r="V735" i="3"/>
  <c r="V730" i="3"/>
  <c r="V725" i="3"/>
  <c r="V719" i="3"/>
  <c r="V714" i="3"/>
  <c r="V709" i="3"/>
  <c r="V703" i="3"/>
  <c r="V698" i="3"/>
  <c r="V693" i="3"/>
  <c r="V687" i="3"/>
  <c r="V682" i="3"/>
  <c r="V677" i="3"/>
  <c r="V671" i="3"/>
  <c r="V666" i="3"/>
  <c r="V661" i="3"/>
  <c r="V655" i="3"/>
  <c r="V650" i="3"/>
  <c r="V645" i="3"/>
  <c r="V639" i="3"/>
  <c r="V634" i="3"/>
  <c r="V629" i="3"/>
  <c r="V623" i="3"/>
  <c r="V618" i="3"/>
  <c r="V613" i="3"/>
  <c r="V607" i="3"/>
  <c r="V602" i="3"/>
  <c r="V597" i="3"/>
  <c r="V591" i="3"/>
  <c r="V586" i="3"/>
  <c r="V581" i="3"/>
  <c r="V575" i="3"/>
  <c r="V570" i="3"/>
  <c r="V565" i="3"/>
  <c r="V559" i="3"/>
  <c r="V554" i="3"/>
  <c r="V549" i="3"/>
  <c r="V543" i="3"/>
  <c r="V538" i="3"/>
  <c r="V533" i="3"/>
  <c r="V527" i="3"/>
  <c r="V522" i="3"/>
  <c r="V517" i="3"/>
  <c r="V511" i="3"/>
  <c r="V506" i="3"/>
  <c r="V501" i="3"/>
  <c r="V495" i="3"/>
  <c r="V490" i="3"/>
  <c r="V485" i="3"/>
  <c r="V479" i="3"/>
  <c r="V474" i="3"/>
  <c r="V469" i="3"/>
  <c r="V463" i="3"/>
  <c r="V458" i="3"/>
  <c r="V453" i="3"/>
  <c r="V447" i="3"/>
  <c r="V442" i="3"/>
  <c r="V437" i="3"/>
  <c r="V431" i="3"/>
  <c r="V426" i="3"/>
  <c r="V421" i="3"/>
  <c r="V415" i="3"/>
  <c r="V410" i="3"/>
  <c r="V405" i="3"/>
  <c r="V399" i="3"/>
  <c r="V394" i="3"/>
  <c r="V389" i="3"/>
  <c r="V383" i="3"/>
  <c r="V378" i="3"/>
  <c r="V373" i="3"/>
  <c r="V367" i="3"/>
  <c r="V362" i="3"/>
  <c r="V357" i="3"/>
  <c r="V351" i="3"/>
  <c r="V346" i="3"/>
  <c r="V341" i="3"/>
  <c r="V335" i="3"/>
  <c r="V330" i="3"/>
  <c r="V325" i="3"/>
  <c r="V319" i="3"/>
  <c r="V314" i="3"/>
  <c r="V309" i="3"/>
  <c r="V303" i="3"/>
  <c r="V298" i="3"/>
  <c r="V293" i="3"/>
  <c r="V287" i="3"/>
  <c r="V282" i="3"/>
  <c r="V277" i="3"/>
  <c r="V271" i="3"/>
  <c r="V266" i="3"/>
  <c r="V261" i="3"/>
  <c r="V255" i="3"/>
  <c r="V250" i="3"/>
  <c r="V245" i="3"/>
  <c r="V239" i="3"/>
  <c r="V234" i="3"/>
  <c r="V229" i="3"/>
  <c r="V223" i="3"/>
  <c r="V218" i="3"/>
  <c r="V213" i="3"/>
  <c r="V207" i="3"/>
  <c r="V202" i="3"/>
  <c r="V197" i="3"/>
  <c r="V191" i="3"/>
  <c r="V186" i="3"/>
  <c r="V181" i="3"/>
  <c r="V175" i="3"/>
  <c r="V170" i="3"/>
  <c r="V165" i="3"/>
  <c r="V159" i="3"/>
  <c r="V154" i="3"/>
  <c r="V149" i="3"/>
  <c r="V143" i="3"/>
  <c r="V138" i="3"/>
  <c r="V133" i="3"/>
  <c r="V127" i="3"/>
  <c r="V122" i="3"/>
  <c r="V117" i="3"/>
  <c r="V111" i="3"/>
  <c r="V106" i="3"/>
  <c r="V101" i="3"/>
  <c r="V95" i="3"/>
  <c r="V90" i="3"/>
  <c r="V85" i="3"/>
  <c r="V79" i="3"/>
  <c r="V74" i="3"/>
  <c r="V69" i="3"/>
  <c r="V63" i="3"/>
  <c r="V58" i="3"/>
  <c r="V53" i="3"/>
  <c r="V47" i="3"/>
  <c r="V42" i="3"/>
  <c r="V37" i="3"/>
  <c r="V31" i="3"/>
  <c r="V26" i="3"/>
  <c r="V21" i="3"/>
  <c r="V15" i="3"/>
  <c r="V10" i="3"/>
  <c r="V6" i="3"/>
  <c r="V1001" i="3"/>
  <c r="V995" i="3"/>
  <c r="V990" i="3"/>
  <c r="V985" i="3"/>
  <c r="V979" i="3"/>
  <c r="V974" i="3"/>
  <c r="V969" i="3"/>
  <c r="V963" i="3"/>
  <c r="V958" i="3"/>
  <c r="V953" i="3"/>
  <c r="V947" i="3"/>
  <c r="V942" i="3"/>
  <c r="V937" i="3"/>
  <c r="V931" i="3"/>
  <c r="V926" i="3"/>
  <c r="V921" i="3"/>
  <c r="V915" i="3"/>
  <c r="V910" i="3"/>
  <c r="V905" i="3"/>
  <c r="V899" i="3"/>
  <c r="V894" i="3"/>
  <c r="V889" i="3"/>
  <c r="V883" i="3"/>
  <c r="V878" i="3"/>
  <c r="V873" i="3"/>
  <c r="V867" i="3"/>
  <c r="V862" i="3"/>
  <c r="V857" i="3"/>
  <c r="V851" i="3"/>
  <c r="V846" i="3"/>
  <c r="V841" i="3"/>
  <c r="V835" i="3"/>
  <c r="V830" i="3"/>
  <c r="V825" i="3"/>
  <c r="V819" i="3"/>
  <c r="V814" i="3"/>
  <c r="V809" i="3"/>
  <c r="V803" i="3"/>
  <c r="V798" i="3"/>
  <c r="V793" i="3"/>
  <c r="V787" i="3"/>
  <c r="V782" i="3"/>
  <c r="V777" i="3"/>
  <c r="V771" i="3"/>
  <c r="V766" i="3"/>
  <c r="V761" i="3"/>
  <c r="V755" i="3"/>
  <c r="V750" i="3"/>
  <c r="V745" i="3"/>
  <c r="V739" i="3"/>
  <c r="V734" i="3"/>
  <c r="V729" i="3"/>
  <c r="V723" i="3"/>
  <c r="V718" i="3"/>
  <c r="V713" i="3"/>
  <c r="V707" i="3"/>
  <c r="V702" i="3"/>
  <c r="V697" i="3"/>
  <c r="V691" i="3"/>
  <c r="V686" i="3"/>
  <c r="V681" i="3"/>
  <c r="V675" i="3"/>
  <c r="V670" i="3"/>
  <c r="V665" i="3"/>
  <c r="V659" i="3"/>
  <c r="V654" i="3"/>
  <c r="V649" i="3"/>
  <c r="V643" i="3"/>
  <c r="V638" i="3"/>
  <c r="V633" i="3"/>
  <c r="V627" i="3"/>
  <c r="V622" i="3"/>
  <c r="V617" i="3"/>
  <c r="V611" i="3"/>
  <c r="V606" i="3"/>
  <c r="V601" i="3"/>
  <c r="V595" i="3"/>
  <c r="V590" i="3"/>
  <c r="V585" i="3"/>
  <c r="V579" i="3"/>
  <c r="V574" i="3"/>
  <c r="V569" i="3"/>
  <c r="V563" i="3"/>
  <c r="V558" i="3"/>
  <c r="V553" i="3"/>
  <c r="V547" i="3"/>
  <c r="V542" i="3"/>
  <c r="V537" i="3"/>
  <c r="V531" i="3"/>
  <c r="V526" i="3"/>
  <c r="V521" i="3"/>
  <c r="V515" i="3"/>
  <c r="V510" i="3"/>
  <c r="V505" i="3"/>
  <c r="V499" i="3"/>
  <c r="V494" i="3"/>
  <c r="V489" i="3"/>
  <c r="V483" i="3"/>
  <c r="V478" i="3"/>
  <c r="V473" i="3"/>
  <c r="V467" i="3"/>
  <c r="V462" i="3"/>
  <c r="V457" i="3"/>
  <c r="V451" i="3"/>
  <c r="V446" i="3"/>
  <c r="V441" i="3"/>
  <c r="V435" i="3"/>
  <c r="V430" i="3"/>
  <c r="V425" i="3"/>
  <c r="V419" i="3"/>
  <c r="V414" i="3"/>
  <c r="V409" i="3"/>
  <c r="V403" i="3"/>
  <c r="V398" i="3"/>
  <c r="V393" i="3"/>
  <c r="V387" i="3"/>
  <c r="V382" i="3"/>
  <c r="V377" i="3"/>
  <c r="V371" i="3"/>
  <c r="V366" i="3"/>
  <c r="V361" i="3"/>
  <c r="V355" i="3"/>
  <c r="V350" i="3"/>
  <c r="V345" i="3"/>
  <c r="V339" i="3"/>
  <c r="V334" i="3"/>
  <c r="V329" i="3"/>
  <c r="V323" i="3"/>
  <c r="V318" i="3"/>
  <c r="V313" i="3"/>
  <c r="V307" i="3"/>
  <c r="V302" i="3"/>
  <c r="V297" i="3"/>
  <c r="V291" i="3"/>
  <c r="V286" i="3"/>
  <c r="V281" i="3"/>
  <c r="V275" i="3"/>
  <c r="V270" i="3"/>
  <c r="V265" i="3"/>
  <c r="V259" i="3"/>
  <c r="V254" i="3"/>
  <c r="V249" i="3"/>
  <c r="V243" i="3"/>
  <c r="V238" i="3"/>
  <c r="V233" i="3"/>
  <c r="V227" i="3"/>
  <c r="V222" i="3"/>
  <c r="V217" i="3"/>
  <c r="V211" i="3"/>
  <c r="V206" i="3"/>
  <c r="V201" i="3"/>
  <c r="V195" i="3"/>
  <c r="V190" i="3"/>
  <c r="V185" i="3"/>
  <c r="V179" i="3"/>
  <c r="V174" i="3"/>
  <c r="V169" i="3"/>
  <c r="V163" i="3"/>
  <c r="V158" i="3"/>
  <c r="V153" i="3"/>
  <c r="V147" i="3"/>
  <c r="V142" i="3"/>
  <c r="V137" i="3"/>
  <c r="V131" i="3"/>
  <c r="V126" i="3"/>
  <c r="V121" i="3"/>
  <c r="V115" i="3"/>
  <c r="V110" i="3"/>
  <c r="V105" i="3"/>
  <c r="V99" i="3"/>
  <c r="V94" i="3"/>
  <c r="V89" i="3"/>
  <c r="V83" i="3"/>
  <c r="V78" i="3"/>
  <c r="V73" i="3"/>
  <c r="V67" i="3"/>
  <c r="V62" i="3"/>
  <c r="V57" i="3"/>
  <c r="V51" i="3"/>
  <c r="V46" i="3"/>
  <c r="V41" i="3"/>
  <c r="V35" i="3"/>
  <c r="V30" i="3"/>
  <c r="V25" i="3"/>
  <c r="V19" i="3"/>
  <c r="V14" i="3"/>
  <c r="V9" i="3"/>
  <c r="V987" i="3"/>
  <c r="V966" i="3"/>
  <c r="V945" i="3"/>
  <c r="V923" i="3"/>
  <c r="V902" i="3"/>
  <c r="V881" i="3"/>
  <c r="V859" i="3"/>
  <c r="V838" i="3"/>
  <c r="V817" i="3"/>
  <c r="V795" i="3"/>
  <c r="V774" i="3"/>
  <c r="V753" i="3"/>
  <c r="V731" i="3"/>
  <c r="V710" i="3"/>
  <c r="V689" i="3"/>
  <c r="V667" i="3"/>
  <c r="V646" i="3"/>
  <c r="V625" i="3"/>
  <c r="V603" i="3"/>
  <c r="V582" i="3"/>
  <c r="V561" i="3"/>
  <c r="V539" i="3"/>
  <c r="V518" i="3"/>
  <c r="V497" i="3"/>
  <c r="V475" i="3"/>
  <c r="V454" i="3"/>
  <c r="V433" i="3"/>
  <c r="V411" i="3"/>
  <c r="V390" i="3"/>
  <c r="V369" i="3"/>
  <c r="V347" i="3"/>
  <c r="V326" i="3"/>
  <c r="V305" i="3"/>
  <c r="V283" i="3"/>
  <c r="V262" i="3"/>
  <c r="V241" i="3"/>
  <c r="V219" i="3"/>
  <c r="V198" i="3"/>
  <c r="V177" i="3"/>
  <c r="V155" i="3"/>
  <c r="V134" i="3"/>
  <c r="V113" i="3"/>
  <c r="V91" i="3"/>
  <c r="V70" i="3"/>
  <c r="V49" i="3"/>
  <c r="V27" i="3"/>
  <c r="V1003" i="3"/>
  <c r="V982" i="3"/>
  <c r="V961" i="3"/>
  <c r="V939" i="3"/>
  <c r="V918" i="3"/>
  <c r="V897" i="3"/>
  <c r="V875" i="3"/>
  <c r="V854" i="3"/>
  <c r="V833" i="3"/>
  <c r="V811" i="3"/>
  <c r="V790" i="3"/>
  <c r="V769" i="3"/>
  <c r="V747" i="3"/>
  <c r="V726" i="3"/>
  <c r="V705" i="3"/>
  <c r="V683" i="3"/>
  <c r="V662" i="3"/>
  <c r="V641" i="3"/>
  <c r="V619" i="3"/>
  <c r="V598" i="3"/>
  <c r="V577" i="3"/>
  <c r="V555" i="3"/>
  <c r="V534" i="3"/>
  <c r="V513" i="3"/>
  <c r="V491" i="3"/>
  <c r="V470" i="3"/>
  <c r="V449" i="3"/>
  <c r="V427" i="3"/>
  <c r="V406" i="3"/>
  <c r="V385" i="3"/>
  <c r="V363" i="3"/>
  <c r="V342" i="3"/>
  <c r="V321" i="3"/>
  <c r="V299" i="3"/>
  <c r="V278" i="3"/>
  <c r="V257" i="3"/>
  <c r="V235" i="3"/>
  <c r="V214" i="3"/>
  <c r="V193" i="3"/>
  <c r="V171" i="3"/>
  <c r="V150" i="3"/>
  <c r="V129" i="3"/>
  <c r="V107" i="3"/>
  <c r="V86" i="3"/>
  <c r="V65" i="3"/>
  <c r="V43" i="3"/>
  <c r="V22" i="3"/>
  <c r="V993" i="3"/>
  <c r="V971" i="3"/>
  <c r="V950" i="3"/>
  <c r="V929" i="3"/>
  <c r="V907" i="3"/>
  <c r="V886" i="3"/>
  <c r="V865" i="3"/>
  <c r="V843" i="3"/>
  <c r="V822" i="3"/>
  <c r="V801" i="3"/>
  <c r="V779" i="3"/>
  <c r="V758" i="3"/>
  <c r="V737" i="3"/>
  <c r="V715" i="3"/>
  <c r="V694" i="3"/>
  <c r="V673" i="3"/>
  <c r="V651" i="3"/>
  <c r="V630" i="3"/>
  <c r="V609" i="3"/>
  <c r="V587" i="3"/>
  <c r="V566" i="3"/>
  <c r="V545" i="3"/>
  <c r="V523" i="3"/>
  <c r="V502" i="3"/>
  <c r="V481" i="3"/>
  <c r="V459" i="3"/>
  <c r="V438" i="3"/>
  <c r="V417" i="3"/>
  <c r="V395" i="3"/>
  <c r="V374" i="3"/>
  <c r="V353" i="3"/>
  <c r="V331" i="3"/>
  <c r="V310" i="3"/>
  <c r="V289" i="3"/>
  <c r="V267" i="3"/>
  <c r="V246" i="3"/>
  <c r="V225" i="3"/>
  <c r="V203" i="3"/>
  <c r="V182" i="3"/>
  <c r="V161" i="3"/>
  <c r="V139" i="3"/>
  <c r="V118" i="3"/>
  <c r="V97" i="3"/>
  <c r="V75" i="3"/>
  <c r="V54" i="3"/>
  <c r="V33" i="3"/>
  <c r="V11" i="3"/>
  <c r="V998" i="3"/>
  <c r="V977" i="3"/>
  <c r="V955" i="3"/>
  <c r="V934" i="3"/>
  <c r="V913" i="3"/>
  <c r="V891" i="3"/>
  <c r="V870" i="3"/>
  <c r="V849" i="3"/>
  <c r="V827" i="3"/>
  <c r="V806" i="3"/>
  <c r="V785" i="3"/>
  <c r="V763" i="3"/>
  <c r="V742" i="3"/>
  <c r="V721" i="3"/>
  <c r="V699" i="3"/>
  <c r="V678" i="3"/>
  <c r="V657" i="3"/>
  <c r="V635" i="3"/>
  <c r="V614" i="3"/>
  <c r="V593" i="3"/>
  <c r="V571" i="3"/>
  <c r="V550" i="3"/>
  <c r="V529" i="3"/>
  <c r="V507" i="3"/>
  <c r="V486" i="3"/>
  <c r="V465" i="3"/>
  <c r="V443" i="3"/>
  <c r="V422" i="3"/>
  <c r="V401" i="3"/>
  <c r="V379" i="3"/>
  <c r="V358" i="3"/>
  <c r="V337" i="3"/>
  <c r="V315" i="3"/>
  <c r="V294" i="3"/>
  <c r="V273" i="3"/>
  <c r="V251" i="3"/>
  <c r="V230" i="3"/>
  <c r="V209" i="3"/>
  <c r="V187" i="3"/>
  <c r="V166" i="3"/>
  <c r="V145" i="3"/>
  <c r="V123" i="3"/>
  <c r="V102" i="3"/>
  <c r="V81" i="3"/>
  <c r="V59" i="3"/>
  <c r="V38" i="3"/>
  <c r="V17" i="3"/>
  <c r="W1004" i="3"/>
  <c r="W1000" i="3"/>
  <c r="W996" i="3"/>
  <c r="W992" i="3"/>
  <c r="W988" i="3"/>
  <c r="W984" i="3"/>
  <c r="W980" i="3"/>
  <c r="W976" i="3"/>
  <c r="W972" i="3"/>
  <c r="W968" i="3"/>
  <c r="W964" i="3"/>
  <c r="W960" i="3"/>
  <c r="W956" i="3"/>
  <c r="W952" i="3"/>
  <c r="W948" i="3"/>
  <c r="W944" i="3"/>
  <c r="W940" i="3"/>
  <c r="W936" i="3"/>
  <c r="W932" i="3"/>
  <c r="W928" i="3"/>
  <c r="W924" i="3"/>
  <c r="W920" i="3"/>
  <c r="W916" i="3"/>
  <c r="W912" i="3"/>
  <c r="W908" i="3"/>
  <c r="W904" i="3"/>
  <c r="W900" i="3"/>
  <c r="W896" i="3"/>
  <c r="W892" i="3"/>
  <c r="W888" i="3"/>
  <c r="W884" i="3"/>
  <c r="W880" i="3"/>
  <c r="W876" i="3"/>
  <c r="W872" i="3"/>
  <c r="W868" i="3"/>
  <c r="W864" i="3"/>
  <c r="W860" i="3"/>
  <c r="W856" i="3"/>
  <c r="W852" i="3"/>
  <c r="W848" i="3"/>
  <c r="W844" i="3"/>
  <c r="W840" i="3"/>
  <c r="W836" i="3"/>
  <c r="W832" i="3"/>
  <c r="W828" i="3"/>
  <c r="W824" i="3"/>
  <c r="W820" i="3"/>
  <c r="W816" i="3"/>
  <c r="W812" i="3"/>
  <c r="W808" i="3"/>
  <c r="W804" i="3"/>
  <c r="W800" i="3"/>
  <c r="W796" i="3"/>
  <c r="W792" i="3"/>
  <c r="W788" i="3"/>
  <c r="W784" i="3"/>
  <c r="W780" i="3"/>
  <c r="W776" i="3"/>
  <c r="W772" i="3"/>
  <c r="W768" i="3"/>
  <c r="W764" i="3"/>
  <c r="W760" i="3"/>
  <c r="W756" i="3"/>
  <c r="W752" i="3"/>
  <c r="W748" i="3"/>
  <c r="W744" i="3"/>
  <c r="W740" i="3"/>
  <c r="W736" i="3"/>
  <c r="W732" i="3"/>
  <c r="W728" i="3"/>
  <c r="W724" i="3"/>
  <c r="W720" i="3"/>
  <c r="W716" i="3"/>
  <c r="W712" i="3"/>
  <c r="W708" i="3"/>
  <c r="W704" i="3"/>
  <c r="W700" i="3"/>
  <c r="W696" i="3"/>
  <c r="W692" i="3"/>
  <c r="W688" i="3"/>
  <c r="W684" i="3"/>
  <c r="W680" i="3"/>
  <c r="W676" i="3"/>
  <c r="W672" i="3"/>
  <c r="W668" i="3"/>
  <c r="W664" i="3"/>
  <c r="W660" i="3"/>
  <c r="W656" i="3"/>
  <c r="W652" i="3"/>
  <c r="W648" i="3"/>
  <c r="W644" i="3"/>
  <c r="W640" i="3"/>
  <c r="W636" i="3"/>
  <c r="W632" i="3"/>
  <c r="W628" i="3"/>
  <c r="W624" i="3"/>
  <c r="W620" i="3"/>
  <c r="W616" i="3"/>
  <c r="W612" i="3"/>
  <c r="W608" i="3"/>
  <c r="W604" i="3"/>
  <c r="W600" i="3"/>
  <c r="W596" i="3"/>
  <c r="W592" i="3"/>
  <c r="W588" i="3"/>
  <c r="W584" i="3"/>
  <c r="W580" i="3"/>
  <c r="W576" i="3"/>
  <c r="W572" i="3"/>
  <c r="W568" i="3"/>
  <c r="W564" i="3"/>
  <c r="W560" i="3"/>
  <c r="W556" i="3"/>
  <c r="W552" i="3"/>
  <c r="W548" i="3"/>
  <c r="W544" i="3"/>
  <c r="W540" i="3"/>
  <c r="W536" i="3"/>
  <c r="W532" i="3"/>
  <c r="W528" i="3"/>
  <c r="W524" i="3"/>
  <c r="W520" i="3"/>
  <c r="W516" i="3"/>
  <c r="W512" i="3"/>
  <c r="W508" i="3"/>
  <c r="W504" i="3"/>
  <c r="W500" i="3"/>
  <c r="W496" i="3"/>
  <c r="W492" i="3"/>
  <c r="W488" i="3"/>
  <c r="W484" i="3"/>
  <c r="W480" i="3"/>
  <c r="W476" i="3"/>
  <c r="W472" i="3"/>
  <c r="W468" i="3"/>
  <c r="W464" i="3"/>
  <c r="W460" i="3"/>
  <c r="W456" i="3"/>
  <c r="W452" i="3"/>
  <c r="W448" i="3"/>
  <c r="W444" i="3"/>
  <c r="W440" i="3"/>
  <c r="W436" i="3"/>
  <c r="W432" i="3"/>
  <c r="W428" i="3"/>
  <c r="W424" i="3"/>
  <c r="W420" i="3"/>
  <c r="W416" i="3"/>
  <c r="W412" i="3"/>
  <c r="W408" i="3"/>
  <c r="W404" i="3"/>
  <c r="W400" i="3"/>
  <c r="W396" i="3"/>
  <c r="W392" i="3"/>
  <c r="W388" i="3"/>
  <c r="W384" i="3"/>
  <c r="W380" i="3"/>
  <c r="W376" i="3"/>
  <c r="W372" i="3"/>
  <c r="W368" i="3"/>
  <c r="W364" i="3"/>
  <c r="W360" i="3"/>
  <c r="W356" i="3"/>
  <c r="W352" i="3"/>
  <c r="W348" i="3"/>
  <c r="W344" i="3"/>
  <c r="W340" i="3"/>
  <c r="W336" i="3"/>
  <c r="W332" i="3"/>
  <c r="W328" i="3"/>
  <c r="W324" i="3"/>
  <c r="W320" i="3"/>
  <c r="W316" i="3"/>
  <c r="W312" i="3"/>
  <c r="W308" i="3"/>
  <c r="W304" i="3"/>
  <c r="W300" i="3"/>
  <c r="W296" i="3"/>
  <c r="W292" i="3"/>
  <c r="W288" i="3"/>
  <c r="W284" i="3"/>
  <c r="W280" i="3"/>
  <c r="W276" i="3"/>
  <c r="W272" i="3"/>
  <c r="W268" i="3"/>
  <c r="W264" i="3"/>
  <c r="W260" i="3"/>
  <c r="W256" i="3"/>
  <c r="W252" i="3"/>
  <c r="W248" i="3"/>
  <c r="W244" i="3"/>
  <c r="W240" i="3"/>
  <c r="W236" i="3"/>
  <c r="W232" i="3"/>
  <c r="W228" i="3"/>
  <c r="W224" i="3"/>
  <c r="W220" i="3"/>
  <c r="W216" i="3"/>
  <c r="W212" i="3"/>
  <c r="W208" i="3"/>
  <c r="W204" i="3"/>
  <c r="W200" i="3"/>
  <c r="W196" i="3"/>
  <c r="W192" i="3"/>
  <c r="W188" i="3"/>
  <c r="W184" i="3"/>
  <c r="W180" i="3"/>
  <c r="W176" i="3"/>
  <c r="W172" i="3"/>
  <c r="W168" i="3"/>
  <c r="W164" i="3"/>
  <c r="W160" i="3"/>
  <c r="W156" i="3"/>
  <c r="W152" i="3"/>
  <c r="W148" i="3"/>
  <c r="W144" i="3"/>
  <c r="W140" i="3"/>
  <c r="W136" i="3"/>
  <c r="W132" i="3"/>
  <c r="W128" i="3"/>
  <c r="W124" i="3"/>
  <c r="W120" i="3"/>
  <c r="W116" i="3"/>
  <c r="W112" i="3"/>
  <c r="W108" i="3"/>
  <c r="W104" i="3"/>
  <c r="W100" i="3"/>
  <c r="W96" i="3"/>
  <c r="W92" i="3"/>
  <c r="W88" i="3"/>
  <c r="W84" i="3"/>
  <c r="W80" i="3"/>
  <c r="W76" i="3"/>
  <c r="W72" i="3"/>
  <c r="W68" i="3"/>
  <c r="W64" i="3"/>
  <c r="W60" i="3"/>
  <c r="W56" i="3"/>
  <c r="W52" i="3"/>
  <c r="W48" i="3"/>
  <c r="W44" i="3"/>
  <c r="W40" i="3"/>
  <c r="W36" i="3"/>
  <c r="W32" i="3"/>
  <c r="W28" i="3"/>
  <c r="W24" i="3"/>
  <c r="W20" i="3"/>
  <c r="W16" i="3"/>
  <c r="W12" i="3"/>
  <c r="W8" i="3"/>
  <c r="W1002" i="3"/>
  <c r="W997" i="3"/>
  <c r="W991" i="3"/>
  <c r="W986" i="3"/>
  <c r="W981" i="3"/>
  <c r="W975" i="3"/>
  <c r="W970" i="3"/>
  <c r="W965" i="3"/>
  <c r="W959" i="3"/>
  <c r="W954" i="3"/>
  <c r="W949" i="3"/>
  <c r="W943" i="3"/>
  <c r="W938" i="3"/>
  <c r="W933" i="3"/>
  <c r="W927" i="3"/>
  <c r="W922" i="3"/>
  <c r="W917" i="3"/>
  <c r="W911" i="3"/>
  <c r="W906" i="3"/>
  <c r="W901" i="3"/>
  <c r="W895" i="3"/>
  <c r="W890" i="3"/>
  <c r="W885" i="3"/>
  <c r="W879" i="3"/>
  <c r="W874" i="3"/>
  <c r="W869" i="3"/>
  <c r="W863" i="3"/>
  <c r="W858" i="3"/>
  <c r="W853" i="3"/>
  <c r="W847" i="3"/>
  <c r="W842" i="3"/>
  <c r="W837" i="3"/>
  <c r="W831" i="3"/>
  <c r="W826" i="3"/>
  <c r="W821" i="3"/>
  <c r="W815" i="3"/>
  <c r="W810" i="3"/>
  <c r="W805" i="3"/>
  <c r="W799" i="3"/>
  <c r="W794" i="3"/>
  <c r="W789" i="3"/>
  <c r="W783" i="3"/>
  <c r="W778" i="3"/>
  <c r="W773" i="3"/>
  <c r="W767" i="3"/>
  <c r="W762" i="3"/>
  <c r="W757" i="3"/>
  <c r="W751" i="3"/>
  <c r="W746" i="3"/>
  <c r="W741" i="3"/>
  <c r="W735" i="3"/>
  <c r="W730" i="3"/>
  <c r="W725" i="3"/>
  <c r="W719" i="3"/>
  <c r="W714" i="3"/>
  <c r="W709" i="3"/>
  <c r="W703" i="3"/>
  <c r="W698" i="3"/>
  <c r="W693" i="3"/>
  <c r="W687" i="3"/>
  <c r="W682" i="3"/>
  <c r="W677" i="3"/>
  <c r="W671" i="3"/>
  <c r="W666" i="3"/>
  <c r="W661" i="3"/>
  <c r="W655" i="3"/>
  <c r="W650" i="3"/>
  <c r="W645" i="3"/>
  <c r="W639" i="3"/>
  <c r="W634" i="3"/>
  <c r="W629" i="3"/>
  <c r="W623" i="3"/>
  <c r="W618" i="3"/>
  <c r="W613" i="3"/>
  <c r="W607" i="3"/>
  <c r="W602" i="3"/>
  <c r="W597" i="3"/>
  <c r="W591" i="3"/>
  <c r="W586" i="3"/>
  <c r="W581" i="3"/>
  <c r="W575" i="3"/>
  <c r="W570" i="3"/>
  <c r="W565" i="3"/>
  <c r="W559" i="3"/>
  <c r="W554" i="3"/>
  <c r="W549" i="3"/>
  <c r="W543" i="3"/>
  <c r="W538" i="3"/>
  <c r="W533" i="3"/>
  <c r="W527" i="3"/>
  <c r="W522" i="3"/>
  <c r="W517" i="3"/>
  <c r="W511" i="3"/>
  <c r="W506" i="3"/>
  <c r="W501" i="3"/>
  <c r="W495" i="3"/>
  <c r="W490" i="3"/>
  <c r="W485" i="3"/>
  <c r="W479" i="3"/>
  <c r="W474" i="3"/>
  <c r="W469" i="3"/>
  <c r="W463" i="3"/>
  <c r="W458" i="3"/>
  <c r="W453" i="3"/>
  <c r="W447" i="3"/>
  <c r="W442" i="3"/>
  <c r="W437" i="3"/>
  <c r="W431" i="3"/>
  <c r="W426" i="3"/>
  <c r="W421" i="3"/>
  <c r="W415" i="3"/>
  <c r="W410" i="3"/>
  <c r="W405" i="3"/>
  <c r="W399" i="3"/>
  <c r="W394" i="3"/>
  <c r="W389" i="3"/>
  <c r="W383" i="3"/>
  <c r="W378" i="3"/>
  <c r="W373" i="3"/>
  <c r="W367" i="3"/>
  <c r="W362" i="3"/>
  <c r="W357" i="3"/>
  <c r="W351" i="3"/>
  <c r="W346" i="3"/>
  <c r="W341" i="3"/>
  <c r="W335" i="3"/>
  <c r="W330" i="3"/>
  <c r="W325" i="3"/>
  <c r="W319" i="3"/>
  <c r="W314" i="3"/>
  <c r="W309" i="3"/>
  <c r="W303" i="3"/>
  <c r="W298" i="3"/>
  <c r="W293" i="3"/>
  <c r="W287" i="3"/>
  <c r="W282" i="3"/>
  <c r="W277" i="3"/>
  <c r="W271" i="3"/>
  <c r="W266" i="3"/>
  <c r="W261" i="3"/>
  <c r="W255" i="3"/>
  <c r="W250" i="3"/>
  <c r="W245" i="3"/>
  <c r="W239" i="3"/>
  <c r="W234" i="3"/>
  <c r="W229" i="3"/>
  <c r="W223" i="3"/>
  <c r="W218" i="3"/>
  <c r="W213" i="3"/>
  <c r="W207" i="3"/>
  <c r="W202" i="3"/>
  <c r="W197" i="3"/>
  <c r="W191" i="3"/>
  <c r="W186" i="3"/>
  <c r="W181" i="3"/>
  <c r="W175" i="3"/>
  <c r="W170" i="3"/>
  <c r="W165" i="3"/>
  <c r="W159" i="3"/>
  <c r="W154" i="3"/>
  <c r="W149" i="3"/>
  <c r="W143" i="3"/>
  <c r="W138" i="3"/>
  <c r="W133" i="3"/>
  <c r="W127" i="3"/>
  <c r="W122" i="3"/>
  <c r="W117" i="3"/>
  <c r="W111" i="3"/>
  <c r="W106" i="3"/>
  <c r="W101" i="3"/>
  <c r="W95" i="3"/>
  <c r="W90" i="3"/>
  <c r="W85" i="3"/>
  <c r="W79" i="3"/>
  <c r="W74" i="3"/>
  <c r="W69" i="3"/>
  <c r="W63" i="3"/>
  <c r="W58" i="3"/>
  <c r="W53" i="3"/>
  <c r="W47" i="3"/>
  <c r="W42" i="3"/>
  <c r="W37" i="3"/>
  <c r="W31" i="3"/>
  <c r="W26" i="3"/>
  <c r="W21" i="3"/>
  <c r="W15" i="3"/>
  <c r="W10" i="3"/>
  <c r="W6" i="3"/>
  <c r="W999" i="3"/>
  <c r="W994" i="3"/>
  <c r="W989" i="3"/>
  <c r="W983" i="3"/>
  <c r="W978" i="3"/>
  <c r="W973" i="3"/>
  <c r="W967" i="3"/>
  <c r="W962" i="3"/>
  <c r="W957" i="3"/>
  <c r="W951" i="3"/>
  <c r="W946" i="3"/>
  <c r="W941" i="3"/>
  <c r="W935" i="3"/>
  <c r="W930" i="3"/>
  <c r="W925" i="3"/>
  <c r="W919" i="3"/>
  <c r="W914" i="3"/>
  <c r="W909" i="3"/>
  <c r="W903" i="3"/>
  <c r="W898" i="3"/>
  <c r="W893" i="3"/>
  <c r="W887" i="3"/>
  <c r="W882" i="3"/>
  <c r="W877" i="3"/>
  <c r="W871" i="3"/>
  <c r="W866" i="3"/>
  <c r="W861" i="3"/>
  <c r="W855" i="3"/>
  <c r="W850" i="3"/>
  <c r="W845" i="3"/>
  <c r="W839" i="3"/>
  <c r="W834" i="3"/>
  <c r="W829" i="3"/>
  <c r="W823" i="3"/>
  <c r="W818" i="3"/>
  <c r="W813" i="3"/>
  <c r="W807" i="3"/>
  <c r="W802" i="3"/>
  <c r="W797" i="3"/>
  <c r="W791" i="3"/>
  <c r="W786" i="3"/>
  <c r="W781" i="3"/>
  <c r="W775" i="3"/>
  <c r="W770" i="3"/>
  <c r="W765" i="3"/>
  <c r="W759" i="3"/>
  <c r="W754" i="3"/>
  <c r="W749" i="3"/>
  <c r="W743" i="3"/>
  <c r="W738" i="3"/>
  <c r="W733" i="3"/>
  <c r="W727" i="3"/>
  <c r="W722" i="3"/>
  <c r="W717" i="3"/>
  <c r="W711" i="3"/>
  <c r="W706" i="3"/>
  <c r="W701" i="3"/>
  <c r="W695" i="3"/>
  <c r="W690" i="3"/>
  <c r="W685" i="3"/>
  <c r="W679" i="3"/>
  <c r="W674" i="3"/>
  <c r="W669" i="3"/>
  <c r="W663" i="3"/>
  <c r="W658" i="3"/>
  <c r="W653" i="3"/>
  <c r="W647" i="3"/>
  <c r="W642" i="3"/>
  <c r="W637" i="3"/>
  <c r="W631" i="3"/>
  <c r="W626" i="3"/>
  <c r="W621" i="3"/>
  <c r="W615" i="3"/>
  <c r="W610" i="3"/>
  <c r="W605" i="3"/>
  <c r="W599" i="3"/>
  <c r="W594" i="3"/>
  <c r="W589" i="3"/>
  <c r="W583" i="3"/>
  <c r="W578" i="3"/>
  <c r="W573" i="3"/>
  <c r="W567" i="3"/>
  <c r="W562" i="3"/>
  <c r="W557" i="3"/>
  <c r="W551" i="3"/>
  <c r="W546" i="3"/>
  <c r="W541" i="3"/>
  <c r="W535" i="3"/>
  <c r="W530" i="3"/>
  <c r="W525" i="3"/>
  <c r="W519" i="3"/>
  <c r="W514" i="3"/>
  <c r="W509" i="3"/>
  <c r="W503" i="3"/>
  <c r="W498" i="3"/>
  <c r="W493" i="3"/>
  <c r="W487" i="3"/>
  <c r="W482" i="3"/>
  <c r="W477" i="3"/>
  <c r="W471" i="3"/>
  <c r="W466" i="3"/>
  <c r="W461" i="3"/>
  <c r="W455" i="3"/>
  <c r="W450" i="3"/>
  <c r="W445" i="3"/>
  <c r="W439" i="3"/>
  <c r="W434" i="3"/>
  <c r="W429" i="3"/>
  <c r="W423" i="3"/>
  <c r="W418" i="3"/>
  <c r="W413" i="3"/>
  <c r="W407" i="3"/>
  <c r="W402" i="3"/>
  <c r="W397" i="3"/>
  <c r="W391" i="3"/>
  <c r="W386" i="3"/>
  <c r="W381" i="3"/>
  <c r="W375" i="3"/>
  <c r="W370" i="3"/>
  <c r="W365" i="3"/>
  <c r="W359" i="3"/>
  <c r="W354" i="3"/>
  <c r="W349" i="3"/>
  <c r="W343" i="3"/>
  <c r="W338" i="3"/>
  <c r="W333" i="3"/>
  <c r="W327" i="3"/>
  <c r="W322" i="3"/>
  <c r="W317" i="3"/>
  <c r="W311" i="3"/>
  <c r="W306" i="3"/>
  <c r="W301" i="3"/>
  <c r="W295" i="3"/>
  <c r="W290" i="3"/>
  <c r="W285" i="3"/>
  <c r="W279" i="3"/>
  <c r="W274" i="3"/>
  <c r="W269" i="3"/>
  <c r="W263" i="3"/>
  <c r="W258" i="3"/>
  <c r="W253" i="3"/>
  <c r="W247" i="3"/>
  <c r="W242" i="3"/>
  <c r="W237" i="3"/>
  <c r="W231" i="3"/>
  <c r="W226" i="3"/>
  <c r="W221" i="3"/>
  <c r="W215" i="3"/>
  <c r="W210" i="3"/>
  <c r="W205" i="3"/>
  <c r="W199" i="3"/>
  <c r="W194" i="3"/>
  <c r="W189" i="3"/>
  <c r="W183" i="3"/>
  <c r="W178" i="3"/>
  <c r="W173" i="3"/>
  <c r="W167" i="3"/>
  <c r="W162" i="3"/>
  <c r="W157" i="3"/>
  <c r="W151" i="3"/>
  <c r="W146" i="3"/>
  <c r="W141" i="3"/>
  <c r="W135" i="3"/>
  <c r="W130" i="3"/>
  <c r="W125" i="3"/>
  <c r="W119" i="3"/>
  <c r="W114" i="3"/>
  <c r="W109" i="3"/>
  <c r="W103" i="3"/>
  <c r="W98" i="3"/>
  <c r="W93" i="3"/>
  <c r="W87" i="3"/>
  <c r="W82" i="3"/>
  <c r="W77" i="3"/>
  <c r="W71" i="3"/>
  <c r="W66" i="3"/>
  <c r="W61" i="3"/>
  <c r="W55" i="3"/>
  <c r="W50" i="3"/>
  <c r="W45" i="3"/>
  <c r="W39" i="3"/>
  <c r="W34" i="3"/>
  <c r="W29" i="3"/>
  <c r="W23" i="3"/>
  <c r="W18" i="3"/>
  <c r="W13" i="3"/>
  <c r="W7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990" i="3"/>
  <c r="W969" i="3"/>
  <c r="W947" i="3"/>
  <c r="W926" i="3"/>
  <c r="W905" i="3"/>
  <c r="W883" i="3"/>
  <c r="W862" i="3"/>
  <c r="W841" i="3"/>
  <c r="W819" i="3"/>
  <c r="W798" i="3"/>
  <c r="W777" i="3"/>
  <c r="W755" i="3"/>
  <c r="W734" i="3"/>
  <c r="W713" i="3"/>
  <c r="W691" i="3"/>
  <c r="W670" i="3"/>
  <c r="W649" i="3"/>
  <c r="W627" i="3"/>
  <c r="W606" i="3"/>
  <c r="W585" i="3"/>
  <c r="W563" i="3"/>
  <c r="W542" i="3"/>
  <c r="W521" i="3"/>
  <c r="W499" i="3"/>
  <c r="W478" i="3"/>
  <c r="W457" i="3"/>
  <c r="W435" i="3"/>
  <c r="W414" i="3"/>
  <c r="W393" i="3"/>
  <c r="W371" i="3"/>
  <c r="W350" i="3"/>
  <c r="W329" i="3"/>
  <c r="W307" i="3"/>
  <c r="W286" i="3"/>
  <c r="W265" i="3"/>
  <c r="W243" i="3"/>
  <c r="W222" i="3"/>
  <c r="W201" i="3"/>
  <c r="W179" i="3"/>
  <c r="W158" i="3"/>
  <c r="W137" i="3"/>
  <c r="W115" i="3"/>
  <c r="W94" i="3"/>
  <c r="W73" i="3"/>
  <c r="W51" i="3"/>
  <c r="W30" i="3"/>
  <c r="W9" i="3"/>
  <c r="W985" i="3"/>
  <c r="W963" i="3"/>
  <c r="W942" i="3"/>
  <c r="W921" i="3"/>
  <c r="W899" i="3"/>
  <c r="W878" i="3"/>
  <c r="W857" i="3"/>
  <c r="W835" i="3"/>
  <c r="W814" i="3"/>
  <c r="W793" i="3"/>
  <c r="W771" i="3"/>
  <c r="W750" i="3"/>
  <c r="W729" i="3"/>
  <c r="W707" i="3"/>
  <c r="W686" i="3"/>
  <c r="W665" i="3"/>
  <c r="W643" i="3"/>
  <c r="W622" i="3"/>
  <c r="W601" i="3"/>
  <c r="W579" i="3"/>
  <c r="W558" i="3"/>
  <c r="W537" i="3"/>
  <c r="W515" i="3"/>
  <c r="W494" i="3"/>
  <c r="W473" i="3"/>
  <c r="W451" i="3"/>
  <c r="W430" i="3"/>
  <c r="W409" i="3"/>
  <c r="W387" i="3"/>
  <c r="W366" i="3"/>
  <c r="W345" i="3"/>
  <c r="W323" i="3"/>
  <c r="W302" i="3"/>
  <c r="W281" i="3"/>
  <c r="W259" i="3"/>
  <c r="W238" i="3"/>
  <c r="W217" i="3"/>
  <c r="W195" i="3"/>
  <c r="W174" i="3"/>
  <c r="W153" i="3"/>
  <c r="W131" i="3"/>
  <c r="W110" i="3"/>
  <c r="W89" i="3"/>
  <c r="W67" i="3"/>
  <c r="W46" i="3"/>
  <c r="W25" i="3"/>
  <c r="W995" i="3"/>
  <c r="W974" i="3"/>
  <c r="W953" i="3"/>
  <c r="W931" i="3"/>
  <c r="W910" i="3"/>
  <c r="W889" i="3"/>
  <c r="W867" i="3"/>
  <c r="W846" i="3"/>
  <c r="W825" i="3"/>
  <c r="W803" i="3"/>
  <c r="W782" i="3"/>
  <c r="W761" i="3"/>
  <c r="W739" i="3"/>
  <c r="W718" i="3"/>
  <c r="W697" i="3"/>
  <c r="W675" i="3"/>
  <c r="W654" i="3"/>
  <c r="W633" i="3"/>
  <c r="W611" i="3"/>
  <c r="W590" i="3"/>
  <c r="W569" i="3"/>
  <c r="W547" i="3"/>
  <c r="W526" i="3"/>
  <c r="W505" i="3"/>
  <c r="W483" i="3"/>
  <c r="W462" i="3"/>
  <c r="W441" i="3"/>
  <c r="W419" i="3"/>
  <c r="W398" i="3"/>
  <c r="W377" i="3"/>
  <c r="W355" i="3"/>
  <c r="W334" i="3"/>
  <c r="W313" i="3"/>
  <c r="W291" i="3"/>
  <c r="W270" i="3"/>
  <c r="W249" i="3"/>
  <c r="W227" i="3"/>
  <c r="W206" i="3"/>
  <c r="W185" i="3"/>
  <c r="W163" i="3"/>
  <c r="W142" i="3"/>
  <c r="W121" i="3"/>
  <c r="W99" i="3"/>
  <c r="W78" i="3"/>
  <c r="W57" i="3"/>
  <c r="W35" i="3"/>
  <c r="W14" i="3"/>
  <c r="W1001" i="3"/>
  <c r="W979" i="3"/>
  <c r="W958" i="3"/>
  <c r="W937" i="3"/>
  <c r="W915" i="3"/>
  <c r="W894" i="3"/>
  <c r="W873" i="3"/>
  <c r="W851" i="3"/>
  <c r="W830" i="3"/>
  <c r="W809" i="3"/>
  <c r="W787" i="3"/>
  <c r="W766" i="3"/>
  <c r="W745" i="3"/>
  <c r="W723" i="3"/>
  <c r="W702" i="3"/>
  <c r="W681" i="3"/>
  <c r="W659" i="3"/>
  <c r="W638" i="3"/>
  <c r="W617" i="3"/>
  <c r="W595" i="3"/>
  <c r="W574" i="3"/>
  <c r="W553" i="3"/>
  <c r="W531" i="3"/>
  <c r="W510" i="3"/>
  <c r="W489" i="3"/>
  <c r="W467" i="3"/>
  <c r="W446" i="3"/>
  <c r="W425" i="3"/>
  <c r="W403" i="3"/>
  <c r="W382" i="3"/>
  <c r="W361" i="3"/>
  <c r="W339" i="3"/>
  <c r="W318" i="3"/>
  <c r="W297" i="3"/>
  <c r="W275" i="3"/>
  <c r="W254" i="3"/>
  <c r="W233" i="3"/>
  <c r="W211" i="3"/>
  <c r="W190" i="3"/>
  <c r="W169" i="3"/>
  <c r="W147" i="3"/>
  <c r="W126" i="3"/>
  <c r="W105" i="3"/>
  <c r="W83" i="3"/>
  <c r="W62" i="3"/>
  <c r="W41" i="3"/>
  <c r="W19" i="3"/>
  <c r="M1002" i="3"/>
  <c r="M998" i="3"/>
  <c r="M994" i="3"/>
  <c r="M990" i="3"/>
  <c r="M986" i="3"/>
  <c r="M982" i="3"/>
  <c r="M978" i="3"/>
  <c r="M974" i="3"/>
  <c r="M970" i="3"/>
  <c r="M966" i="3"/>
  <c r="M962" i="3"/>
  <c r="M958" i="3"/>
  <c r="M954" i="3"/>
  <c r="M950" i="3"/>
  <c r="M946" i="3"/>
  <c r="M942" i="3"/>
  <c r="M938" i="3"/>
  <c r="M934" i="3"/>
  <c r="M930" i="3"/>
  <c r="M926" i="3"/>
  <c r="M922" i="3"/>
  <c r="M918" i="3"/>
  <c r="M914" i="3"/>
  <c r="M910" i="3"/>
  <c r="M906" i="3"/>
  <c r="M902" i="3"/>
  <c r="M898" i="3"/>
  <c r="M894" i="3"/>
  <c r="M890" i="3"/>
  <c r="M886" i="3"/>
  <c r="M882" i="3"/>
  <c r="M878" i="3"/>
  <c r="M874" i="3"/>
  <c r="M870" i="3"/>
  <c r="M866" i="3"/>
  <c r="M862" i="3"/>
  <c r="M858" i="3"/>
  <c r="M854" i="3"/>
  <c r="M850" i="3"/>
  <c r="M846" i="3"/>
  <c r="M842" i="3"/>
  <c r="M838" i="3"/>
  <c r="M834" i="3"/>
  <c r="M830" i="3"/>
  <c r="M826" i="3"/>
  <c r="M822" i="3"/>
  <c r="M818" i="3"/>
  <c r="M814" i="3"/>
  <c r="M810" i="3"/>
  <c r="M806" i="3"/>
  <c r="M802" i="3"/>
  <c r="M798" i="3"/>
  <c r="M794" i="3"/>
  <c r="M790" i="3"/>
  <c r="M786" i="3"/>
  <c r="M782" i="3"/>
  <c r="M778" i="3"/>
  <c r="M774" i="3"/>
  <c r="M770" i="3"/>
  <c r="M766" i="3"/>
  <c r="M762" i="3"/>
  <c r="M758" i="3"/>
  <c r="M754" i="3"/>
  <c r="M750" i="3"/>
  <c r="M746" i="3"/>
  <c r="M742" i="3"/>
  <c r="M738" i="3"/>
  <c r="M734" i="3"/>
  <c r="M730" i="3"/>
  <c r="M726" i="3"/>
  <c r="M722" i="3"/>
  <c r="M718" i="3"/>
  <c r="M714" i="3"/>
  <c r="M710" i="3"/>
  <c r="M706" i="3"/>
  <c r="M702" i="3"/>
  <c r="M698" i="3"/>
  <c r="M694" i="3"/>
  <c r="M690" i="3"/>
  <c r="M686" i="3"/>
  <c r="M682" i="3"/>
  <c r="M678" i="3"/>
  <c r="M674" i="3"/>
  <c r="M670" i="3"/>
  <c r="M666" i="3"/>
  <c r="M662" i="3"/>
  <c r="M658" i="3"/>
  <c r="M654" i="3"/>
  <c r="M650" i="3"/>
  <c r="M646" i="3"/>
  <c r="M642" i="3"/>
  <c r="M638" i="3"/>
  <c r="M634" i="3"/>
  <c r="M630" i="3"/>
  <c r="M626" i="3"/>
  <c r="M622" i="3"/>
  <c r="M618" i="3"/>
  <c r="M614" i="3"/>
  <c r="M610" i="3"/>
  <c r="M606" i="3"/>
  <c r="M602" i="3"/>
  <c r="M598" i="3"/>
  <c r="M594" i="3"/>
  <c r="M590" i="3"/>
  <c r="M586" i="3"/>
  <c r="M582" i="3"/>
  <c r="M578" i="3"/>
  <c r="M574" i="3"/>
  <c r="M570" i="3"/>
  <c r="M566" i="3"/>
  <c r="M562" i="3"/>
  <c r="M558" i="3"/>
  <c r="M554" i="3"/>
  <c r="M550" i="3"/>
  <c r="M546" i="3"/>
  <c r="M542" i="3"/>
  <c r="M538" i="3"/>
  <c r="M534" i="3"/>
  <c r="M530" i="3"/>
  <c r="M526" i="3"/>
  <c r="M522" i="3"/>
  <c r="M518" i="3"/>
  <c r="M514" i="3"/>
  <c r="M510" i="3"/>
  <c r="M506" i="3"/>
  <c r="M502" i="3"/>
  <c r="M498" i="3"/>
  <c r="M494" i="3"/>
  <c r="M490" i="3"/>
  <c r="M486" i="3"/>
  <c r="M482" i="3"/>
  <c r="M478" i="3"/>
  <c r="M474" i="3"/>
  <c r="M470" i="3"/>
  <c r="M466" i="3"/>
  <c r="M462" i="3"/>
  <c r="M458" i="3"/>
  <c r="M454" i="3"/>
  <c r="M450" i="3"/>
  <c r="M446" i="3"/>
  <c r="M442" i="3"/>
  <c r="M438" i="3"/>
  <c r="M434" i="3"/>
  <c r="M430" i="3"/>
  <c r="M426" i="3"/>
  <c r="M422" i="3"/>
  <c r="M418" i="3"/>
  <c r="M414" i="3"/>
  <c r="M410" i="3"/>
  <c r="M406" i="3"/>
  <c r="M402" i="3"/>
  <c r="M398" i="3"/>
  <c r="M394" i="3"/>
  <c r="M390" i="3"/>
  <c r="M386" i="3"/>
  <c r="M382" i="3"/>
  <c r="M378" i="3"/>
  <c r="M374" i="3"/>
  <c r="M370" i="3"/>
  <c r="M366" i="3"/>
  <c r="M362" i="3"/>
  <c r="M358" i="3"/>
  <c r="M354" i="3"/>
  <c r="M350" i="3"/>
  <c r="M346" i="3"/>
  <c r="M342" i="3"/>
  <c r="M338" i="3"/>
  <c r="M334" i="3"/>
  <c r="M330" i="3"/>
  <c r="M326" i="3"/>
  <c r="M322" i="3"/>
  <c r="M318" i="3"/>
  <c r="M314" i="3"/>
  <c r="M310" i="3"/>
  <c r="M306" i="3"/>
  <c r="M302" i="3"/>
  <c r="M298" i="3"/>
  <c r="M294" i="3"/>
  <c r="M290" i="3"/>
  <c r="M286" i="3"/>
  <c r="M282" i="3"/>
  <c r="M278" i="3"/>
  <c r="M274" i="3"/>
  <c r="M270" i="3"/>
  <c r="M266" i="3"/>
  <c r="M262" i="3"/>
  <c r="M258" i="3"/>
  <c r="M254" i="3"/>
  <c r="M250" i="3"/>
  <c r="M246" i="3"/>
  <c r="M242" i="3"/>
  <c r="M238" i="3"/>
  <c r="M234" i="3"/>
  <c r="M230" i="3"/>
  <c r="M226" i="3"/>
  <c r="M222" i="3"/>
  <c r="M218" i="3"/>
  <c r="M214" i="3"/>
  <c r="M210" i="3"/>
  <c r="M206" i="3"/>
  <c r="M202" i="3"/>
  <c r="M198" i="3"/>
  <c r="M194" i="3"/>
  <c r="M190" i="3"/>
  <c r="M186" i="3"/>
  <c r="M182" i="3"/>
  <c r="M178" i="3"/>
  <c r="M174" i="3"/>
  <c r="M170" i="3"/>
  <c r="M166" i="3"/>
  <c r="M162" i="3"/>
  <c r="M158" i="3"/>
  <c r="M154" i="3"/>
  <c r="M150" i="3"/>
  <c r="M146" i="3"/>
  <c r="M142" i="3"/>
  <c r="M138" i="3"/>
  <c r="M134" i="3"/>
  <c r="M130" i="3"/>
  <c r="M126" i="3"/>
  <c r="M122" i="3"/>
  <c r="M118" i="3"/>
  <c r="M114" i="3"/>
  <c r="M110" i="3"/>
  <c r="M106" i="3"/>
  <c r="M102" i="3"/>
  <c r="M98" i="3"/>
  <c r="M94" i="3"/>
  <c r="M90" i="3"/>
  <c r="M86" i="3"/>
  <c r="M82" i="3"/>
  <c r="M78" i="3"/>
  <c r="M74" i="3"/>
  <c r="M70" i="3"/>
  <c r="M66" i="3"/>
  <c r="M62" i="3"/>
  <c r="M58" i="3"/>
  <c r="M54" i="3"/>
  <c r="M50" i="3"/>
  <c r="M46" i="3"/>
  <c r="M42" i="3"/>
  <c r="M38" i="3"/>
  <c r="M34" i="3"/>
  <c r="M30" i="3"/>
  <c r="M26" i="3"/>
  <c r="M22" i="3"/>
  <c r="M18" i="3"/>
  <c r="M14" i="3"/>
  <c r="M10" i="3"/>
  <c r="M1004" i="3"/>
  <c r="M1000" i="3"/>
  <c r="M996" i="3"/>
  <c r="M992" i="3"/>
  <c r="M988" i="3"/>
  <c r="M984" i="3"/>
  <c r="M980" i="3"/>
  <c r="M976" i="3"/>
  <c r="M972" i="3"/>
  <c r="M968" i="3"/>
  <c r="M964" i="3"/>
  <c r="M960" i="3"/>
  <c r="M956" i="3"/>
  <c r="M952" i="3"/>
  <c r="M948" i="3"/>
  <c r="M944" i="3"/>
  <c r="M940" i="3"/>
  <c r="M936" i="3"/>
  <c r="M932" i="3"/>
  <c r="M928" i="3"/>
  <c r="M924" i="3"/>
  <c r="M920" i="3"/>
  <c r="M916" i="3"/>
  <c r="M912" i="3"/>
  <c r="M908" i="3"/>
  <c r="M904" i="3"/>
  <c r="M900" i="3"/>
  <c r="M896" i="3"/>
  <c r="M892" i="3"/>
  <c r="M888" i="3"/>
  <c r="M884" i="3"/>
  <c r="M880" i="3"/>
  <c r="M876" i="3"/>
  <c r="M872" i="3"/>
  <c r="M868" i="3"/>
  <c r="M864" i="3"/>
  <c r="M860" i="3"/>
  <c r="M856" i="3"/>
  <c r="M852" i="3"/>
  <c r="M848" i="3"/>
  <c r="M844" i="3"/>
  <c r="M840" i="3"/>
  <c r="M836" i="3"/>
  <c r="M832" i="3"/>
  <c r="M828" i="3"/>
  <c r="M824" i="3"/>
  <c r="M820" i="3"/>
  <c r="M816" i="3"/>
  <c r="M812" i="3"/>
  <c r="M808" i="3"/>
  <c r="M804" i="3"/>
  <c r="M800" i="3"/>
  <c r="M796" i="3"/>
  <c r="M792" i="3"/>
  <c r="M788" i="3"/>
  <c r="M784" i="3"/>
  <c r="M780" i="3"/>
  <c r="M776" i="3"/>
  <c r="M772" i="3"/>
  <c r="M768" i="3"/>
  <c r="M764" i="3"/>
  <c r="M760" i="3"/>
  <c r="M756" i="3"/>
  <c r="M752" i="3"/>
  <c r="M748" i="3"/>
  <c r="M744" i="3"/>
  <c r="M740" i="3"/>
  <c r="M736" i="3"/>
  <c r="M732" i="3"/>
  <c r="M728" i="3"/>
  <c r="M724" i="3"/>
  <c r="M720" i="3"/>
  <c r="M716" i="3"/>
  <c r="M712" i="3"/>
  <c r="M708" i="3"/>
  <c r="M704" i="3"/>
  <c r="M700" i="3"/>
  <c r="M696" i="3"/>
  <c r="M692" i="3"/>
  <c r="M688" i="3"/>
  <c r="M684" i="3"/>
  <c r="M680" i="3"/>
  <c r="M676" i="3"/>
  <c r="M672" i="3"/>
  <c r="M668" i="3"/>
  <c r="M664" i="3"/>
  <c r="M660" i="3"/>
  <c r="M656" i="3"/>
  <c r="M652" i="3"/>
  <c r="M648" i="3"/>
  <c r="M644" i="3"/>
  <c r="M640" i="3"/>
  <c r="M636" i="3"/>
  <c r="M632" i="3"/>
  <c r="M628" i="3"/>
  <c r="M624" i="3"/>
  <c r="M620" i="3"/>
  <c r="M616" i="3"/>
  <c r="M612" i="3"/>
  <c r="M608" i="3"/>
  <c r="M604" i="3"/>
  <c r="M600" i="3"/>
  <c r="M596" i="3"/>
  <c r="M592" i="3"/>
  <c r="M588" i="3"/>
  <c r="M584" i="3"/>
  <c r="M580" i="3"/>
  <c r="M576" i="3"/>
  <c r="M572" i="3"/>
  <c r="M568" i="3"/>
  <c r="M564" i="3"/>
  <c r="M560" i="3"/>
  <c r="M556" i="3"/>
  <c r="M552" i="3"/>
  <c r="M548" i="3"/>
  <c r="M544" i="3"/>
  <c r="M540" i="3"/>
  <c r="M536" i="3"/>
  <c r="M532" i="3"/>
  <c r="M528" i="3"/>
  <c r="M524" i="3"/>
  <c r="M520" i="3"/>
  <c r="M516" i="3"/>
  <c r="M512" i="3"/>
  <c r="M508" i="3"/>
  <c r="M504" i="3"/>
  <c r="M500" i="3"/>
  <c r="M496" i="3"/>
  <c r="M492" i="3"/>
  <c r="M488" i="3"/>
  <c r="M484" i="3"/>
  <c r="M480" i="3"/>
  <c r="M476" i="3"/>
  <c r="M472" i="3"/>
  <c r="M468" i="3"/>
  <c r="M464" i="3"/>
  <c r="M460" i="3"/>
  <c r="M456" i="3"/>
  <c r="M452" i="3"/>
  <c r="M448" i="3"/>
  <c r="M444" i="3"/>
  <c r="M440" i="3"/>
  <c r="M436" i="3"/>
  <c r="M432" i="3"/>
  <c r="M428" i="3"/>
  <c r="M424" i="3"/>
  <c r="M420" i="3"/>
  <c r="M416" i="3"/>
  <c r="M412" i="3"/>
  <c r="M408" i="3"/>
  <c r="M404" i="3"/>
  <c r="M400" i="3"/>
  <c r="M396" i="3"/>
  <c r="M392" i="3"/>
  <c r="M388" i="3"/>
  <c r="M384" i="3"/>
  <c r="M380" i="3"/>
  <c r="M376" i="3"/>
  <c r="M372" i="3"/>
  <c r="M368" i="3"/>
  <c r="M364" i="3"/>
  <c r="M360" i="3"/>
  <c r="M356" i="3"/>
  <c r="M352" i="3"/>
  <c r="M348" i="3"/>
  <c r="M344" i="3"/>
  <c r="M340" i="3"/>
  <c r="M336" i="3"/>
  <c r="M332" i="3"/>
  <c r="M328" i="3"/>
  <c r="M324" i="3"/>
  <c r="M320" i="3"/>
  <c r="M316" i="3"/>
  <c r="M312" i="3"/>
  <c r="M308" i="3"/>
  <c r="M304" i="3"/>
  <c r="M300" i="3"/>
  <c r="M296" i="3"/>
  <c r="M292" i="3"/>
  <c r="M288" i="3"/>
  <c r="M284" i="3"/>
  <c r="M280" i="3"/>
  <c r="M276" i="3"/>
  <c r="M272" i="3"/>
  <c r="M268" i="3"/>
  <c r="M264" i="3"/>
  <c r="M260" i="3"/>
  <c r="M256" i="3"/>
  <c r="M252" i="3"/>
  <c r="M248" i="3"/>
  <c r="M244" i="3"/>
  <c r="M240" i="3"/>
  <c r="M236" i="3"/>
  <c r="M232" i="3"/>
  <c r="M228" i="3"/>
  <c r="M224" i="3"/>
  <c r="M220" i="3"/>
  <c r="M216" i="3"/>
  <c r="M212" i="3"/>
  <c r="M208" i="3"/>
  <c r="M204" i="3"/>
  <c r="M200" i="3"/>
  <c r="M196" i="3"/>
  <c r="M192" i="3"/>
  <c r="M188" i="3"/>
  <c r="M184" i="3"/>
  <c r="M180" i="3"/>
  <c r="M176" i="3"/>
  <c r="M172" i="3"/>
  <c r="M168" i="3"/>
  <c r="M164" i="3"/>
  <c r="M160" i="3"/>
  <c r="M156" i="3"/>
  <c r="M152" i="3"/>
  <c r="M148" i="3"/>
  <c r="M144" i="3"/>
  <c r="M140" i="3"/>
  <c r="M136" i="3"/>
  <c r="M132" i="3"/>
  <c r="M128" i="3"/>
  <c r="M124" i="3"/>
  <c r="M120" i="3"/>
  <c r="M116" i="3"/>
  <c r="M112" i="3"/>
  <c r="M108" i="3"/>
  <c r="M104" i="3"/>
  <c r="M100" i="3"/>
  <c r="M96" i="3"/>
  <c r="M92" i="3"/>
  <c r="M88" i="3"/>
  <c r="M84" i="3"/>
  <c r="M80" i="3"/>
  <c r="M76" i="3"/>
  <c r="M72" i="3"/>
  <c r="M68" i="3"/>
  <c r="M64" i="3"/>
  <c r="M60" i="3"/>
  <c r="M56" i="3"/>
  <c r="M52" i="3"/>
  <c r="M48" i="3"/>
  <c r="M44" i="3"/>
  <c r="M40" i="3"/>
  <c r="M36" i="3"/>
  <c r="M32" i="3"/>
  <c r="M28" i="3"/>
  <c r="M24" i="3"/>
  <c r="M20" i="3"/>
  <c r="M16" i="3"/>
  <c r="M12" i="3"/>
  <c r="M8" i="3"/>
  <c r="M1003" i="3"/>
  <c r="M999" i="3"/>
  <c r="M995" i="3"/>
  <c r="M991" i="3"/>
  <c r="M987" i="3"/>
  <c r="M983" i="3"/>
  <c r="M979" i="3"/>
  <c r="M975" i="3"/>
  <c r="M971" i="3"/>
  <c r="M967" i="3"/>
  <c r="M963" i="3"/>
  <c r="M959" i="3"/>
  <c r="M955" i="3"/>
  <c r="M951" i="3"/>
  <c r="M947" i="3"/>
  <c r="M943" i="3"/>
  <c r="M939" i="3"/>
  <c r="M935" i="3"/>
  <c r="M931" i="3"/>
  <c r="M927" i="3"/>
  <c r="M923" i="3"/>
  <c r="M919" i="3"/>
  <c r="M915" i="3"/>
  <c r="M911" i="3"/>
  <c r="M907" i="3"/>
  <c r="M903" i="3"/>
  <c r="M899" i="3"/>
  <c r="M895" i="3"/>
  <c r="M891" i="3"/>
  <c r="M887" i="3"/>
  <c r="M883" i="3"/>
  <c r="M879" i="3"/>
  <c r="M875" i="3"/>
  <c r="M871" i="3"/>
  <c r="M867" i="3"/>
  <c r="M863" i="3"/>
  <c r="M859" i="3"/>
  <c r="M855" i="3"/>
  <c r="M851" i="3"/>
  <c r="M847" i="3"/>
  <c r="M843" i="3"/>
  <c r="M839" i="3"/>
  <c r="M835" i="3"/>
  <c r="M831" i="3"/>
  <c r="M827" i="3"/>
  <c r="M823" i="3"/>
  <c r="M819" i="3"/>
  <c r="M815" i="3"/>
  <c r="M811" i="3"/>
  <c r="M807" i="3"/>
  <c r="M803" i="3"/>
  <c r="M799" i="3"/>
  <c r="M795" i="3"/>
  <c r="M791" i="3"/>
  <c r="M787" i="3"/>
  <c r="M783" i="3"/>
  <c r="M779" i="3"/>
  <c r="M775" i="3"/>
  <c r="M771" i="3"/>
  <c r="M767" i="3"/>
  <c r="M763" i="3"/>
  <c r="M759" i="3"/>
  <c r="M755" i="3"/>
  <c r="M751" i="3"/>
  <c r="M747" i="3"/>
  <c r="M743" i="3"/>
  <c r="M739" i="3"/>
  <c r="M735" i="3"/>
  <c r="M731" i="3"/>
  <c r="M727" i="3"/>
  <c r="M723" i="3"/>
  <c r="M719" i="3"/>
  <c r="M715" i="3"/>
  <c r="M711" i="3"/>
  <c r="M707" i="3"/>
  <c r="M703" i="3"/>
  <c r="M699" i="3"/>
  <c r="M695" i="3"/>
  <c r="M691" i="3"/>
  <c r="M687" i="3"/>
  <c r="M683" i="3"/>
  <c r="M679" i="3"/>
  <c r="M675" i="3"/>
  <c r="M671" i="3"/>
  <c r="M667" i="3"/>
  <c r="M663" i="3"/>
  <c r="M659" i="3"/>
  <c r="M655" i="3"/>
  <c r="M651" i="3"/>
  <c r="M647" i="3"/>
  <c r="M643" i="3"/>
  <c r="M639" i="3"/>
  <c r="M635" i="3"/>
  <c r="M631" i="3"/>
  <c r="M627" i="3"/>
  <c r="M623" i="3"/>
  <c r="M619" i="3"/>
  <c r="M615" i="3"/>
  <c r="M611" i="3"/>
  <c r="M607" i="3"/>
  <c r="M603" i="3"/>
  <c r="M599" i="3"/>
  <c r="M595" i="3"/>
  <c r="M591" i="3"/>
  <c r="M587" i="3"/>
  <c r="M583" i="3"/>
  <c r="M579" i="3"/>
  <c r="M575" i="3"/>
  <c r="M571" i="3"/>
  <c r="M567" i="3"/>
  <c r="M563" i="3"/>
  <c r="M559" i="3"/>
  <c r="M555" i="3"/>
  <c r="M551" i="3"/>
  <c r="M547" i="3"/>
  <c r="M543" i="3"/>
  <c r="M539" i="3"/>
  <c r="M535" i="3"/>
  <c r="M531" i="3"/>
  <c r="M527" i="3"/>
  <c r="M523" i="3"/>
  <c r="M519" i="3"/>
  <c r="M515" i="3"/>
  <c r="M511" i="3"/>
  <c r="M507" i="3"/>
  <c r="M503" i="3"/>
  <c r="M499" i="3"/>
  <c r="M495" i="3"/>
  <c r="M491" i="3"/>
  <c r="M487" i="3"/>
  <c r="M483" i="3"/>
  <c r="M479" i="3"/>
  <c r="M475" i="3"/>
  <c r="M471" i="3"/>
  <c r="M467" i="3"/>
  <c r="M463" i="3"/>
  <c r="M459" i="3"/>
  <c r="M455" i="3"/>
  <c r="M451" i="3"/>
  <c r="M447" i="3"/>
  <c r="M443" i="3"/>
  <c r="M439" i="3"/>
  <c r="M435" i="3"/>
  <c r="M431" i="3"/>
  <c r="M427" i="3"/>
  <c r="M423" i="3"/>
  <c r="M419" i="3"/>
  <c r="M415" i="3"/>
  <c r="M411" i="3"/>
  <c r="M407" i="3"/>
  <c r="M403" i="3"/>
  <c r="M399" i="3"/>
  <c r="M395" i="3"/>
  <c r="M391" i="3"/>
  <c r="M387" i="3"/>
  <c r="M383" i="3"/>
  <c r="M379" i="3"/>
  <c r="M375" i="3"/>
  <c r="M371" i="3"/>
  <c r="M367" i="3"/>
  <c r="M363" i="3"/>
  <c r="M359" i="3"/>
  <c r="M355" i="3"/>
  <c r="M351" i="3"/>
  <c r="M347" i="3"/>
  <c r="M343" i="3"/>
  <c r="M339" i="3"/>
  <c r="M335" i="3"/>
  <c r="M331" i="3"/>
  <c r="M327" i="3"/>
  <c r="M323" i="3"/>
  <c r="M319" i="3"/>
  <c r="M315" i="3"/>
  <c r="M311" i="3"/>
  <c r="M307" i="3"/>
  <c r="M303" i="3"/>
  <c r="M299" i="3"/>
  <c r="M295" i="3"/>
  <c r="M291" i="3"/>
  <c r="M287" i="3"/>
  <c r="M283" i="3"/>
  <c r="M279" i="3"/>
  <c r="M275" i="3"/>
  <c r="M271" i="3"/>
  <c r="M267" i="3"/>
  <c r="M263" i="3"/>
  <c r="M259" i="3"/>
  <c r="M255" i="3"/>
  <c r="M251" i="3"/>
  <c r="M247" i="3"/>
  <c r="M243" i="3"/>
  <c r="M239" i="3"/>
  <c r="M235" i="3"/>
  <c r="M231" i="3"/>
  <c r="M227" i="3"/>
  <c r="M223" i="3"/>
  <c r="M219" i="3"/>
  <c r="M215" i="3"/>
  <c r="M211" i="3"/>
  <c r="M207" i="3"/>
  <c r="M203" i="3"/>
  <c r="M199" i="3"/>
  <c r="M195" i="3"/>
  <c r="M191" i="3"/>
  <c r="M187" i="3"/>
  <c r="M183" i="3"/>
  <c r="M179" i="3"/>
  <c r="M175" i="3"/>
  <c r="M171" i="3"/>
  <c r="M167" i="3"/>
  <c r="M163" i="3"/>
  <c r="M159" i="3"/>
  <c r="M155" i="3"/>
  <c r="M151" i="3"/>
  <c r="M147" i="3"/>
  <c r="M143" i="3"/>
  <c r="M139" i="3"/>
  <c r="M135" i="3"/>
  <c r="M131" i="3"/>
  <c r="M127" i="3"/>
  <c r="M123" i="3"/>
  <c r="M119" i="3"/>
  <c r="M115" i="3"/>
  <c r="M111" i="3"/>
  <c r="M107" i="3"/>
  <c r="M103" i="3"/>
  <c r="M99" i="3"/>
  <c r="M95" i="3"/>
  <c r="M91" i="3"/>
  <c r="M87" i="3"/>
  <c r="M83" i="3"/>
  <c r="M79" i="3"/>
  <c r="M75" i="3"/>
  <c r="M71" i="3"/>
  <c r="M67" i="3"/>
  <c r="M63" i="3"/>
  <c r="M59" i="3"/>
  <c r="M55" i="3"/>
  <c r="M51" i="3"/>
  <c r="M47" i="3"/>
  <c r="M43" i="3"/>
  <c r="M39" i="3"/>
  <c r="M35" i="3"/>
  <c r="M31" i="3"/>
  <c r="M27" i="3"/>
  <c r="M23" i="3"/>
  <c r="M19" i="3"/>
  <c r="M15" i="3"/>
  <c r="M11" i="3"/>
  <c r="M7" i="3"/>
  <c r="M1001" i="3"/>
  <c r="M985" i="3"/>
  <c r="M969" i="3"/>
  <c r="M953" i="3"/>
  <c r="M937" i="3"/>
  <c r="M921" i="3"/>
  <c r="M905" i="3"/>
  <c r="M889" i="3"/>
  <c r="M873" i="3"/>
  <c r="M857" i="3"/>
  <c r="M841" i="3"/>
  <c r="M825" i="3"/>
  <c r="M809" i="3"/>
  <c r="M793" i="3"/>
  <c r="M777" i="3"/>
  <c r="M761" i="3"/>
  <c r="M745" i="3"/>
  <c r="M729" i="3"/>
  <c r="M713" i="3"/>
  <c r="M697" i="3"/>
  <c r="M681" i="3"/>
  <c r="M665" i="3"/>
  <c r="M649" i="3"/>
  <c r="M633" i="3"/>
  <c r="M617" i="3"/>
  <c r="M601" i="3"/>
  <c r="M585" i="3"/>
  <c r="M569" i="3"/>
  <c r="M553" i="3"/>
  <c r="M537" i="3"/>
  <c r="M521" i="3"/>
  <c r="M505" i="3"/>
  <c r="M489" i="3"/>
  <c r="M473" i="3"/>
  <c r="M457" i="3"/>
  <c r="M441" i="3"/>
  <c r="M425" i="3"/>
  <c r="M409" i="3"/>
  <c r="M393" i="3"/>
  <c r="M377" i="3"/>
  <c r="M361" i="3"/>
  <c r="M345" i="3"/>
  <c r="M329" i="3"/>
  <c r="M313" i="3"/>
  <c r="M297" i="3"/>
  <c r="M281" i="3"/>
  <c r="M265" i="3"/>
  <c r="M249" i="3"/>
  <c r="M233" i="3"/>
  <c r="M217" i="3"/>
  <c r="M201" i="3"/>
  <c r="M185" i="3"/>
  <c r="M169" i="3"/>
  <c r="M153" i="3"/>
  <c r="M137" i="3"/>
  <c r="M121" i="3"/>
  <c r="M105" i="3"/>
  <c r="M89" i="3"/>
  <c r="M73" i="3"/>
  <c r="M57" i="3"/>
  <c r="M41" i="3"/>
  <c r="M25" i="3"/>
  <c r="M9" i="3"/>
  <c r="M997" i="3"/>
  <c r="M981" i="3"/>
  <c r="M965" i="3"/>
  <c r="M949" i="3"/>
  <c r="M933" i="3"/>
  <c r="M917" i="3"/>
  <c r="M901" i="3"/>
  <c r="M885" i="3"/>
  <c r="M869" i="3"/>
  <c r="M853" i="3"/>
  <c r="M837" i="3"/>
  <c r="M821" i="3"/>
  <c r="M805" i="3"/>
  <c r="M789" i="3"/>
  <c r="M773" i="3"/>
  <c r="M757" i="3"/>
  <c r="M741" i="3"/>
  <c r="M725" i="3"/>
  <c r="M709" i="3"/>
  <c r="M693" i="3"/>
  <c r="M677" i="3"/>
  <c r="M661" i="3"/>
  <c r="M645" i="3"/>
  <c r="M629" i="3"/>
  <c r="M613" i="3"/>
  <c r="M597" i="3"/>
  <c r="M581" i="3"/>
  <c r="M565" i="3"/>
  <c r="M549" i="3"/>
  <c r="M533" i="3"/>
  <c r="M517" i="3"/>
  <c r="M501" i="3"/>
  <c r="M485" i="3"/>
  <c r="M469" i="3"/>
  <c r="M453" i="3"/>
  <c r="M437" i="3"/>
  <c r="M421" i="3"/>
  <c r="M405" i="3"/>
  <c r="M389" i="3"/>
  <c r="M373" i="3"/>
  <c r="M357" i="3"/>
  <c r="M341" i="3"/>
  <c r="M325" i="3"/>
  <c r="M309" i="3"/>
  <c r="M293" i="3"/>
  <c r="M277" i="3"/>
  <c r="M261" i="3"/>
  <c r="M245" i="3"/>
  <c r="M229" i="3"/>
  <c r="M213" i="3"/>
  <c r="M197" i="3"/>
  <c r="M181" i="3"/>
  <c r="M165" i="3"/>
  <c r="M149" i="3"/>
  <c r="M133" i="3"/>
  <c r="M117" i="3"/>
  <c r="M101" i="3"/>
  <c r="M85" i="3"/>
  <c r="M69" i="3"/>
  <c r="M53" i="3"/>
  <c r="M37" i="3"/>
  <c r="M21" i="3"/>
  <c r="M6" i="3"/>
  <c r="M993" i="3"/>
  <c r="M977" i="3"/>
  <c r="M961" i="3"/>
  <c r="M945" i="3"/>
  <c r="M929" i="3"/>
  <c r="M913" i="3"/>
  <c r="M897" i="3"/>
  <c r="M881" i="3"/>
  <c r="M865" i="3"/>
  <c r="M849" i="3"/>
  <c r="M833" i="3"/>
  <c r="M817" i="3"/>
  <c r="M801" i="3"/>
  <c r="M785" i="3"/>
  <c r="M769" i="3"/>
  <c r="M753" i="3"/>
  <c r="M737" i="3"/>
  <c r="M721" i="3"/>
  <c r="M705" i="3"/>
  <c r="M689" i="3"/>
  <c r="M673" i="3"/>
  <c r="M657" i="3"/>
  <c r="M641" i="3"/>
  <c r="M625" i="3"/>
  <c r="M609" i="3"/>
  <c r="M593" i="3"/>
  <c r="M577" i="3"/>
  <c r="M561" i="3"/>
  <c r="M545" i="3"/>
  <c r="M529" i="3"/>
  <c r="M513" i="3"/>
  <c r="M497" i="3"/>
  <c r="M481" i="3"/>
  <c r="M465" i="3"/>
  <c r="M449" i="3"/>
  <c r="M433" i="3"/>
  <c r="M417" i="3"/>
  <c r="M401" i="3"/>
  <c r="M385" i="3"/>
  <c r="M369" i="3"/>
  <c r="M353" i="3"/>
  <c r="M337" i="3"/>
  <c r="M321" i="3"/>
  <c r="M305" i="3"/>
  <c r="M289" i="3"/>
  <c r="M273" i="3"/>
  <c r="M257" i="3"/>
  <c r="M241" i="3"/>
  <c r="M225" i="3"/>
  <c r="M209" i="3"/>
  <c r="M193" i="3"/>
  <c r="M177" i="3"/>
  <c r="M161" i="3"/>
  <c r="M145" i="3"/>
  <c r="M129" i="3"/>
  <c r="M113" i="3"/>
  <c r="M97" i="3"/>
  <c r="M81" i="3"/>
  <c r="M65" i="3"/>
  <c r="M49" i="3"/>
  <c r="M33" i="3"/>
  <c r="M17" i="3"/>
  <c r="M973" i="3"/>
  <c r="M957" i="3"/>
  <c r="M925" i="3"/>
  <c r="M877" i="3"/>
  <c r="M845" i="3"/>
  <c r="M813" i="3"/>
  <c r="M781" i="3"/>
  <c r="M749" i="3"/>
  <c r="M733" i="3"/>
  <c r="M717" i="3"/>
  <c r="M701" i="3"/>
  <c r="M685" i="3"/>
  <c r="M669" i="3"/>
  <c r="M653" i="3"/>
  <c r="M637" i="3"/>
  <c r="M621" i="3"/>
  <c r="M605" i="3"/>
  <c r="M589" i="3"/>
  <c r="M573" i="3"/>
  <c r="M557" i="3"/>
  <c r="M541" i="3"/>
  <c r="M525" i="3"/>
  <c r="M509" i="3"/>
  <c r="M493" i="3"/>
  <c r="M477" i="3"/>
  <c r="M461" i="3"/>
  <c r="M445" i="3"/>
  <c r="M429" i="3"/>
  <c r="M413" i="3"/>
  <c r="M397" i="3"/>
  <c r="M381" i="3"/>
  <c r="M365" i="3"/>
  <c r="M349" i="3"/>
  <c r="M333" i="3"/>
  <c r="M317" i="3"/>
  <c r="M301" i="3"/>
  <c r="M285" i="3"/>
  <c r="M269" i="3"/>
  <c r="M253" i="3"/>
  <c r="M237" i="3"/>
  <c r="M221" i="3"/>
  <c r="M205" i="3"/>
  <c r="M189" i="3"/>
  <c r="M173" i="3"/>
  <c r="M157" i="3"/>
  <c r="M989" i="3"/>
  <c r="M941" i="3"/>
  <c r="M909" i="3"/>
  <c r="M893" i="3"/>
  <c r="M861" i="3"/>
  <c r="M829" i="3"/>
  <c r="M797" i="3"/>
  <c r="M765" i="3"/>
  <c r="M141" i="3"/>
  <c r="M125" i="3"/>
  <c r="M109" i="3"/>
  <c r="M93" i="3"/>
  <c r="M77" i="3"/>
  <c r="M61" i="3"/>
  <c r="M45" i="3"/>
  <c r="M29" i="3"/>
  <c r="M13" i="3"/>
  <c r="Z1004" i="3"/>
  <c r="Z1000" i="3"/>
  <c r="Z996" i="3"/>
  <c r="Z992" i="3"/>
  <c r="Z988" i="3"/>
  <c r="Z984" i="3"/>
  <c r="Z980" i="3"/>
  <c r="Z976" i="3"/>
  <c r="Z972" i="3"/>
  <c r="Z968" i="3"/>
  <c r="Z964" i="3"/>
  <c r="Z960" i="3"/>
  <c r="Z956" i="3"/>
  <c r="Z952" i="3"/>
  <c r="Z948" i="3"/>
  <c r="Z944" i="3"/>
  <c r="Z940" i="3"/>
  <c r="Z936" i="3"/>
  <c r="Z932" i="3"/>
  <c r="Z928" i="3"/>
  <c r="Z924" i="3"/>
  <c r="Z920" i="3"/>
  <c r="Z916" i="3"/>
  <c r="Z912" i="3"/>
  <c r="Z908" i="3"/>
  <c r="Z904" i="3"/>
  <c r="Z900" i="3"/>
  <c r="Z896" i="3"/>
  <c r="Z892" i="3"/>
  <c r="Z888" i="3"/>
  <c r="Z884" i="3"/>
  <c r="Z880" i="3"/>
  <c r="Z876" i="3"/>
  <c r="Z872" i="3"/>
  <c r="Z868" i="3"/>
  <c r="Z864" i="3"/>
  <c r="Z860" i="3"/>
  <c r="Z856" i="3"/>
  <c r="Z852" i="3"/>
  <c r="Z848" i="3"/>
  <c r="Z844" i="3"/>
  <c r="Z840" i="3"/>
  <c r="Z836" i="3"/>
  <c r="Z832" i="3"/>
  <c r="Z828" i="3"/>
  <c r="Z824" i="3"/>
  <c r="Z820" i="3"/>
  <c r="Z816" i="3"/>
  <c r="Z812" i="3"/>
  <c r="Z808" i="3"/>
  <c r="Z804" i="3"/>
  <c r="Z800" i="3"/>
  <c r="Z796" i="3"/>
  <c r="Z792" i="3"/>
  <c r="Z788" i="3"/>
  <c r="Z784" i="3"/>
  <c r="Z780" i="3"/>
  <c r="Z776" i="3"/>
  <c r="Z772" i="3"/>
  <c r="Z768" i="3"/>
  <c r="Z764" i="3"/>
  <c r="Z760" i="3"/>
  <c r="Z756" i="3"/>
  <c r="Z752" i="3"/>
  <c r="Z748" i="3"/>
  <c r="Z744" i="3"/>
  <c r="Z740" i="3"/>
  <c r="Z736" i="3"/>
  <c r="Z732" i="3"/>
  <c r="Z728" i="3"/>
  <c r="Z724" i="3"/>
  <c r="Z720" i="3"/>
  <c r="Z716" i="3"/>
  <c r="Z712" i="3"/>
  <c r="Z708" i="3"/>
  <c r="Z704" i="3"/>
  <c r="Z700" i="3"/>
  <c r="Z696" i="3"/>
  <c r="Z692" i="3"/>
  <c r="Z688" i="3"/>
  <c r="Z684" i="3"/>
  <c r="Z680" i="3"/>
  <c r="Z676" i="3"/>
  <c r="Z672" i="3"/>
  <c r="Z668" i="3"/>
  <c r="Z664" i="3"/>
  <c r="Z660" i="3"/>
  <c r="Z656" i="3"/>
  <c r="Z652" i="3"/>
  <c r="Z648" i="3"/>
  <c r="Z644" i="3"/>
  <c r="Z640" i="3"/>
  <c r="Z636" i="3"/>
  <c r="Z632" i="3"/>
  <c r="Z628" i="3"/>
  <c r="Z624" i="3"/>
  <c r="Z620" i="3"/>
  <c r="Z616" i="3"/>
  <c r="Z612" i="3"/>
  <c r="Z608" i="3"/>
  <c r="Z604" i="3"/>
  <c r="Z600" i="3"/>
  <c r="Z596" i="3"/>
  <c r="Z592" i="3"/>
  <c r="Z588" i="3"/>
  <c r="Z584" i="3"/>
  <c r="Z580" i="3"/>
  <c r="Z576" i="3"/>
  <c r="Z572" i="3"/>
  <c r="Z568" i="3"/>
  <c r="Z564" i="3"/>
  <c r="Z560" i="3"/>
  <c r="Z556" i="3"/>
  <c r="Z552" i="3"/>
  <c r="Z548" i="3"/>
  <c r="Z544" i="3"/>
  <c r="Z540" i="3"/>
  <c r="Z536" i="3"/>
  <c r="Z532" i="3"/>
  <c r="Z528" i="3"/>
  <c r="Z524" i="3"/>
  <c r="Z520" i="3"/>
  <c r="Z516" i="3"/>
  <c r="Z512" i="3"/>
  <c r="Z508" i="3"/>
  <c r="Z504" i="3"/>
  <c r="Z500" i="3"/>
  <c r="Z496" i="3"/>
  <c r="Z492" i="3"/>
  <c r="Z488" i="3"/>
  <c r="Z484" i="3"/>
  <c r="Z480" i="3"/>
  <c r="Z476" i="3"/>
  <c r="Z472" i="3"/>
  <c r="Z468" i="3"/>
  <c r="Z464" i="3"/>
  <c r="Z460" i="3"/>
  <c r="Z456" i="3"/>
  <c r="Z452" i="3"/>
  <c r="Z448" i="3"/>
  <c r="Z444" i="3"/>
  <c r="Z440" i="3"/>
  <c r="Z436" i="3"/>
  <c r="Z432" i="3"/>
  <c r="Z428" i="3"/>
  <c r="Z424" i="3"/>
  <c r="Z420" i="3"/>
  <c r="Z416" i="3"/>
  <c r="Z412" i="3"/>
  <c r="Z408" i="3"/>
  <c r="Z404" i="3"/>
  <c r="Z400" i="3"/>
  <c r="Z396" i="3"/>
  <c r="Z392" i="3"/>
  <c r="Z388" i="3"/>
  <c r="Z384" i="3"/>
  <c r="Z380" i="3"/>
  <c r="Z376" i="3"/>
  <c r="Z372" i="3"/>
  <c r="Z368" i="3"/>
  <c r="Z364" i="3"/>
  <c r="Z360" i="3"/>
  <c r="Z356" i="3"/>
  <c r="Z352" i="3"/>
  <c r="Z348" i="3"/>
  <c r="Z344" i="3"/>
  <c r="Z340" i="3"/>
  <c r="Z336" i="3"/>
  <c r="Z332" i="3"/>
  <c r="Z328" i="3"/>
  <c r="Z324" i="3"/>
  <c r="Z320" i="3"/>
  <c r="Z316" i="3"/>
  <c r="Z312" i="3"/>
  <c r="Z308" i="3"/>
  <c r="Z304" i="3"/>
  <c r="Z300" i="3"/>
  <c r="Z296" i="3"/>
  <c r="Z292" i="3"/>
  <c r="Z288" i="3"/>
  <c r="Z284" i="3"/>
  <c r="Z280" i="3"/>
  <c r="Z276" i="3"/>
  <c r="Z272" i="3"/>
  <c r="Z268" i="3"/>
  <c r="Z264" i="3"/>
  <c r="Z260" i="3"/>
  <c r="Z256" i="3"/>
  <c r="Z252" i="3"/>
  <c r="Z248" i="3"/>
  <c r="Z244" i="3"/>
  <c r="Z240" i="3"/>
  <c r="Z236" i="3"/>
  <c r="Z232" i="3"/>
  <c r="Z228" i="3"/>
  <c r="Z224" i="3"/>
  <c r="Z220" i="3"/>
  <c r="Z216" i="3"/>
  <c r="Z212" i="3"/>
  <c r="Z208" i="3"/>
  <c r="Z204" i="3"/>
  <c r="Z200" i="3"/>
  <c r="Z196" i="3"/>
  <c r="Z192" i="3"/>
  <c r="Z188" i="3"/>
  <c r="Z184" i="3"/>
  <c r="Z180" i="3"/>
  <c r="Z176" i="3"/>
  <c r="Z172" i="3"/>
  <c r="Z168" i="3"/>
  <c r="Z164" i="3"/>
  <c r="Z160" i="3"/>
  <c r="Z156" i="3"/>
  <c r="Z152" i="3"/>
  <c r="Z148" i="3"/>
  <c r="Z144" i="3"/>
  <c r="Z140" i="3"/>
  <c r="Z136" i="3"/>
  <c r="Z132" i="3"/>
  <c r="Z128" i="3"/>
  <c r="Z124" i="3"/>
  <c r="Z120" i="3"/>
  <c r="Z116" i="3"/>
  <c r="Z112" i="3"/>
  <c r="Z108" i="3"/>
  <c r="Z104" i="3"/>
  <c r="Z100" i="3"/>
  <c r="Z96" i="3"/>
  <c r="Z92" i="3"/>
  <c r="Z88" i="3"/>
  <c r="Z84" i="3"/>
  <c r="Z80" i="3"/>
  <c r="Z76" i="3"/>
  <c r="Z72" i="3"/>
  <c r="Z68" i="3"/>
  <c r="Z64" i="3"/>
  <c r="Z60" i="3"/>
  <c r="Z56" i="3"/>
  <c r="Z52" i="3"/>
  <c r="Z48" i="3"/>
  <c r="Z44" i="3"/>
  <c r="Z40" i="3"/>
  <c r="Z36" i="3"/>
  <c r="Z32" i="3"/>
  <c r="Z28" i="3"/>
  <c r="Z24" i="3"/>
  <c r="Z20" i="3"/>
  <c r="Z16" i="3"/>
  <c r="Z12" i="3"/>
  <c r="Z8" i="3"/>
  <c r="Z1002" i="3"/>
  <c r="Z998" i="3"/>
  <c r="Z994" i="3"/>
  <c r="Z990" i="3"/>
  <c r="Z986" i="3"/>
  <c r="Z982" i="3"/>
  <c r="Z978" i="3"/>
  <c r="Z974" i="3"/>
  <c r="Z970" i="3"/>
  <c r="Z966" i="3"/>
  <c r="Z962" i="3"/>
  <c r="Z958" i="3"/>
  <c r="Z954" i="3"/>
  <c r="Z950" i="3"/>
  <c r="Z946" i="3"/>
  <c r="Z942" i="3"/>
  <c r="Z938" i="3"/>
  <c r="Z934" i="3"/>
  <c r="Z930" i="3"/>
  <c r="Z926" i="3"/>
  <c r="Z922" i="3"/>
  <c r="Z918" i="3"/>
  <c r="Z914" i="3"/>
  <c r="Z910" i="3"/>
  <c r="Z906" i="3"/>
  <c r="Z902" i="3"/>
  <c r="Z898" i="3"/>
  <c r="Z894" i="3"/>
  <c r="Z890" i="3"/>
  <c r="Z886" i="3"/>
  <c r="Z882" i="3"/>
  <c r="Z878" i="3"/>
  <c r="Z874" i="3"/>
  <c r="Z870" i="3"/>
  <c r="Z866" i="3"/>
  <c r="Z862" i="3"/>
  <c r="Z858" i="3"/>
  <c r="Z854" i="3"/>
  <c r="Z850" i="3"/>
  <c r="Z846" i="3"/>
  <c r="Z842" i="3"/>
  <c r="Z838" i="3"/>
  <c r="Z834" i="3"/>
  <c r="Z830" i="3"/>
  <c r="Z826" i="3"/>
  <c r="Z822" i="3"/>
  <c r="Z818" i="3"/>
  <c r="Z814" i="3"/>
  <c r="Z810" i="3"/>
  <c r="Z806" i="3"/>
  <c r="Z802" i="3"/>
  <c r="Z798" i="3"/>
  <c r="Z794" i="3"/>
  <c r="Z790" i="3"/>
  <c r="Z786" i="3"/>
  <c r="Z782" i="3"/>
  <c r="Z778" i="3"/>
  <c r="Z774" i="3"/>
  <c r="Z770" i="3"/>
  <c r="Z766" i="3"/>
  <c r="Z762" i="3"/>
  <c r="Z758" i="3"/>
  <c r="Z754" i="3"/>
  <c r="Z750" i="3"/>
  <c r="Z746" i="3"/>
  <c r="Z742" i="3"/>
  <c r="Z738" i="3"/>
  <c r="Z734" i="3"/>
  <c r="Z730" i="3"/>
  <c r="Z726" i="3"/>
  <c r="Z722" i="3"/>
  <c r="Z718" i="3"/>
  <c r="Z714" i="3"/>
  <c r="Z710" i="3"/>
  <c r="Z706" i="3"/>
  <c r="Z702" i="3"/>
  <c r="Z698" i="3"/>
  <c r="Z694" i="3"/>
  <c r="Z690" i="3"/>
  <c r="Z686" i="3"/>
  <c r="Z682" i="3"/>
  <c r="Z678" i="3"/>
  <c r="Z674" i="3"/>
  <c r="Z670" i="3"/>
  <c r="Z666" i="3"/>
  <c r="Z662" i="3"/>
  <c r="Z658" i="3"/>
  <c r="Z654" i="3"/>
  <c r="Z650" i="3"/>
  <c r="Z646" i="3"/>
  <c r="Z642" i="3"/>
  <c r="Z638" i="3"/>
  <c r="Z634" i="3"/>
  <c r="Z630" i="3"/>
  <c r="Z626" i="3"/>
  <c r="Z622" i="3"/>
  <c r="Z618" i="3"/>
  <c r="Z614" i="3"/>
  <c r="Z610" i="3"/>
  <c r="Z606" i="3"/>
  <c r="Z602" i="3"/>
  <c r="Z598" i="3"/>
  <c r="Z594" i="3"/>
  <c r="Z590" i="3"/>
  <c r="Z586" i="3"/>
  <c r="Z582" i="3"/>
  <c r="Z578" i="3"/>
  <c r="Z574" i="3"/>
  <c r="Z570" i="3"/>
  <c r="Z566" i="3"/>
  <c r="Z562" i="3"/>
  <c r="Z558" i="3"/>
  <c r="Z554" i="3"/>
  <c r="Z550" i="3"/>
  <c r="Z546" i="3"/>
  <c r="Z542" i="3"/>
  <c r="Z538" i="3"/>
  <c r="Z534" i="3"/>
  <c r="Z530" i="3"/>
  <c r="Z526" i="3"/>
  <c r="Z522" i="3"/>
  <c r="Z518" i="3"/>
  <c r="Z514" i="3"/>
  <c r="Z510" i="3"/>
  <c r="Z506" i="3"/>
  <c r="Z502" i="3"/>
  <c r="Z498" i="3"/>
  <c r="Z494" i="3"/>
  <c r="Z490" i="3"/>
  <c r="Z486" i="3"/>
  <c r="Z482" i="3"/>
  <c r="Z478" i="3"/>
  <c r="Z474" i="3"/>
  <c r="Z470" i="3"/>
  <c r="Z466" i="3"/>
  <c r="Z462" i="3"/>
  <c r="Z458" i="3"/>
  <c r="Z454" i="3"/>
  <c r="Z450" i="3"/>
  <c r="Z446" i="3"/>
  <c r="Z442" i="3"/>
  <c r="Z438" i="3"/>
  <c r="Z434" i="3"/>
  <c r="Z430" i="3"/>
  <c r="Z426" i="3"/>
  <c r="Z422" i="3"/>
  <c r="Z418" i="3"/>
  <c r="Z414" i="3"/>
  <c r="Z410" i="3"/>
  <c r="Z406" i="3"/>
  <c r="Z402" i="3"/>
  <c r="Z398" i="3"/>
  <c r="Z394" i="3"/>
  <c r="Z390" i="3"/>
  <c r="Z386" i="3"/>
  <c r="Z382" i="3"/>
  <c r="Z378" i="3"/>
  <c r="Z374" i="3"/>
  <c r="Z370" i="3"/>
  <c r="Z366" i="3"/>
  <c r="Z362" i="3"/>
  <c r="Z358" i="3"/>
  <c r="Z354" i="3"/>
  <c r="Z350" i="3"/>
  <c r="Z346" i="3"/>
  <c r="Z342" i="3"/>
  <c r="Z338" i="3"/>
  <c r="Z334" i="3"/>
  <c r="Z330" i="3"/>
  <c r="Z326" i="3"/>
  <c r="Z322" i="3"/>
  <c r="Z318" i="3"/>
  <c r="Z314" i="3"/>
  <c r="Z310" i="3"/>
  <c r="Z306" i="3"/>
  <c r="Z302" i="3"/>
  <c r="Z298" i="3"/>
  <c r="Z294" i="3"/>
  <c r="Z290" i="3"/>
  <c r="Z286" i="3"/>
  <c r="Z282" i="3"/>
  <c r="Z278" i="3"/>
  <c r="Z274" i="3"/>
  <c r="Z270" i="3"/>
  <c r="Z266" i="3"/>
  <c r="Z262" i="3"/>
  <c r="Z258" i="3"/>
  <c r="Z254" i="3"/>
  <c r="Z250" i="3"/>
  <c r="Z246" i="3"/>
  <c r="Z242" i="3"/>
  <c r="Z238" i="3"/>
  <c r="Z234" i="3"/>
  <c r="Z230" i="3"/>
  <c r="Z226" i="3"/>
  <c r="Z222" i="3"/>
  <c r="Z218" i="3"/>
  <c r="Z214" i="3"/>
  <c r="Z210" i="3"/>
  <c r="Z206" i="3"/>
  <c r="Z202" i="3"/>
  <c r="Z198" i="3"/>
  <c r="Z194" i="3"/>
  <c r="Z190" i="3"/>
  <c r="Z186" i="3"/>
  <c r="Z182" i="3"/>
  <c r="Z178" i="3"/>
  <c r="Z174" i="3"/>
  <c r="Z170" i="3"/>
  <c r="Z166" i="3"/>
  <c r="Z162" i="3"/>
  <c r="Z158" i="3"/>
  <c r="Z154" i="3"/>
  <c r="Z150" i="3"/>
  <c r="Z146" i="3"/>
  <c r="Z142" i="3"/>
  <c r="Z138" i="3"/>
  <c r="Z134" i="3"/>
  <c r="Z130" i="3"/>
  <c r="Z126" i="3"/>
  <c r="Z122" i="3"/>
  <c r="Z118" i="3"/>
  <c r="Z114" i="3"/>
  <c r="Z110" i="3"/>
  <c r="Z106" i="3"/>
  <c r="Z102" i="3"/>
  <c r="Z98" i="3"/>
  <c r="Z94" i="3"/>
  <c r="Z90" i="3"/>
  <c r="Z86" i="3"/>
  <c r="Z82" i="3"/>
  <c r="Z78" i="3"/>
  <c r="Z74" i="3"/>
  <c r="Z70" i="3"/>
  <c r="Z66" i="3"/>
  <c r="Z62" i="3"/>
  <c r="Z58" i="3"/>
  <c r="Z54" i="3"/>
  <c r="Z50" i="3"/>
  <c r="Z46" i="3"/>
  <c r="Z42" i="3"/>
  <c r="Z38" i="3"/>
  <c r="Z34" i="3"/>
  <c r="Z30" i="3"/>
  <c r="Z26" i="3"/>
  <c r="Z22" i="3"/>
  <c r="Z18" i="3"/>
  <c r="Z14" i="3"/>
  <c r="Z10" i="3"/>
  <c r="Z1001" i="3"/>
  <c r="Z993" i="3"/>
  <c r="Z985" i="3"/>
  <c r="Z977" i="3"/>
  <c r="Z969" i="3"/>
  <c r="Z961" i="3"/>
  <c r="Z953" i="3"/>
  <c r="Z945" i="3"/>
  <c r="Z937" i="3"/>
  <c r="Z929" i="3"/>
  <c r="Z921" i="3"/>
  <c r="Z913" i="3"/>
  <c r="Z905" i="3"/>
  <c r="Z897" i="3"/>
  <c r="Z889" i="3"/>
  <c r="Z881" i="3"/>
  <c r="Z873" i="3"/>
  <c r="Z865" i="3"/>
  <c r="Z857" i="3"/>
  <c r="Z849" i="3"/>
  <c r="Z841" i="3"/>
  <c r="Z833" i="3"/>
  <c r="Z825" i="3"/>
  <c r="Z817" i="3"/>
  <c r="Z809" i="3"/>
  <c r="Z801" i="3"/>
  <c r="Z793" i="3"/>
  <c r="Z785" i="3"/>
  <c r="Z777" i="3"/>
  <c r="Z769" i="3"/>
  <c r="Z761" i="3"/>
  <c r="Z753" i="3"/>
  <c r="Z745" i="3"/>
  <c r="Z737" i="3"/>
  <c r="Z729" i="3"/>
  <c r="Z721" i="3"/>
  <c r="Z713" i="3"/>
  <c r="Z705" i="3"/>
  <c r="Z697" i="3"/>
  <c r="Z689" i="3"/>
  <c r="Z681" i="3"/>
  <c r="Z673" i="3"/>
  <c r="Z665" i="3"/>
  <c r="Z657" i="3"/>
  <c r="Z649" i="3"/>
  <c r="Z641" i="3"/>
  <c r="Z633" i="3"/>
  <c r="Z625" i="3"/>
  <c r="Z617" i="3"/>
  <c r="Z609" i="3"/>
  <c r="Z601" i="3"/>
  <c r="Z593" i="3"/>
  <c r="Z585" i="3"/>
  <c r="Z577" i="3"/>
  <c r="Z569" i="3"/>
  <c r="Z561" i="3"/>
  <c r="Z553" i="3"/>
  <c r="Z545" i="3"/>
  <c r="Z537" i="3"/>
  <c r="Z529" i="3"/>
  <c r="Z521" i="3"/>
  <c r="Z513" i="3"/>
  <c r="Z505" i="3"/>
  <c r="Z497" i="3"/>
  <c r="Z489" i="3"/>
  <c r="Z481" i="3"/>
  <c r="Z473" i="3"/>
  <c r="Z465" i="3"/>
  <c r="Z457" i="3"/>
  <c r="Z449" i="3"/>
  <c r="Z441" i="3"/>
  <c r="Z433" i="3"/>
  <c r="Z425" i="3"/>
  <c r="Z417" i="3"/>
  <c r="Z409" i="3"/>
  <c r="Z401" i="3"/>
  <c r="Z393" i="3"/>
  <c r="Z385" i="3"/>
  <c r="Z377" i="3"/>
  <c r="Z369" i="3"/>
  <c r="Z361" i="3"/>
  <c r="Z353" i="3"/>
  <c r="Z345" i="3"/>
  <c r="Z337" i="3"/>
  <c r="Z329" i="3"/>
  <c r="Z321" i="3"/>
  <c r="Z313" i="3"/>
  <c r="Z305" i="3"/>
  <c r="Z297" i="3"/>
  <c r="Z289" i="3"/>
  <c r="Z281" i="3"/>
  <c r="Z273" i="3"/>
  <c r="Z265" i="3"/>
  <c r="Z257" i="3"/>
  <c r="Z249" i="3"/>
  <c r="Z241" i="3"/>
  <c r="Z233" i="3"/>
  <c r="Z225" i="3"/>
  <c r="Z217" i="3"/>
  <c r="Z209" i="3"/>
  <c r="Z201" i="3"/>
  <c r="Z193" i="3"/>
  <c r="Z185" i="3"/>
  <c r="Z177" i="3"/>
  <c r="Z169" i="3"/>
  <c r="Z161" i="3"/>
  <c r="Z153" i="3"/>
  <c r="Z145" i="3"/>
  <c r="Z137" i="3"/>
  <c r="Z129" i="3"/>
  <c r="Z121" i="3"/>
  <c r="Z113" i="3"/>
  <c r="Z105" i="3"/>
  <c r="Z97" i="3"/>
  <c r="Z89" i="3"/>
  <c r="Z81" i="3"/>
  <c r="Z73" i="3"/>
  <c r="Z65" i="3"/>
  <c r="Z57" i="3"/>
  <c r="Z49" i="3"/>
  <c r="Z41" i="3"/>
  <c r="Z33" i="3"/>
  <c r="Z25" i="3"/>
  <c r="Z17" i="3"/>
  <c r="Z9" i="3"/>
  <c r="Z997" i="3"/>
  <c r="Z989" i="3"/>
  <c r="Z981" i="3"/>
  <c r="Z973" i="3"/>
  <c r="Z965" i="3"/>
  <c r="Z957" i="3"/>
  <c r="Z949" i="3"/>
  <c r="Z941" i="3"/>
  <c r="Z933" i="3"/>
  <c r="Z925" i="3"/>
  <c r="Z917" i="3"/>
  <c r="Z909" i="3"/>
  <c r="Z901" i="3"/>
  <c r="Z893" i="3"/>
  <c r="Z885" i="3"/>
  <c r="Z877" i="3"/>
  <c r="Z869" i="3"/>
  <c r="Z861" i="3"/>
  <c r="Z853" i="3"/>
  <c r="Z845" i="3"/>
  <c r="Z837" i="3"/>
  <c r="Z829" i="3"/>
  <c r="Z821" i="3"/>
  <c r="Z813" i="3"/>
  <c r="Z805" i="3"/>
  <c r="Z797" i="3"/>
  <c r="Z789" i="3"/>
  <c r="Z781" i="3"/>
  <c r="Z773" i="3"/>
  <c r="Z765" i="3"/>
  <c r="Z757" i="3"/>
  <c r="Z749" i="3"/>
  <c r="Z741" i="3"/>
  <c r="Z733" i="3"/>
  <c r="Z725" i="3"/>
  <c r="Z717" i="3"/>
  <c r="Z709" i="3"/>
  <c r="Z701" i="3"/>
  <c r="Z693" i="3"/>
  <c r="Z685" i="3"/>
  <c r="Z677" i="3"/>
  <c r="Z669" i="3"/>
  <c r="Z661" i="3"/>
  <c r="Z653" i="3"/>
  <c r="Z645" i="3"/>
  <c r="Z637" i="3"/>
  <c r="Z629" i="3"/>
  <c r="Z621" i="3"/>
  <c r="Z613" i="3"/>
  <c r="Z605" i="3"/>
  <c r="Z597" i="3"/>
  <c r="Z589" i="3"/>
  <c r="Z581" i="3"/>
  <c r="Z573" i="3"/>
  <c r="Z565" i="3"/>
  <c r="Z557" i="3"/>
  <c r="Z549" i="3"/>
  <c r="Z541" i="3"/>
  <c r="Z533" i="3"/>
  <c r="Z525" i="3"/>
  <c r="Z517" i="3"/>
  <c r="Z509" i="3"/>
  <c r="Z501" i="3"/>
  <c r="Z493" i="3"/>
  <c r="Z485" i="3"/>
  <c r="Z477" i="3"/>
  <c r="Z469" i="3"/>
  <c r="Z461" i="3"/>
  <c r="Z453" i="3"/>
  <c r="Z445" i="3"/>
  <c r="Z437" i="3"/>
  <c r="Z429" i="3"/>
  <c r="Z421" i="3"/>
  <c r="Z413" i="3"/>
  <c r="Z405" i="3"/>
  <c r="Z397" i="3"/>
  <c r="Z389" i="3"/>
  <c r="Z381" i="3"/>
  <c r="Z373" i="3"/>
  <c r="Z365" i="3"/>
  <c r="Z357" i="3"/>
  <c r="Z349" i="3"/>
  <c r="Z341" i="3"/>
  <c r="Z333" i="3"/>
  <c r="Z325" i="3"/>
  <c r="Z317" i="3"/>
  <c r="Z309" i="3"/>
  <c r="Z301" i="3"/>
  <c r="Z293" i="3"/>
  <c r="Z285" i="3"/>
  <c r="Z277" i="3"/>
  <c r="Z269" i="3"/>
  <c r="Z261" i="3"/>
  <c r="Z253" i="3"/>
  <c r="Z245" i="3"/>
  <c r="Z237" i="3"/>
  <c r="Z229" i="3"/>
  <c r="Z221" i="3"/>
  <c r="Z213" i="3"/>
  <c r="Z205" i="3"/>
  <c r="Z197" i="3"/>
  <c r="Z189" i="3"/>
  <c r="Z181" i="3"/>
  <c r="Z173" i="3"/>
  <c r="Z165" i="3"/>
  <c r="Z157" i="3"/>
  <c r="Z149" i="3"/>
  <c r="Z141" i="3"/>
  <c r="Z133" i="3"/>
  <c r="Z125" i="3"/>
  <c r="Z117" i="3"/>
  <c r="Z109" i="3"/>
  <c r="Z101" i="3"/>
  <c r="Z93" i="3"/>
  <c r="Z85" i="3"/>
  <c r="Z77" i="3"/>
  <c r="Z69" i="3"/>
  <c r="Z61" i="3"/>
  <c r="Z53" i="3"/>
  <c r="Z45" i="3"/>
  <c r="Z37" i="3"/>
  <c r="Z29" i="3"/>
  <c r="Z21" i="3"/>
  <c r="Z13" i="3"/>
  <c r="Z6" i="3"/>
  <c r="Z1003" i="3"/>
  <c r="Z995" i="3"/>
  <c r="Z987" i="3"/>
  <c r="Z979" i="3"/>
  <c r="Z971" i="3"/>
  <c r="Z963" i="3"/>
  <c r="Z955" i="3"/>
  <c r="Z947" i="3"/>
  <c r="Z939" i="3"/>
  <c r="Z931" i="3"/>
  <c r="Z923" i="3"/>
  <c r="Z915" i="3"/>
  <c r="Z907" i="3"/>
  <c r="Z899" i="3"/>
  <c r="Z891" i="3"/>
  <c r="Z883" i="3"/>
  <c r="Z875" i="3"/>
  <c r="Z867" i="3"/>
  <c r="Z859" i="3"/>
  <c r="Z851" i="3"/>
  <c r="Z843" i="3"/>
  <c r="Z835" i="3"/>
  <c r="Z827" i="3"/>
  <c r="Z819" i="3"/>
  <c r="Z811" i="3"/>
  <c r="Z803" i="3"/>
  <c r="Z795" i="3"/>
  <c r="Z787" i="3"/>
  <c r="Z779" i="3"/>
  <c r="Z771" i="3"/>
  <c r="Z763" i="3"/>
  <c r="Z755" i="3"/>
  <c r="Z747" i="3"/>
  <c r="Z739" i="3"/>
  <c r="Z731" i="3"/>
  <c r="Z723" i="3"/>
  <c r="Z715" i="3"/>
  <c r="Z707" i="3"/>
  <c r="Z699" i="3"/>
  <c r="Z691" i="3"/>
  <c r="Z683" i="3"/>
  <c r="Z675" i="3"/>
  <c r="Z667" i="3"/>
  <c r="Z659" i="3"/>
  <c r="Z651" i="3"/>
  <c r="Z643" i="3"/>
  <c r="Z635" i="3"/>
  <c r="Z627" i="3"/>
  <c r="Z619" i="3"/>
  <c r="Z611" i="3"/>
  <c r="Z603" i="3"/>
  <c r="Z595" i="3"/>
  <c r="Z587" i="3"/>
  <c r="Z579" i="3"/>
  <c r="Z571" i="3"/>
  <c r="Z563" i="3"/>
  <c r="Z555" i="3"/>
  <c r="Z547" i="3"/>
  <c r="Z539" i="3"/>
  <c r="Z531" i="3"/>
  <c r="Z523" i="3"/>
  <c r="Z515" i="3"/>
  <c r="Z507" i="3"/>
  <c r="Z499" i="3"/>
  <c r="Z491" i="3"/>
  <c r="Z483" i="3"/>
  <c r="Z475" i="3"/>
  <c r="Z467" i="3"/>
  <c r="Z459" i="3"/>
  <c r="Z451" i="3"/>
  <c r="Z443" i="3"/>
  <c r="Z435" i="3"/>
  <c r="Z427" i="3"/>
  <c r="Z419" i="3"/>
  <c r="Z411" i="3"/>
  <c r="Z403" i="3"/>
  <c r="Z395" i="3"/>
  <c r="Z387" i="3"/>
  <c r="Z379" i="3"/>
  <c r="Z371" i="3"/>
  <c r="Z363" i="3"/>
  <c r="Z355" i="3"/>
  <c r="Z347" i="3"/>
  <c r="Z339" i="3"/>
  <c r="Z331" i="3"/>
  <c r="Z323" i="3"/>
  <c r="Z315" i="3"/>
  <c r="Z307" i="3"/>
  <c r="Z299" i="3"/>
  <c r="Z291" i="3"/>
  <c r="Z283" i="3"/>
  <c r="Z275" i="3"/>
  <c r="Z267" i="3"/>
  <c r="Z259" i="3"/>
  <c r="Z251" i="3"/>
  <c r="Z243" i="3"/>
  <c r="Z235" i="3"/>
  <c r="Z227" i="3"/>
  <c r="Z219" i="3"/>
  <c r="Z211" i="3"/>
  <c r="Z203" i="3"/>
  <c r="Z195" i="3"/>
  <c r="Z187" i="3"/>
  <c r="Z179" i="3"/>
  <c r="Z171" i="3"/>
  <c r="Z163" i="3"/>
  <c r="Z155" i="3"/>
  <c r="Z147" i="3"/>
  <c r="Z139" i="3"/>
  <c r="Z131" i="3"/>
  <c r="Z123" i="3"/>
  <c r="Z115" i="3"/>
  <c r="Z107" i="3"/>
  <c r="Z99" i="3"/>
  <c r="Z91" i="3"/>
  <c r="Z83" i="3"/>
  <c r="Z75" i="3"/>
  <c r="Z67" i="3"/>
  <c r="Z59" i="3"/>
  <c r="Z51" i="3"/>
  <c r="Z43" i="3"/>
  <c r="Z35" i="3"/>
  <c r="Z27" i="3"/>
  <c r="Z19" i="3"/>
  <c r="Z11" i="3"/>
  <c r="Z983" i="3"/>
  <c r="Z951" i="3"/>
  <c r="Z919" i="3"/>
  <c r="Z887" i="3"/>
  <c r="Z855" i="3"/>
  <c r="Z823" i="3"/>
  <c r="Z791" i="3"/>
  <c r="Z759" i="3"/>
  <c r="Z727" i="3"/>
  <c r="Z695" i="3"/>
  <c r="Z663" i="3"/>
  <c r="Z631" i="3"/>
  <c r="Z599" i="3"/>
  <c r="Z567" i="3"/>
  <c r="Z535" i="3"/>
  <c r="Z503" i="3"/>
  <c r="Z471" i="3"/>
  <c r="Z439" i="3"/>
  <c r="Z407" i="3"/>
  <c r="Z375" i="3"/>
  <c r="Z343" i="3"/>
  <c r="Z311" i="3"/>
  <c r="Z279" i="3"/>
  <c r="Z247" i="3"/>
  <c r="Z215" i="3"/>
  <c r="Z183" i="3"/>
  <c r="Z151" i="3"/>
  <c r="Z119" i="3"/>
  <c r="Z87" i="3"/>
  <c r="Z55" i="3"/>
  <c r="Z23" i="3"/>
  <c r="Z991" i="3"/>
  <c r="Z959" i="3"/>
  <c r="Z927" i="3"/>
  <c r="Z895" i="3"/>
  <c r="Z863" i="3"/>
  <c r="Z831" i="3"/>
  <c r="Z799" i="3"/>
  <c r="Z767" i="3"/>
  <c r="Z735" i="3"/>
  <c r="Z703" i="3"/>
  <c r="Z671" i="3"/>
  <c r="Z639" i="3"/>
  <c r="Z607" i="3"/>
  <c r="Z575" i="3"/>
  <c r="Z543" i="3"/>
  <c r="Z511" i="3"/>
  <c r="Z479" i="3"/>
  <c r="Z447" i="3"/>
  <c r="Z415" i="3"/>
  <c r="Z383" i="3"/>
  <c r="Z351" i="3"/>
  <c r="Z319" i="3"/>
  <c r="Z287" i="3"/>
  <c r="Z255" i="3"/>
  <c r="Z223" i="3"/>
  <c r="Z191" i="3"/>
  <c r="Z159" i="3"/>
  <c r="Z127" i="3"/>
  <c r="Z95" i="3"/>
  <c r="Z63" i="3"/>
  <c r="Z31" i="3"/>
  <c r="Z975" i="3"/>
  <c r="Z943" i="3"/>
  <c r="Z911" i="3"/>
  <c r="Z879" i="3"/>
  <c r="Z847" i="3"/>
  <c r="Z815" i="3"/>
  <c r="Z783" i="3"/>
  <c r="Z751" i="3"/>
  <c r="Z719" i="3"/>
  <c r="Z687" i="3"/>
  <c r="Z655" i="3"/>
  <c r="Z623" i="3"/>
  <c r="Z591" i="3"/>
  <c r="Z559" i="3"/>
  <c r="Z527" i="3"/>
  <c r="Z495" i="3"/>
  <c r="Z463" i="3"/>
  <c r="Z431" i="3"/>
  <c r="Z399" i="3"/>
  <c r="Z367" i="3"/>
  <c r="Z335" i="3"/>
  <c r="Z303" i="3"/>
  <c r="Z271" i="3"/>
  <c r="Z239" i="3"/>
  <c r="Z207" i="3"/>
  <c r="Z175" i="3"/>
  <c r="Z143" i="3"/>
  <c r="Z111" i="3"/>
  <c r="Z79" i="3"/>
  <c r="Z47" i="3"/>
  <c r="Z15" i="3"/>
  <c r="Z999" i="3"/>
  <c r="Z967" i="3"/>
  <c r="Z935" i="3"/>
  <c r="Z903" i="3"/>
  <c r="Z871" i="3"/>
  <c r="Z839" i="3"/>
  <c r="Z807" i="3"/>
  <c r="Z775" i="3"/>
  <c r="Z743" i="3"/>
  <c r="Z711" i="3"/>
  <c r="Z679" i="3"/>
  <c r="Z647" i="3"/>
  <c r="Z615" i="3"/>
  <c r="Z583" i="3"/>
  <c r="Z551" i="3"/>
  <c r="Z519" i="3"/>
  <c r="Z487" i="3"/>
  <c r="Z455" i="3"/>
  <c r="Z423" i="3"/>
  <c r="Z391" i="3"/>
  <c r="Z359" i="3"/>
  <c r="Z327" i="3"/>
  <c r="Z295" i="3"/>
  <c r="Z263" i="3"/>
  <c r="Z231" i="3"/>
  <c r="Z199" i="3"/>
  <c r="Z167" i="3"/>
  <c r="Z135" i="3"/>
  <c r="Z103" i="3"/>
  <c r="Z71" i="3"/>
  <c r="Z39" i="3"/>
  <c r="Z7" i="3"/>
  <c r="I998" i="34"/>
  <c r="I994" i="34"/>
  <c r="I990" i="34"/>
  <c r="I986" i="34"/>
  <c r="I982" i="34"/>
  <c r="I978" i="34"/>
  <c r="I974" i="34"/>
  <c r="I970" i="34"/>
  <c r="I966" i="34"/>
  <c r="I962" i="34"/>
  <c r="I958" i="34"/>
  <c r="I954" i="34"/>
  <c r="I950" i="34"/>
  <c r="I946" i="34"/>
  <c r="I942" i="34"/>
  <c r="I938" i="34"/>
  <c r="I934" i="34"/>
  <c r="I930" i="34"/>
  <c r="I926" i="34"/>
  <c r="I922" i="34"/>
  <c r="I918" i="34"/>
  <c r="I914" i="34"/>
  <c r="I910" i="34"/>
  <c r="I906" i="34"/>
  <c r="I902" i="34"/>
  <c r="I898" i="34"/>
  <c r="I894" i="34"/>
  <c r="I890" i="34"/>
  <c r="I886" i="34"/>
  <c r="I882" i="34"/>
  <c r="I878" i="34"/>
  <c r="I874" i="34"/>
  <c r="I870" i="34"/>
  <c r="I866" i="34"/>
  <c r="I862" i="34"/>
  <c r="I858" i="34"/>
  <c r="I854" i="34"/>
  <c r="I850" i="34"/>
  <c r="I846" i="34"/>
  <c r="I842" i="34"/>
  <c r="I838" i="34"/>
  <c r="I834" i="34"/>
  <c r="I830" i="34"/>
  <c r="I826" i="34"/>
  <c r="I822" i="34"/>
  <c r="I818" i="34"/>
  <c r="I814" i="34"/>
  <c r="I810" i="34"/>
  <c r="I806" i="34"/>
  <c r="I802" i="34"/>
  <c r="I798" i="34"/>
  <c r="I794" i="34"/>
  <c r="I790" i="34"/>
  <c r="I786" i="34"/>
  <c r="I782" i="34"/>
  <c r="I778" i="34"/>
  <c r="I774" i="34"/>
  <c r="I770" i="34"/>
  <c r="I766" i="34"/>
  <c r="I762" i="34"/>
  <c r="I758" i="34"/>
  <c r="I754" i="34"/>
  <c r="I750" i="34"/>
  <c r="I746" i="34"/>
  <c r="I742" i="34"/>
  <c r="I738" i="34"/>
  <c r="I734" i="34"/>
  <c r="I730" i="34"/>
  <c r="I726" i="34"/>
  <c r="I722" i="34"/>
  <c r="I718" i="34"/>
  <c r="I714" i="34"/>
  <c r="I710" i="34"/>
  <c r="I706" i="34"/>
  <c r="I702" i="34"/>
  <c r="I698" i="34"/>
  <c r="I694" i="34"/>
  <c r="I690" i="34"/>
  <c r="I686" i="34"/>
  <c r="I682" i="34"/>
  <c r="I678" i="34"/>
  <c r="I674" i="34"/>
  <c r="I670" i="34"/>
  <c r="I666" i="34"/>
  <c r="I662" i="34"/>
  <c r="I658" i="34"/>
  <c r="I654" i="34"/>
  <c r="I650" i="34"/>
  <c r="I646" i="34"/>
  <c r="I642" i="34"/>
  <c r="I638" i="34"/>
  <c r="I634" i="34"/>
  <c r="I630" i="34"/>
  <c r="I626" i="34"/>
  <c r="I622" i="34"/>
  <c r="I618" i="34"/>
  <c r="I614" i="34"/>
  <c r="I610" i="34"/>
  <c r="I606" i="34"/>
  <c r="I602" i="34"/>
  <c r="I598" i="34"/>
  <c r="I594" i="34"/>
  <c r="I590" i="34"/>
  <c r="I586" i="34"/>
  <c r="I582" i="34"/>
  <c r="I578" i="34"/>
  <c r="I574" i="34"/>
  <c r="I570" i="34"/>
  <c r="I566" i="34"/>
  <c r="I562" i="34"/>
  <c r="I558" i="34"/>
  <c r="I554" i="34"/>
  <c r="I550" i="34"/>
  <c r="I546" i="34"/>
  <c r="I542" i="34"/>
  <c r="I538" i="34"/>
  <c r="I534" i="34"/>
  <c r="I530" i="34"/>
  <c r="I526" i="34"/>
  <c r="I996" i="34"/>
  <c r="I991" i="34"/>
  <c r="I985" i="34"/>
  <c r="I980" i="34"/>
  <c r="I975" i="34"/>
  <c r="I969" i="34"/>
  <c r="I964" i="34"/>
  <c r="I959" i="34"/>
  <c r="I953" i="34"/>
  <c r="I948" i="34"/>
  <c r="I943" i="34"/>
  <c r="I937" i="34"/>
  <c r="I932" i="34"/>
  <c r="I927" i="34"/>
  <c r="I921" i="34"/>
  <c r="I916" i="34"/>
  <c r="I911" i="34"/>
  <c r="I905" i="34"/>
  <c r="I900" i="34"/>
  <c r="I895" i="34"/>
  <c r="I889" i="34"/>
  <c r="I884" i="34"/>
  <c r="I879" i="34"/>
  <c r="I873" i="34"/>
  <c r="I868" i="34"/>
  <c r="I863" i="34"/>
  <c r="I857" i="34"/>
  <c r="I852" i="34"/>
  <c r="I847" i="34"/>
  <c r="I841" i="34"/>
  <c r="I836" i="34"/>
  <c r="I831" i="34"/>
  <c r="I825" i="34"/>
  <c r="I820" i="34"/>
  <c r="I815" i="34"/>
  <c r="I809" i="34"/>
  <c r="I804" i="34"/>
  <c r="I799" i="34"/>
  <c r="I793" i="34"/>
  <c r="I788" i="34"/>
  <c r="I783" i="34"/>
  <c r="I777" i="34"/>
  <c r="I772" i="34"/>
  <c r="I767" i="34"/>
  <c r="I761" i="34"/>
  <c r="I756" i="34"/>
  <c r="I751" i="34"/>
  <c r="I745" i="34"/>
  <c r="I740" i="34"/>
  <c r="I735" i="34"/>
  <c r="I729" i="34"/>
  <c r="I724" i="34"/>
  <c r="I719" i="34"/>
  <c r="I713" i="34"/>
  <c r="I708" i="34"/>
  <c r="I703" i="34"/>
  <c r="I697" i="34"/>
  <c r="I692" i="34"/>
  <c r="I687" i="34"/>
  <c r="I681" i="34"/>
  <c r="I676" i="34"/>
  <c r="I671" i="34"/>
  <c r="I665" i="34"/>
  <c r="I660" i="34"/>
  <c r="I655" i="34"/>
  <c r="I649" i="34"/>
  <c r="I644" i="34"/>
  <c r="I639" i="34"/>
  <c r="I633" i="34"/>
  <c r="I628" i="34"/>
  <c r="I623" i="34"/>
  <c r="I617" i="34"/>
  <c r="I612" i="34"/>
  <c r="I607" i="34"/>
  <c r="I601" i="34"/>
  <c r="I596" i="34"/>
  <c r="I591" i="34"/>
  <c r="I585" i="34"/>
  <c r="I580" i="34"/>
  <c r="I575" i="34"/>
  <c r="I569" i="34"/>
  <c r="I564" i="34"/>
  <c r="I559" i="34"/>
  <c r="I553" i="34"/>
  <c r="I548" i="34"/>
  <c r="I543" i="34"/>
  <c r="I537" i="34"/>
  <c r="I532" i="34"/>
  <c r="I527" i="34"/>
  <c r="I522" i="34"/>
  <c r="I518" i="34"/>
  <c r="I514" i="34"/>
  <c r="I510" i="34"/>
  <c r="I506" i="34"/>
  <c r="I502" i="34"/>
  <c r="I498" i="34"/>
  <c r="I494" i="34"/>
  <c r="I490" i="34"/>
  <c r="I486" i="34"/>
  <c r="I482" i="34"/>
  <c r="I478" i="34"/>
  <c r="I474" i="34"/>
  <c r="I470" i="34"/>
  <c r="I466" i="34"/>
  <c r="I462" i="34"/>
  <c r="I458" i="34"/>
  <c r="I454" i="34"/>
  <c r="I450" i="34"/>
  <c r="I446" i="34"/>
  <c r="I442" i="34"/>
  <c r="I438" i="34"/>
  <c r="I434" i="34"/>
  <c r="I430" i="34"/>
  <c r="I426" i="34"/>
  <c r="I422" i="34"/>
  <c r="I418" i="34"/>
  <c r="I414" i="34"/>
  <c r="I410" i="34"/>
  <c r="I406" i="34"/>
  <c r="I402" i="34"/>
  <c r="I398" i="34"/>
  <c r="I394" i="34"/>
  <c r="I390" i="34"/>
  <c r="I386" i="34"/>
  <c r="I382" i="34"/>
  <c r="I378" i="34"/>
  <c r="I374" i="34"/>
  <c r="I370" i="34"/>
  <c r="I366" i="34"/>
  <c r="I362" i="34"/>
  <c r="I358" i="34"/>
  <c r="I354" i="34"/>
  <c r="I350" i="34"/>
  <c r="I346" i="34"/>
  <c r="I342" i="34"/>
  <c r="I338" i="34"/>
  <c r="I334" i="34"/>
  <c r="I330" i="34"/>
  <c r="I326" i="34"/>
  <c r="I322" i="34"/>
  <c r="I318" i="34"/>
  <c r="I314" i="34"/>
  <c r="I310" i="34"/>
  <c r="I306" i="34"/>
  <c r="I302" i="34"/>
  <c r="I298" i="34"/>
  <c r="I294" i="34"/>
  <c r="I290" i="34"/>
  <c r="I286" i="34"/>
  <c r="I282" i="34"/>
  <c r="I278" i="34"/>
  <c r="I274" i="34"/>
  <c r="I270" i="34"/>
  <c r="I266" i="34"/>
  <c r="I262" i="34"/>
  <c r="I258" i="34"/>
  <c r="I254" i="34"/>
  <c r="I250" i="34"/>
  <c r="I246" i="34"/>
  <c r="I242" i="34"/>
  <c r="I238" i="34"/>
  <c r="I234" i="34"/>
  <c r="I230" i="34"/>
  <c r="I226" i="34"/>
  <c r="I222" i="34"/>
  <c r="I218" i="34"/>
  <c r="I214" i="34"/>
  <c r="I210" i="34"/>
  <c r="I206" i="34"/>
  <c r="I202" i="34"/>
  <c r="I198" i="34"/>
  <c r="I194" i="34"/>
  <c r="I190" i="34"/>
  <c r="I186" i="34"/>
  <c r="I182" i="34"/>
  <c r="I178" i="34"/>
  <c r="I174" i="34"/>
  <c r="I170" i="34"/>
  <c r="I166" i="34"/>
  <c r="I162" i="34"/>
  <c r="I158" i="34"/>
  <c r="I154" i="34"/>
  <c r="I150" i="34"/>
  <c r="I146" i="34"/>
  <c r="I142" i="34"/>
  <c r="I138" i="34"/>
  <c r="I134" i="34"/>
  <c r="I130" i="34"/>
  <c r="I126" i="34"/>
  <c r="I122" i="34"/>
  <c r="I118" i="34"/>
  <c r="I114" i="34"/>
  <c r="I110" i="34"/>
  <c r="I106" i="34"/>
  <c r="I102" i="34"/>
  <c r="I98" i="34"/>
  <c r="I94" i="34"/>
  <c r="I90" i="34"/>
  <c r="I86" i="34"/>
  <c r="I82" i="34"/>
  <c r="I78" i="34"/>
  <c r="I74" i="34"/>
  <c r="I70" i="34"/>
  <c r="I66" i="34"/>
  <c r="I62" i="34"/>
  <c r="I58" i="34"/>
  <c r="I54" i="34"/>
  <c r="I50" i="34"/>
  <c r="I46" i="34"/>
  <c r="I42" i="34"/>
  <c r="I38" i="34"/>
  <c r="I34" i="34"/>
  <c r="I30" i="34"/>
  <c r="I26" i="34"/>
  <c r="I22" i="34"/>
  <c r="I18" i="34"/>
  <c r="I14" i="34"/>
  <c r="I10" i="34"/>
  <c r="I6" i="34"/>
  <c r="I2" i="34"/>
  <c r="I999" i="34"/>
  <c r="I992" i="34"/>
  <c r="I984" i="34"/>
  <c r="I977" i="34"/>
  <c r="I971" i="34"/>
  <c r="I963" i="34"/>
  <c r="I956" i="34"/>
  <c r="I949" i="34"/>
  <c r="I941" i="34"/>
  <c r="I935" i="34"/>
  <c r="I928" i="34"/>
  <c r="I920" i="34"/>
  <c r="I913" i="34"/>
  <c r="I907" i="34"/>
  <c r="I899" i="34"/>
  <c r="I892" i="34"/>
  <c r="I885" i="34"/>
  <c r="I877" i="34"/>
  <c r="I871" i="34"/>
  <c r="I864" i="34"/>
  <c r="I856" i="34"/>
  <c r="I849" i="34"/>
  <c r="I843" i="34"/>
  <c r="I835" i="34"/>
  <c r="I828" i="34"/>
  <c r="I821" i="34"/>
  <c r="I813" i="34"/>
  <c r="I807" i="34"/>
  <c r="I800" i="34"/>
  <c r="I792" i="34"/>
  <c r="I785" i="34"/>
  <c r="I779" i="34"/>
  <c r="I771" i="34"/>
  <c r="I764" i="34"/>
  <c r="I757" i="34"/>
  <c r="I749" i="34"/>
  <c r="I743" i="34"/>
  <c r="I736" i="34"/>
  <c r="I728" i="34"/>
  <c r="I721" i="34"/>
  <c r="I715" i="34"/>
  <c r="I707" i="34"/>
  <c r="I700" i="34"/>
  <c r="I693" i="34"/>
  <c r="I685" i="34"/>
  <c r="I679" i="34"/>
  <c r="I672" i="34"/>
  <c r="I664" i="34"/>
  <c r="I657" i="34"/>
  <c r="I651" i="34"/>
  <c r="I643" i="34"/>
  <c r="I636" i="34"/>
  <c r="I629" i="34"/>
  <c r="I621" i="34"/>
  <c r="I615" i="34"/>
  <c r="I608" i="34"/>
  <c r="I600" i="34"/>
  <c r="I593" i="34"/>
  <c r="I587" i="34"/>
  <c r="I579" i="34"/>
  <c r="I572" i="34"/>
  <c r="I565" i="34"/>
  <c r="I557" i="34"/>
  <c r="I551" i="34"/>
  <c r="I544" i="34"/>
  <c r="I536" i="34"/>
  <c r="I529" i="34"/>
  <c r="I523" i="34"/>
  <c r="I517" i="34"/>
  <c r="I512" i="34"/>
  <c r="I507" i="34"/>
  <c r="I501" i="34"/>
  <c r="I496" i="34"/>
  <c r="I491" i="34"/>
  <c r="I485" i="34"/>
  <c r="I480" i="34"/>
  <c r="I475" i="34"/>
  <c r="I469" i="34"/>
  <c r="I464" i="34"/>
  <c r="I459" i="34"/>
  <c r="I453" i="34"/>
  <c r="I448" i="34"/>
  <c r="I443" i="34"/>
  <c r="I437" i="34"/>
  <c r="I432" i="34"/>
  <c r="I427" i="34"/>
  <c r="I421" i="34"/>
  <c r="I416" i="34"/>
  <c r="I411" i="34"/>
  <c r="I405" i="34"/>
  <c r="I400" i="34"/>
  <c r="I395" i="34"/>
  <c r="I389" i="34"/>
  <c r="I384" i="34"/>
  <c r="I379" i="34"/>
  <c r="I373" i="34"/>
  <c r="I368" i="34"/>
  <c r="I363" i="34"/>
  <c r="I357" i="34"/>
  <c r="I352" i="34"/>
  <c r="I347" i="34"/>
  <c r="I341" i="34"/>
  <c r="I336" i="34"/>
  <c r="I331" i="34"/>
  <c r="I325" i="34"/>
  <c r="I320" i="34"/>
  <c r="I315" i="34"/>
  <c r="I309" i="34"/>
  <c r="I304" i="34"/>
  <c r="I299" i="34"/>
  <c r="I293" i="34"/>
  <c r="I288" i="34"/>
  <c r="I283" i="34"/>
  <c r="I277" i="34"/>
  <c r="I272" i="34"/>
  <c r="I267" i="34"/>
  <c r="I261" i="34"/>
  <c r="I256" i="34"/>
  <c r="I251" i="34"/>
  <c r="I245" i="34"/>
  <c r="I240" i="34"/>
  <c r="I235" i="34"/>
  <c r="I229" i="34"/>
  <c r="I224" i="34"/>
  <c r="I219" i="34"/>
  <c r="I213" i="34"/>
  <c r="I208" i="34"/>
  <c r="I203" i="34"/>
  <c r="I197" i="34"/>
  <c r="I192" i="34"/>
  <c r="I187" i="34"/>
  <c r="I181" i="34"/>
  <c r="I176" i="34"/>
  <c r="I171" i="34"/>
  <c r="I165" i="34"/>
  <c r="I160" i="34"/>
  <c r="I155" i="34"/>
  <c r="I149" i="34"/>
  <c r="I144" i="34"/>
  <c r="I139" i="34"/>
  <c r="I133" i="34"/>
  <c r="I128" i="34"/>
  <c r="I123" i="34"/>
  <c r="I117" i="34"/>
  <c r="I112" i="34"/>
  <c r="I107" i="34"/>
  <c r="I101" i="34"/>
  <c r="I96" i="34"/>
  <c r="I91" i="34"/>
  <c r="I85" i="34"/>
  <c r="I80" i="34"/>
  <c r="I75" i="34"/>
  <c r="I69" i="34"/>
  <c r="I64" i="34"/>
  <c r="I59" i="34"/>
  <c r="I53" i="34"/>
  <c r="I48" i="34"/>
  <c r="I43" i="34"/>
  <c r="I37" i="34"/>
  <c r="I32" i="34"/>
  <c r="I27" i="34"/>
  <c r="I21" i="34"/>
  <c r="I16" i="34"/>
  <c r="I11" i="34"/>
  <c r="I5" i="34"/>
  <c r="I1" i="34"/>
  <c r="I993" i="34"/>
  <c r="I983" i="34"/>
  <c r="I973" i="34"/>
  <c r="I965" i="34"/>
  <c r="I955" i="34"/>
  <c r="I945" i="34"/>
  <c r="I936" i="34"/>
  <c r="I925" i="34"/>
  <c r="I917" i="34"/>
  <c r="I908" i="34"/>
  <c r="I897" i="34"/>
  <c r="I888" i="34"/>
  <c r="I880" i="34"/>
  <c r="I869" i="34"/>
  <c r="I860" i="34"/>
  <c r="I851" i="34"/>
  <c r="I840" i="34"/>
  <c r="I832" i="34"/>
  <c r="I823" i="34"/>
  <c r="I812" i="34"/>
  <c r="I803" i="34"/>
  <c r="I795" i="34"/>
  <c r="I784" i="34"/>
  <c r="I775" i="34"/>
  <c r="I765" i="34"/>
  <c r="I755" i="34"/>
  <c r="I747" i="34"/>
  <c r="I737" i="34"/>
  <c r="I727" i="34"/>
  <c r="I717" i="34"/>
  <c r="I709" i="34"/>
  <c r="I699" i="34"/>
  <c r="I689" i="34"/>
  <c r="I680" i="34"/>
  <c r="I669" i="34"/>
  <c r="I661" i="34"/>
  <c r="I652" i="34"/>
  <c r="I641" i="34"/>
  <c r="I632" i="34"/>
  <c r="I624" i="34"/>
  <c r="I613" i="34"/>
  <c r="I604" i="34"/>
  <c r="I595" i="34"/>
  <c r="I584" i="34"/>
  <c r="I576" i="34"/>
  <c r="I567" i="34"/>
  <c r="I556" i="34"/>
  <c r="I547" i="34"/>
  <c r="I539" i="34"/>
  <c r="I528" i="34"/>
  <c r="I520" i="34"/>
  <c r="I513" i="34"/>
  <c r="I505" i="34"/>
  <c r="I499" i="34"/>
  <c r="I492" i="34"/>
  <c r="I484" i="34"/>
  <c r="I477" i="34"/>
  <c r="I471" i="34"/>
  <c r="I463" i="34"/>
  <c r="I456" i="34"/>
  <c r="I449" i="34"/>
  <c r="I441" i="34"/>
  <c r="I435" i="34"/>
  <c r="I428" i="34"/>
  <c r="I420" i="34"/>
  <c r="I413" i="34"/>
  <c r="I407" i="34"/>
  <c r="I399" i="34"/>
  <c r="I392" i="34"/>
  <c r="I385" i="34"/>
  <c r="I377" i="34"/>
  <c r="I371" i="34"/>
  <c r="I364" i="34"/>
  <c r="I356" i="34"/>
  <c r="I349" i="34"/>
  <c r="I343" i="34"/>
  <c r="I335" i="34"/>
  <c r="I328" i="34"/>
  <c r="I321" i="34"/>
  <c r="I313" i="34"/>
  <c r="I307" i="34"/>
  <c r="I300" i="34"/>
  <c r="I292" i="34"/>
  <c r="I285" i="34"/>
  <c r="I279" i="34"/>
  <c r="I271" i="34"/>
  <c r="I264" i="34"/>
  <c r="I257" i="34"/>
  <c r="I249" i="34"/>
  <c r="I243" i="34"/>
  <c r="I236" i="34"/>
  <c r="I228" i="34"/>
  <c r="I221" i="34"/>
  <c r="I215" i="34"/>
  <c r="I207" i="34"/>
  <c r="I200" i="34"/>
  <c r="I193" i="34"/>
  <c r="I185" i="34"/>
  <c r="I179" i="34"/>
  <c r="I172" i="34"/>
  <c r="I164" i="34"/>
  <c r="I157" i="34"/>
  <c r="I151" i="34"/>
  <c r="I143" i="34"/>
  <c r="I136" i="34"/>
  <c r="I129" i="34"/>
  <c r="I121" i="34"/>
  <c r="I115" i="34"/>
  <c r="I108" i="34"/>
  <c r="I100" i="34"/>
  <c r="I93" i="34"/>
  <c r="I87" i="34"/>
  <c r="I79" i="34"/>
  <c r="I72" i="34"/>
  <c r="I65" i="34"/>
  <c r="I57" i="34"/>
  <c r="I51" i="34"/>
  <c r="I44" i="34"/>
  <c r="I36" i="34"/>
  <c r="I29" i="34"/>
  <c r="I23" i="34"/>
  <c r="I15" i="34"/>
  <c r="I8" i="34"/>
  <c r="I997" i="34"/>
  <c r="I988" i="34"/>
  <c r="I979" i="34"/>
  <c r="I968" i="34"/>
  <c r="I960" i="34"/>
  <c r="I951" i="34"/>
  <c r="I940" i="34"/>
  <c r="I931" i="34"/>
  <c r="I923" i="34"/>
  <c r="I912" i="34"/>
  <c r="I903" i="34"/>
  <c r="I893" i="34"/>
  <c r="I883" i="34"/>
  <c r="I875" i="34"/>
  <c r="I865" i="34"/>
  <c r="I855" i="34"/>
  <c r="I845" i="34"/>
  <c r="I837" i="34"/>
  <c r="I827" i="34"/>
  <c r="I817" i="34"/>
  <c r="I808" i="34"/>
  <c r="I797" i="34"/>
  <c r="I789" i="34"/>
  <c r="I780" i="34"/>
  <c r="I769" i="34"/>
  <c r="I760" i="34"/>
  <c r="I752" i="34"/>
  <c r="I741" i="34"/>
  <c r="I732" i="34"/>
  <c r="I723" i="34"/>
  <c r="I712" i="34"/>
  <c r="I704" i="34"/>
  <c r="I695" i="34"/>
  <c r="I684" i="34"/>
  <c r="I675" i="34"/>
  <c r="I667" i="34"/>
  <c r="I656" i="34"/>
  <c r="I647" i="34"/>
  <c r="I637" i="34"/>
  <c r="I627" i="34"/>
  <c r="I619" i="34"/>
  <c r="I609" i="34"/>
  <c r="I599" i="34"/>
  <c r="I589" i="34"/>
  <c r="I581" i="34"/>
  <c r="I571" i="34"/>
  <c r="I561" i="34"/>
  <c r="I552" i="34"/>
  <c r="I541" i="34"/>
  <c r="I533" i="34"/>
  <c r="I524" i="34"/>
  <c r="I516" i="34"/>
  <c r="I509" i="34"/>
  <c r="I503" i="34"/>
  <c r="I495" i="34"/>
  <c r="I488" i="34"/>
  <c r="I481" i="34"/>
  <c r="I473" i="34"/>
  <c r="I467" i="34"/>
  <c r="I460" i="34"/>
  <c r="I452" i="34"/>
  <c r="I445" i="34"/>
  <c r="I439" i="34"/>
  <c r="I431" i="34"/>
  <c r="I424" i="34"/>
  <c r="I417" i="34"/>
  <c r="I409" i="34"/>
  <c r="I403" i="34"/>
  <c r="I396" i="34"/>
  <c r="I388" i="34"/>
  <c r="I381" i="34"/>
  <c r="I375" i="34"/>
  <c r="I367" i="34"/>
  <c r="I360" i="34"/>
  <c r="I353" i="34"/>
  <c r="I345" i="34"/>
  <c r="I339" i="34"/>
  <c r="I332" i="34"/>
  <c r="I324" i="34"/>
  <c r="I317" i="34"/>
  <c r="I311" i="34"/>
  <c r="I303" i="34"/>
  <c r="I296" i="34"/>
  <c r="I289" i="34"/>
  <c r="I281" i="34"/>
  <c r="I275" i="34"/>
  <c r="I268" i="34"/>
  <c r="I260" i="34"/>
  <c r="I253" i="34"/>
  <c r="I247" i="34"/>
  <c r="I239" i="34"/>
  <c r="I232" i="34"/>
  <c r="I225" i="34"/>
  <c r="I217" i="34"/>
  <c r="I211" i="34"/>
  <c r="I204" i="34"/>
  <c r="I196" i="34"/>
  <c r="I189" i="34"/>
  <c r="I183" i="34"/>
  <c r="I175" i="34"/>
  <c r="I168" i="34"/>
  <c r="I161" i="34"/>
  <c r="I153" i="34"/>
  <c r="I147" i="34"/>
  <c r="I140" i="34"/>
  <c r="I132" i="34"/>
  <c r="I125" i="34"/>
  <c r="I119" i="34"/>
  <c r="I111" i="34"/>
  <c r="I104" i="34"/>
  <c r="I97" i="34"/>
  <c r="I89" i="34"/>
  <c r="I83" i="34"/>
  <c r="I76" i="34"/>
  <c r="I68" i="34"/>
  <c r="I61" i="34"/>
  <c r="I55" i="34"/>
  <c r="I47" i="34"/>
  <c r="I40" i="34"/>
  <c r="I33" i="34"/>
  <c r="I25" i="34"/>
  <c r="I19" i="34"/>
  <c r="I12" i="34"/>
  <c r="I4" i="34"/>
  <c r="I989" i="34"/>
  <c r="I972" i="34"/>
  <c r="I952" i="34"/>
  <c r="I933" i="34"/>
  <c r="I915" i="34"/>
  <c r="I896" i="34"/>
  <c r="I876" i="34"/>
  <c r="I859" i="34"/>
  <c r="I839" i="34"/>
  <c r="I819" i="34"/>
  <c r="I801" i="34"/>
  <c r="I781" i="34"/>
  <c r="I763" i="34"/>
  <c r="I744" i="34"/>
  <c r="I725" i="34"/>
  <c r="I705" i="34"/>
  <c r="I688" i="34"/>
  <c r="I668" i="34"/>
  <c r="I648" i="34"/>
  <c r="I631" i="34"/>
  <c r="I611" i="34"/>
  <c r="I592" i="34"/>
  <c r="I573" i="34"/>
  <c r="I555" i="34"/>
  <c r="I535" i="34"/>
  <c r="I519" i="34"/>
  <c r="I504" i="34"/>
  <c r="I489" i="34"/>
  <c r="I476" i="34"/>
  <c r="I461" i="34"/>
  <c r="I447" i="34"/>
  <c r="I433" i="34"/>
  <c r="I419" i="34"/>
  <c r="I404" i="34"/>
  <c r="I391" i="34"/>
  <c r="I376" i="34"/>
  <c r="I361" i="34"/>
  <c r="I348" i="34"/>
  <c r="I333" i="34"/>
  <c r="I319" i="34"/>
  <c r="I305" i="34"/>
  <c r="I291" i="34"/>
  <c r="I276" i="34"/>
  <c r="I263" i="34"/>
  <c r="I248" i="34"/>
  <c r="I233" i="34"/>
  <c r="I220" i="34"/>
  <c r="I205" i="34"/>
  <c r="I191" i="34"/>
  <c r="I177" i="34"/>
  <c r="I163" i="34"/>
  <c r="I148" i="34"/>
  <c r="I135" i="34"/>
  <c r="I120" i="34"/>
  <c r="I105" i="34"/>
  <c r="I92" i="34"/>
  <c r="I77" i="34"/>
  <c r="I63" i="34"/>
  <c r="I49" i="34"/>
  <c r="I35" i="34"/>
  <c r="I20" i="34"/>
  <c r="I7" i="34"/>
  <c r="I1000" i="34"/>
  <c r="I981" i="34"/>
  <c r="I961" i="34"/>
  <c r="I944" i="34"/>
  <c r="I924" i="34"/>
  <c r="I904" i="34"/>
  <c r="I887" i="34"/>
  <c r="I867" i="34"/>
  <c r="I848" i="34"/>
  <c r="I829" i="34"/>
  <c r="I811" i="34"/>
  <c r="I791" i="34"/>
  <c r="I773" i="34"/>
  <c r="I753" i="34"/>
  <c r="I733" i="34"/>
  <c r="I716" i="34"/>
  <c r="I696" i="34"/>
  <c r="I677" i="34"/>
  <c r="I659" i="34"/>
  <c r="I640" i="34"/>
  <c r="I620" i="34"/>
  <c r="I603" i="34"/>
  <c r="I583" i="34"/>
  <c r="I563" i="34"/>
  <c r="I545" i="34"/>
  <c r="I525" i="34"/>
  <c r="I511" i="34"/>
  <c r="I497" i="34"/>
  <c r="I483" i="34"/>
  <c r="I468" i="34"/>
  <c r="I455" i="34"/>
  <c r="I440" i="34"/>
  <c r="I425" i="34"/>
  <c r="I412" i="34"/>
  <c r="I397" i="34"/>
  <c r="I383" i="34"/>
  <c r="I369" i="34"/>
  <c r="I355" i="34"/>
  <c r="I340" i="34"/>
  <c r="I327" i="34"/>
  <c r="I312" i="34"/>
  <c r="I297" i="34"/>
  <c r="I284" i="34"/>
  <c r="I269" i="34"/>
  <c r="I255" i="34"/>
  <c r="I241" i="34"/>
  <c r="I227" i="34"/>
  <c r="I212" i="34"/>
  <c r="I199" i="34"/>
  <c r="I184" i="34"/>
  <c r="I169" i="34"/>
  <c r="I156" i="34"/>
  <c r="I141" i="34"/>
  <c r="I127" i="34"/>
  <c r="I113" i="34"/>
  <c r="I99" i="34"/>
  <c r="I84" i="34"/>
  <c r="I71" i="34"/>
  <c r="I56" i="34"/>
  <c r="I41" i="34"/>
  <c r="I28" i="34"/>
  <c r="I13" i="34"/>
  <c r="I995" i="34"/>
  <c r="I957" i="34"/>
  <c r="I919" i="34"/>
  <c r="I881" i="34"/>
  <c r="I844" i="34"/>
  <c r="I805" i="34"/>
  <c r="I768" i="34"/>
  <c r="I731" i="34"/>
  <c r="I691" i="34"/>
  <c r="I653" i="34"/>
  <c r="I616" i="34"/>
  <c r="I577" i="34"/>
  <c r="I540" i="34"/>
  <c r="I508" i="34"/>
  <c r="I479" i="34"/>
  <c r="I451" i="34"/>
  <c r="I423" i="34"/>
  <c r="I393" i="34"/>
  <c r="I365" i="34"/>
  <c r="I337" i="34"/>
  <c r="I308" i="34"/>
  <c r="I280" i="34"/>
  <c r="I252" i="34"/>
  <c r="I223" i="34"/>
  <c r="I195" i="34"/>
  <c r="I167" i="34"/>
  <c r="I137" i="34"/>
  <c r="I109" i="34"/>
  <c r="I81" i="34"/>
  <c r="I52" i="34"/>
  <c r="I24" i="34"/>
  <c r="I987" i="34"/>
  <c r="I947" i="34"/>
  <c r="I909" i="34"/>
  <c r="I872" i="34"/>
  <c r="I833" i="34"/>
  <c r="I796" i="34"/>
  <c r="I759" i="34"/>
  <c r="I720" i="34"/>
  <c r="I683" i="34"/>
  <c r="I645" i="34"/>
  <c r="I605" i="34"/>
  <c r="I568" i="34"/>
  <c r="I531" i="34"/>
  <c r="I500" i="34"/>
  <c r="I472" i="34"/>
  <c r="I444" i="34"/>
  <c r="I415" i="34"/>
  <c r="I387" i="34"/>
  <c r="I359" i="34"/>
  <c r="I329" i="34"/>
  <c r="I301" i="34"/>
  <c r="I273" i="34"/>
  <c r="I244" i="34"/>
  <c r="I216" i="34"/>
  <c r="I188" i="34"/>
  <c r="I159" i="34"/>
  <c r="I131" i="34"/>
  <c r="I103" i="34"/>
  <c r="I73" i="34"/>
  <c r="I45" i="34"/>
  <c r="I17" i="34"/>
  <c r="I967" i="34"/>
  <c r="I891" i="34"/>
  <c r="I816" i="34"/>
  <c r="I739" i="34"/>
  <c r="I663" i="34"/>
  <c r="I588" i="34"/>
  <c r="I515" i="34"/>
  <c r="I457" i="34"/>
  <c r="I401" i="34"/>
  <c r="I344" i="34"/>
  <c r="I287" i="34"/>
  <c r="I231" i="34"/>
  <c r="I173" i="34"/>
  <c r="I116" i="34"/>
  <c r="I60" i="34"/>
  <c r="I3" i="34"/>
  <c r="I929" i="34"/>
  <c r="I853" i="34"/>
  <c r="I776" i="34"/>
  <c r="I701" i="34"/>
  <c r="I625" i="34"/>
  <c r="I549" i="34"/>
  <c r="I487" i="34"/>
  <c r="I429" i="34"/>
  <c r="I372" i="34"/>
  <c r="I316" i="34"/>
  <c r="I259" i="34"/>
  <c r="I201" i="34"/>
  <c r="I145" i="34"/>
  <c r="I88" i="34"/>
  <c r="I31" i="34"/>
  <c r="I976" i="34"/>
  <c r="I824" i="34"/>
  <c r="I673" i="34"/>
  <c r="I521" i="34"/>
  <c r="I408" i="34"/>
  <c r="I295" i="34"/>
  <c r="I180" i="34"/>
  <c r="I67" i="34"/>
  <c r="I939" i="34"/>
  <c r="I787" i="34"/>
  <c r="I635" i="34"/>
  <c r="I493" i="34"/>
  <c r="I380" i="34"/>
  <c r="I265" i="34"/>
  <c r="I152" i="34"/>
  <c r="I39" i="34"/>
  <c r="I748" i="34"/>
  <c r="I465" i="34"/>
  <c r="I237" i="34"/>
  <c r="I9" i="34"/>
  <c r="I711" i="34"/>
  <c r="I436" i="34"/>
  <c r="I209" i="34"/>
  <c r="I861" i="34"/>
  <c r="I323" i="34"/>
  <c r="I560" i="34"/>
  <c r="I95" i="34"/>
  <c r="I597" i="34"/>
  <c r="I124" i="34"/>
  <c r="I901" i="34"/>
  <c r="I351" i="34"/>
  <c r="I999" i="32"/>
  <c r="I995" i="32"/>
  <c r="I991" i="32"/>
  <c r="I987" i="32"/>
  <c r="I983" i="32"/>
  <c r="I979" i="32"/>
  <c r="I975" i="32"/>
  <c r="I971" i="32"/>
  <c r="I967" i="32"/>
  <c r="I963" i="32"/>
  <c r="I959" i="32"/>
  <c r="I955" i="32"/>
  <c r="I951" i="32"/>
  <c r="I947" i="32"/>
  <c r="I943" i="32"/>
  <c r="I939" i="32"/>
  <c r="I935" i="32"/>
  <c r="I931" i="32"/>
  <c r="I927" i="32"/>
  <c r="I923" i="32"/>
  <c r="I919" i="32"/>
  <c r="I915" i="32"/>
  <c r="I911" i="32"/>
  <c r="I907" i="32"/>
  <c r="I903" i="32"/>
  <c r="I899" i="32"/>
  <c r="I895" i="32"/>
  <c r="I891" i="32"/>
  <c r="I887" i="32"/>
  <c r="I883" i="32"/>
  <c r="I879" i="32"/>
  <c r="I875" i="32"/>
  <c r="I871" i="32"/>
  <c r="I867" i="32"/>
  <c r="I863" i="32"/>
  <c r="I859" i="32"/>
  <c r="I855" i="32"/>
  <c r="I851" i="32"/>
  <c r="I847" i="32"/>
  <c r="I843" i="32"/>
  <c r="I839" i="32"/>
  <c r="I835" i="32"/>
  <c r="I831" i="32"/>
  <c r="I827" i="32"/>
  <c r="I823" i="32"/>
  <c r="I819" i="32"/>
  <c r="I815" i="32"/>
  <c r="I811" i="32"/>
  <c r="I807" i="32"/>
  <c r="I803" i="32"/>
  <c r="I799" i="32"/>
  <c r="I795" i="32"/>
  <c r="I791" i="32"/>
  <c r="I787" i="32"/>
  <c r="I783" i="32"/>
  <c r="I779" i="32"/>
  <c r="I775" i="32"/>
  <c r="I771" i="32"/>
  <c r="I767" i="32"/>
  <c r="I763" i="32"/>
  <c r="I759" i="32"/>
  <c r="I755" i="32"/>
  <c r="I751" i="32"/>
  <c r="I747" i="32"/>
  <c r="I743" i="32"/>
  <c r="I739" i="32"/>
  <c r="I735" i="32"/>
  <c r="I731" i="32"/>
  <c r="I727" i="32"/>
  <c r="I723" i="32"/>
  <c r="I719" i="32"/>
  <c r="I715" i="32"/>
  <c r="I711" i="32"/>
  <c r="I707" i="32"/>
  <c r="I703" i="32"/>
  <c r="I699" i="32"/>
  <c r="I695" i="32"/>
  <c r="I691" i="32"/>
  <c r="I687" i="32"/>
  <c r="I683" i="32"/>
  <c r="I679" i="32"/>
  <c r="I675" i="32"/>
  <c r="I671" i="32"/>
  <c r="I667" i="32"/>
  <c r="I663" i="32"/>
  <c r="I659" i="32"/>
  <c r="I655" i="32"/>
  <c r="I651" i="32"/>
  <c r="I647" i="32"/>
  <c r="I643" i="32"/>
  <c r="I639" i="32"/>
  <c r="I635" i="32"/>
  <c r="I631" i="32"/>
  <c r="I627" i="32"/>
  <c r="I623" i="32"/>
  <c r="I619" i="32"/>
  <c r="I615" i="32"/>
  <c r="I611" i="32"/>
  <c r="I607" i="32"/>
  <c r="I603" i="32"/>
  <c r="I599" i="32"/>
  <c r="I595" i="32"/>
  <c r="I591" i="32"/>
  <c r="I587" i="32"/>
  <c r="I583" i="32"/>
  <c r="I579" i="32"/>
  <c r="I575" i="32"/>
  <c r="I571" i="32"/>
  <c r="I567" i="32"/>
  <c r="I563" i="32"/>
  <c r="I559" i="32"/>
  <c r="I555" i="32"/>
  <c r="I551" i="32"/>
  <c r="I547" i="32"/>
  <c r="I543" i="32"/>
  <c r="I539" i="32"/>
  <c r="I535" i="32"/>
  <c r="I531" i="32"/>
  <c r="I527" i="32"/>
  <c r="I523" i="32"/>
  <c r="I519" i="32"/>
  <c r="I515" i="32"/>
  <c r="I511" i="32"/>
  <c r="I507" i="32"/>
  <c r="I503" i="32"/>
  <c r="I499" i="32"/>
  <c r="I495" i="32"/>
  <c r="I491" i="32"/>
  <c r="I487" i="32"/>
  <c r="I483" i="32"/>
  <c r="I479" i="32"/>
  <c r="I475" i="32"/>
  <c r="I471" i="32"/>
  <c r="I467" i="32"/>
  <c r="I463" i="32"/>
  <c r="I459" i="32"/>
  <c r="I455" i="32"/>
  <c r="I451" i="32"/>
  <c r="I447" i="32"/>
  <c r="I443" i="32"/>
  <c r="I439" i="32"/>
  <c r="I435" i="32"/>
  <c r="I431" i="32"/>
  <c r="I427" i="32"/>
  <c r="I423" i="32"/>
  <c r="I419" i="32"/>
  <c r="I415" i="32"/>
  <c r="I411" i="32"/>
  <c r="I407" i="32"/>
  <c r="I403" i="32"/>
  <c r="I399" i="32"/>
  <c r="I395" i="32"/>
  <c r="I391" i="32"/>
  <c r="I387" i="32"/>
  <c r="I383" i="32"/>
  <c r="I379" i="32"/>
  <c r="I375" i="32"/>
  <c r="I371" i="32"/>
  <c r="I367" i="32"/>
  <c r="I363" i="32"/>
  <c r="I359" i="32"/>
  <c r="I355" i="32"/>
  <c r="I351" i="32"/>
  <c r="I347" i="32"/>
  <c r="I343" i="32"/>
  <c r="I339" i="32"/>
  <c r="I335" i="32"/>
  <c r="I331" i="32"/>
  <c r="I327" i="32"/>
  <c r="I323" i="32"/>
  <c r="I319" i="32"/>
  <c r="I315" i="32"/>
  <c r="I311" i="32"/>
  <c r="I307" i="32"/>
  <c r="I303" i="32"/>
  <c r="I299" i="32"/>
  <c r="I295" i="32"/>
  <c r="I291" i="32"/>
  <c r="I287" i="32"/>
  <c r="I283" i="32"/>
  <c r="I279" i="32"/>
  <c r="I275" i="32"/>
  <c r="I271" i="32"/>
  <c r="I267" i="32"/>
  <c r="I263" i="32"/>
  <c r="I259" i="32"/>
  <c r="I255" i="32"/>
  <c r="I251" i="32"/>
  <c r="I247" i="32"/>
  <c r="I243" i="32"/>
  <c r="I239" i="32"/>
  <c r="I235" i="32"/>
  <c r="I231" i="32"/>
  <c r="I227" i="32"/>
  <c r="I223" i="32"/>
  <c r="I219" i="32"/>
  <c r="I215" i="32"/>
  <c r="I211" i="32"/>
  <c r="I207" i="32"/>
  <c r="I203" i="32"/>
  <c r="I199" i="32"/>
  <c r="I195" i="32"/>
  <c r="I191" i="32"/>
  <c r="I187" i="32"/>
  <c r="I183" i="32"/>
  <c r="I179" i="32"/>
  <c r="I175" i="32"/>
  <c r="I171" i="32"/>
  <c r="I167" i="32"/>
  <c r="I163" i="32"/>
  <c r="I159" i="32"/>
  <c r="I155" i="32"/>
  <c r="I151" i="32"/>
  <c r="I147" i="32"/>
  <c r="I143" i="32"/>
  <c r="I139" i="32"/>
  <c r="I135" i="32"/>
  <c r="I131" i="32"/>
  <c r="I127" i="32"/>
  <c r="I123" i="32"/>
  <c r="I119" i="32"/>
  <c r="I115" i="32"/>
  <c r="I111" i="32"/>
  <c r="I107" i="32"/>
  <c r="I103" i="32"/>
  <c r="I99" i="32"/>
  <c r="I95" i="32"/>
  <c r="I91" i="32"/>
  <c r="I87" i="32"/>
  <c r="I83" i="32"/>
  <c r="I79" i="32"/>
  <c r="I75" i="32"/>
  <c r="I71" i="32"/>
  <c r="I67" i="32"/>
  <c r="I63" i="32"/>
  <c r="I59" i="32"/>
  <c r="I55" i="32"/>
  <c r="I51" i="32"/>
  <c r="I47" i="32"/>
  <c r="I43" i="32"/>
  <c r="I39" i="32"/>
  <c r="I35" i="32"/>
  <c r="I31" i="32"/>
  <c r="I27" i="32"/>
  <c r="I23" i="32"/>
  <c r="I19" i="32"/>
  <c r="I15" i="32"/>
  <c r="I11" i="32"/>
  <c r="I7" i="32"/>
  <c r="I3" i="32"/>
  <c r="I1000" i="32"/>
  <c r="I994" i="32"/>
  <c r="I989" i="32"/>
  <c r="I984" i="32"/>
  <c r="I978" i="32"/>
  <c r="I973" i="32"/>
  <c r="I968" i="32"/>
  <c r="I962" i="32"/>
  <c r="I957" i="32"/>
  <c r="I952" i="32"/>
  <c r="I946" i="32"/>
  <c r="I941" i="32"/>
  <c r="I936" i="32"/>
  <c r="I930" i="32"/>
  <c r="I925" i="32"/>
  <c r="I920" i="32"/>
  <c r="I914" i="32"/>
  <c r="I909" i="32"/>
  <c r="I904" i="32"/>
  <c r="I898" i="32"/>
  <c r="I893" i="32"/>
  <c r="I888" i="32"/>
  <c r="I882" i="32"/>
  <c r="I877" i="32"/>
  <c r="I872" i="32"/>
  <c r="I866" i="32"/>
  <c r="I861" i="32"/>
  <c r="I856" i="32"/>
  <c r="I850" i="32"/>
  <c r="I845" i="32"/>
  <c r="I840" i="32"/>
  <c r="I834" i="32"/>
  <c r="I829" i="32"/>
  <c r="I824" i="32"/>
  <c r="I818" i="32"/>
  <c r="I813" i="32"/>
  <c r="I808" i="32"/>
  <c r="I802" i="32"/>
  <c r="I797" i="32"/>
  <c r="I792" i="32"/>
  <c r="I786" i="32"/>
  <c r="I781" i="32"/>
  <c r="I776" i="32"/>
  <c r="I770" i="32"/>
  <c r="I765" i="32"/>
  <c r="I760" i="32"/>
  <c r="I754" i="32"/>
  <c r="I749" i="32"/>
  <c r="I744" i="32"/>
  <c r="I738" i="32"/>
  <c r="I733" i="32"/>
  <c r="I728" i="32"/>
  <c r="I722" i="32"/>
  <c r="I717" i="32"/>
  <c r="I712" i="32"/>
  <c r="I706" i="32"/>
  <c r="I701" i="32"/>
  <c r="I696" i="32"/>
  <c r="I690" i="32"/>
  <c r="I685" i="32"/>
  <c r="I680" i="32"/>
  <c r="I674" i="32"/>
  <c r="I669" i="32"/>
  <c r="I664" i="32"/>
  <c r="I658" i="32"/>
  <c r="I653" i="32"/>
  <c r="I648" i="32"/>
  <c r="I642" i="32"/>
  <c r="I637" i="32"/>
  <c r="I632" i="32"/>
  <c r="I626" i="32"/>
  <c r="I621" i="32"/>
  <c r="I616" i="32"/>
  <c r="I610" i="32"/>
  <c r="I605" i="32"/>
  <c r="I600" i="32"/>
  <c r="I594" i="32"/>
  <c r="I589" i="32"/>
  <c r="I584" i="32"/>
  <c r="I578" i="32"/>
  <c r="I573" i="32"/>
  <c r="I568" i="32"/>
  <c r="I562" i="32"/>
  <c r="I557" i="32"/>
  <c r="I552" i="32"/>
  <c r="I546" i="32"/>
  <c r="I541" i="32"/>
  <c r="I536" i="32"/>
  <c r="I530" i="32"/>
  <c r="I525" i="32"/>
  <c r="I520" i="32"/>
  <c r="I514" i="32"/>
  <c r="I509" i="32"/>
  <c r="I504" i="32"/>
  <c r="I498" i="32"/>
  <c r="I493" i="32"/>
  <c r="I488" i="32"/>
  <c r="I482" i="32"/>
  <c r="I477" i="32"/>
  <c r="I472" i="32"/>
  <c r="I466" i="32"/>
  <c r="I461" i="32"/>
  <c r="I456" i="32"/>
  <c r="I450" i="32"/>
  <c r="I445" i="32"/>
  <c r="I440" i="32"/>
  <c r="I434" i="32"/>
  <c r="I429" i="32"/>
  <c r="I424" i="32"/>
  <c r="I418" i="32"/>
  <c r="I413" i="32"/>
  <c r="I408" i="32"/>
  <c r="I402" i="32"/>
  <c r="I397" i="32"/>
  <c r="I392" i="32"/>
  <c r="I386" i="32"/>
  <c r="I381" i="32"/>
  <c r="I376" i="32"/>
  <c r="I370" i="32"/>
  <c r="I365" i="32"/>
  <c r="I360" i="32"/>
  <c r="I354" i="32"/>
  <c r="I349" i="32"/>
  <c r="I344" i="32"/>
  <c r="I338" i="32"/>
  <c r="I333" i="32"/>
  <c r="I328" i="32"/>
  <c r="I322" i="32"/>
  <c r="I317" i="32"/>
  <c r="I312" i="32"/>
  <c r="I306" i="32"/>
  <c r="I301" i="32"/>
  <c r="I296" i="32"/>
  <c r="I290" i="32"/>
  <c r="I285" i="32"/>
  <c r="I280" i="32"/>
  <c r="I274" i="32"/>
  <c r="I269" i="32"/>
  <c r="I264" i="32"/>
  <c r="I258" i="32"/>
  <c r="I253" i="32"/>
  <c r="I248" i="32"/>
  <c r="I242" i="32"/>
  <c r="I237" i="32"/>
  <c r="I232" i="32"/>
  <c r="I226" i="32"/>
  <c r="I221" i="32"/>
  <c r="I216" i="32"/>
  <c r="I210" i="32"/>
  <c r="I205" i="32"/>
  <c r="I200" i="32"/>
  <c r="I194" i="32"/>
  <c r="I189" i="32"/>
  <c r="I184" i="32"/>
  <c r="I178" i="32"/>
  <c r="I173" i="32"/>
  <c r="I168" i="32"/>
  <c r="I162" i="32"/>
  <c r="I157" i="32"/>
  <c r="I152" i="32"/>
  <c r="I146" i="32"/>
  <c r="I141" i="32"/>
  <c r="I136" i="32"/>
  <c r="I130" i="32"/>
  <c r="I125" i="32"/>
  <c r="I997" i="32"/>
  <c r="I990" i="32"/>
  <c r="I982" i="32"/>
  <c r="I976" i="32"/>
  <c r="I969" i="32"/>
  <c r="I961" i="32"/>
  <c r="I954" i="32"/>
  <c r="I948" i="32"/>
  <c r="I940" i="32"/>
  <c r="I933" i="32"/>
  <c r="I926" i="32"/>
  <c r="I918" i="32"/>
  <c r="I912" i="32"/>
  <c r="I905" i="32"/>
  <c r="I897" i="32"/>
  <c r="I890" i="32"/>
  <c r="I884" i="32"/>
  <c r="I876" i="32"/>
  <c r="I869" i="32"/>
  <c r="I862" i="32"/>
  <c r="I854" i="32"/>
  <c r="I848" i="32"/>
  <c r="I841" i="32"/>
  <c r="I833" i="32"/>
  <c r="I826" i="32"/>
  <c r="I820" i="32"/>
  <c r="I812" i="32"/>
  <c r="I805" i="32"/>
  <c r="I798" i="32"/>
  <c r="I790" i="32"/>
  <c r="I784" i="32"/>
  <c r="I777" i="32"/>
  <c r="I769" i="32"/>
  <c r="I762" i="32"/>
  <c r="I756" i="32"/>
  <c r="I748" i="32"/>
  <c r="I741" i="32"/>
  <c r="I734" i="32"/>
  <c r="I726" i="32"/>
  <c r="I720" i="32"/>
  <c r="I713" i="32"/>
  <c r="I705" i="32"/>
  <c r="I698" i="32"/>
  <c r="I692" i="32"/>
  <c r="I684" i="32"/>
  <c r="I677" i="32"/>
  <c r="I670" i="32"/>
  <c r="I662" i="32"/>
  <c r="I656" i="32"/>
  <c r="I649" i="32"/>
  <c r="I641" i="32"/>
  <c r="I634" i="32"/>
  <c r="I628" i="32"/>
  <c r="I620" i="32"/>
  <c r="I613" i="32"/>
  <c r="I606" i="32"/>
  <c r="I598" i="32"/>
  <c r="I592" i="32"/>
  <c r="I585" i="32"/>
  <c r="I577" i="32"/>
  <c r="I570" i="32"/>
  <c r="I564" i="32"/>
  <c r="I556" i="32"/>
  <c r="I549" i="32"/>
  <c r="I542" i="32"/>
  <c r="I534" i="32"/>
  <c r="I528" i="32"/>
  <c r="I521" i="32"/>
  <c r="I513" i="32"/>
  <c r="I506" i="32"/>
  <c r="I500" i="32"/>
  <c r="I492" i="32"/>
  <c r="I485" i="32"/>
  <c r="I478" i="32"/>
  <c r="I470" i="32"/>
  <c r="I464" i="32"/>
  <c r="I457" i="32"/>
  <c r="I449" i="32"/>
  <c r="I442" i="32"/>
  <c r="I436" i="32"/>
  <c r="I428" i="32"/>
  <c r="I421" i="32"/>
  <c r="I414" i="32"/>
  <c r="I406" i="32"/>
  <c r="I400" i="32"/>
  <c r="I393" i="32"/>
  <c r="I385" i="32"/>
  <c r="I378" i="32"/>
  <c r="I372" i="32"/>
  <c r="I364" i="32"/>
  <c r="I357" i="32"/>
  <c r="I350" i="32"/>
  <c r="I342" i="32"/>
  <c r="I336" i="32"/>
  <c r="I329" i="32"/>
  <c r="I321" i="32"/>
  <c r="I314" i="32"/>
  <c r="I308" i="32"/>
  <c r="I300" i="32"/>
  <c r="I293" i="32"/>
  <c r="I286" i="32"/>
  <c r="I278" i="32"/>
  <c r="I272" i="32"/>
  <c r="I265" i="32"/>
  <c r="I257" i="32"/>
  <c r="I250" i="32"/>
  <c r="I244" i="32"/>
  <c r="I236" i="32"/>
  <c r="I229" i="32"/>
  <c r="I222" i="32"/>
  <c r="I214" i="32"/>
  <c r="I208" i="32"/>
  <c r="I201" i="32"/>
  <c r="I193" i="32"/>
  <c r="I186" i="32"/>
  <c r="I180" i="32"/>
  <c r="I172" i="32"/>
  <c r="I165" i="32"/>
  <c r="I158" i="32"/>
  <c r="I150" i="32"/>
  <c r="I144" i="32"/>
  <c r="I137" i="32"/>
  <c r="I129" i="32"/>
  <c r="I122" i="32"/>
  <c r="I117" i="32"/>
  <c r="I112" i="32"/>
  <c r="I106" i="32"/>
  <c r="I101" i="32"/>
  <c r="I96" i="32"/>
  <c r="I90" i="32"/>
  <c r="I85" i="32"/>
  <c r="I80" i="32"/>
  <c r="I74" i="32"/>
  <c r="I69" i="32"/>
  <c r="I64" i="32"/>
  <c r="I58" i="32"/>
  <c r="I53" i="32"/>
  <c r="I48" i="32"/>
  <c r="I42" i="32"/>
  <c r="I37" i="32"/>
  <c r="I32" i="32"/>
  <c r="I26" i="32"/>
  <c r="I21" i="32"/>
  <c r="I16" i="32"/>
  <c r="I10" i="32"/>
  <c r="I5" i="32"/>
  <c r="I1" i="32"/>
  <c r="I998" i="32"/>
  <c r="I988" i="32"/>
  <c r="I980" i="32"/>
  <c r="I970" i="32"/>
  <c r="I960" i="32"/>
  <c r="I950" i="32"/>
  <c r="I942" i="32"/>
  <c r="I932" i="32"/>
  <c r="I922" i="32"/>
  <c r="I913" i="32"/>
  <c r="I902" i="32"/>
  <c r="I894" i="32"/>
  <c r="I885" i="32"/>
  <c r="I874" i="32"/>
  <c r="I865" i="32"/>
  <c r="I857" i="32"/>
  <c r="I846" i="32"/>
  <c r="I837" i="32"/>
  <c r="I828" i="32"/>
  <c r="I817" i="32"/>
  <c r="I809" i="32"/>
  <c r="I800" i="32"/>
  <c r="I789" i="32"/>
  <c r="I780" i="32"/>
  <c r="I772" i="32"/>
  <c r="I761" i="32"/>
  <c r="I752" i="32"/>
  <c r="I742" i="32"/>
  <c r="I732" i="32"/>
  <c r="I724" i="32"/>
  <c r="I714" i="32"/>
  <c r="I704" i="32"/>
  <c r="I694" i="32"/>
  <c r="I686" i="32"/>
  <c r="I676" i="32"/>
  <c r="I666" i="32"/>
  <c r="I657" i="32"/>
  <c r="I646" i="32"/>
  <c r="I638" i="32"/>
  <c r="I629" i="32"/>
  <c r="I618" i="32"/>
  <c r="I609" i="32"/>
  <c r="I601" i="32"/>
  <c r="I590" i="32"/>
  <c r="I581" i="32"/>
  <c r="I572" i="32"/>
  <c r="I561" i="32"/>
  <c r="I553" i="32"/>
  <c r="I544" i="32"/>
  <c r="I533" i="32"/>
  <c r="I524" i="32"/>
  <c r="I516" i="32"/>
  <c r="I505" i="32"/>
  <c r="I496" i="32"/>
  <c r="I486" i="32"/>
  <c r="I476" i="32"/>
  <c r="I468" i="32"/>
  <c r="I458" i="32"/>
  <c r="I448" i="32"/>
  <c r="I438" i="32"/>
  <c r="I430" i="32"/>
  <c r="I420" i="32"/>
  <c r="I410" i="32"/>
  <c r="I401" i="32"/>
  <c r="I390" i="32"/>
  <c r="I382" i="32"/>
  <c r="I373" i="32"/>
  <c r="I362" i="32"/>
  <c r="I353" i="32"/>
  <c r="I345" i="32"/>
  <c r="I334" i="32"/>
  <c r="I325" i="32"/>
  <c r="I316" i="32"/>
  <c r="I305" i="32"/>
  <c r="I297" i="32"/>
  <c r="I288" i="32"/>
  <c r="I277" i="32"/>
  <c r="I268" i="32"/>
  <c r="I260" i="32"/>
  <c r="I249" i="32"/>
  <c r="I240" i="32"/>
  <c r="I230" i="32"/>
  <c r="I220" i="32"/>
  <c r="I212" i="32"/>
  <c r="I202" i="32"/>
  <c r="I192" i="32"/>
  <c r="I182" i="32"/>
  <c r="I174" i="32"/>
  <c r="I164" i="32"/>
  <c r="I154" i="32"/>
  <c r="I145" i="32"/>
  <c r="I134" i="32"/>
  <c r="I126" i="32"/>
  <c r="I118" i="32"/>
  <c r="I110" i="32"/>
  <c r="I104" i="32"/>
  <c r="I97" i="32"/>
  <c r="I89" i="32"/>
  <c r="I82" i="32"/>
  <c r="I76" i="32"/>
  <c r="I68" i="32"/>
  <c r="I61" i="32"/>
  <c r="I54" i="32"/>
  <c r="I46" i="32"/>
  <c r="I40" i="32"/>
  <c r="I33" i="32"/>
  <c r="I25" i="32"/>
  <c r="I18" i="32"/>
  <c r="I12" i="32"/>
  <c r="I4" i="32"/>
  <c r="I993" i="32"/>
  <c r="I985" i="32"/>
  <c r="I974" i="32"/>
  <c r="I965" i="32"/>
  <c r="I956" i="32"/>
  <c r="I945" i="32"/>
  <c r="I937" i="32"/>
  <c r="I928" i="32"/>
  <c r="I917" i="32"/>
  <c r="I908" i="32"/>
  <c r="I900" i="32"/>
  <c r="I889" i="32"/>
  <c r="I880" i="32"/>
  <c r="I870" i="32"/>
  <c r="I860" i="32"/>
  <c r="I852" i="32"/>
  <c r="I842" i="32"/>
  <c r="I832" i="32"/>
  <c r="I822" i="32"/>
  <c r="I814" i="32"/>
  <c r="I804" i="32"/>
  <c r="I794" i="32"/>
  <c r="I785" i="32"/>
  <c r="I774" i="32"/>
  <c r="I766" i="32"/>
  <c r="I757" i="32"/>
  <c r="I746" i="32"/>
  <c r="I737" i="32"/>
  <c r="I729" i="32"/>
  <c r="I718" i="32"/>
  <c r="I709" i="32"/>
  <c r="I700" i="32"/>
  <c r="I689" i="32"/>
  <c r="I681" i="32"/>
  <c r="I672" i="32"/>
  <c r="I661" i="32"/>
  <c r="I652" i="32"/>
  <c r="I644" i="32"/>
  <c r="I633" i="32"/>
  <c r="I624" i="32"/>
  <c r="I614" i="32"/>
  <c r="I604" i="32"/>
  <c r="I596" i="32"/>
  <c r="I586" i="32"/>
  <c r="I576" i="32"/>
  <c r="I566" i="32"/>
  <c r="I558" i="32"/>
  <c r="I548" i="32"/>
  <c r="I538" i="32"/>
  <c r="I529" i="32"/>
  <c r="I518" i="32"/>
  <c r="I510" i="32"/>
  <c r="I501" i="32"/>
  <c r="I490" i="32"/>
  <c r="I481" i="32"/>
  <c r="I473" i="32"/>
  <c r="I462" i="32"/>
  <c r="I453" i="32"/>
  <c r="I444" i="32"/>
  <c r="I433" i="32"/>
  <c r="I425" i="32"/>
  <c r="I416" i="32"/>
  <c r="I405" i="32"/>
  <c r="I396" i="32"/>
  <c r="I388" i="32"/>
  <c r="I377" i="32"/>
  <c r="I368" i="32"/>
  <c r="I358" i="32"/>
  <c r="I348" i="32"/>
  <c r="I340" i="32"/>
  <c r="I330" i="32"/>
  <c r="I320" i="32"/>
  <c r="I310" i="32"/>
  <c r="I302" i="32"/>
  <c r="I292" i="32"/>
  <c r="I282" i="32"/>
  <c r="I273" i="32"/>
  <c r="I262" i="32"/>
  <c r="I254" i="32"/>
  <c r="I245" i="32"/>
  <c r="I234" i="32"/>
  <c r="I225" i="32"/>
  <c r="I217" i="32"/>
  <c r="I206" i="32"/>
  <c r="I197" i="32"/>
  <c r="I188" i="32"/>
  <c r="I177" i="32"/>
  <c r="I169" i="32"/>
  <c r="I160" i="32"/>
  <c r="I149" i="32"/>
  <c r="I140" i="32"/>
  <c r="I132" i="32"/>
  <c r="I121" i="32"/>
  <c r="I114" i="32"/>
  <c r="I108" i="32"/>
  <c r="I100" i="32"/>
  <c r="I93" i="32"/>
  <c r="I86" i="32"/>
  <c r="I78" i="32"/>
  <c r="I72" i="32"/>
  <c r="I65" i="32"/>
  <c r="I57" i="32"/>
  <c r="I50" i="32"/>
  <c r="I44" i="32"/>
  <c r="I36" i="32"/>
  <c r="I29" i="32"/>
  <c r="I22" i="32"/>
  <c r="I14" i="32"/>
  <c r="I8" i="32"/>
  <c r="I981" i="32"/>
  <c r="I964" i="32"/>
  <c r="I944" i="32"/>
  <c r="I924" i="32"/>
  <c r="I906" i="32"/>
  <c r="I886" i="32"/>
  <c r="I868" i="32"/>
  <c r="I849" i="32"/>
  <c r="I830" i="32"/>
  <c r="I810" i="32"/>
  <c r="I793" i="32"/>
  <c r="I773" i="32"/>
  <c r="I753" i="32"/>
  <c r="I736" i="32"/>
  <c r="I716" i="32"/>
  <c r="I697" i="32"/>
  <c r="I678" i="32"/>
  <c r="I660" i="32"/>
  <c r="I640" i="32"/>
  <c r="I622" i="32"/>
  <c r="I602" i="32"/>
  <c r="I582" i="32"/>
  <c r="I565" i="32"/>
  <c r="I545" i="32"/>
  <c r="I526" i="32"/>
  <c r="I508" i="32"/>
  <c r="I489" i="32"/>
  <c r="I469" i="32"/>
  <c r="I452" i="32"/>
  <c r="I432" i="32"/>
  <c r="I412" i="32"/>
  <c r="I394" i="32"/>
  <c r="I374" i="32"/>
  <c r="I356" i="32"/>
  <c r="I337" i="32"/>
  <c r="I318" i="32"/>
  <c r="I298" i="32"/>
  <c r="I281" i="32"/>
  <c r="I261" i="32"/>
  <c r="I241" i="32"/>
  <c r="I224" i="32"/>
  <c r="I204" i="32"/>
  <c r="I185" i="32"/>
  <c r="I166" i="32"/>
  <c r="I148" i="32"/>
  <c r="I128" i="32"/>
  <c r="I113" i="32"/>
  <c r="I98" i="32"/>
  <c r="I84" i="32"/>
  <c r="I70" i="32"/>
  <c r="I56" i="32"/>
  <c r="I41" i="32"/>
  <c r="I28" i="32"/>
  <c r="I13" i="32"/>
  <c r="I996" i="32"/>
  <c r="I977" i="32"/>
  <c r="I958" i="32"/>
  <c r="I938" i="32"/>
  <c r="I921" i="32"/>
  <c r="I901" i="32"/>
  <c r="I881" i="32"/>
  <c r="I864" i="32"/>
  <c r="I844" i="32"/>
  <c r="I825" i="32"/>
  <c r="I806" i="32"/>
  <c r="I788" i="32"/>
  <c r="I768" i="32"/>
  <c r="I750" i="32"/>
  <c r="I730" i="32"/>
  <c r="I710" i="32"/>
  <c r="I693" i="32"/>
  <c r="I673" i="32"/>
  <c r="I654" i="32"/>
  <c r="I636" i="32"/>
  <c r="I617" i="32"/>
  <c r="I597" i="32"/>
  <c r="I580" i="32"/>
  <c r="I560" i="32"/>
  <c r="I540" i="32"/>
  <c r="I522" i="32"/>
  <c r="I502" i="32"/>
  <c r="I484" i="32"/>
  <c r="I465" i="32"/>
  <c r="I446" i="32"/>
  <c r="I426" i="32"/>
  <c r="I409" i="32"/>
  <c r="I389" i="32"/>
  <c r="I369" i="32"/>
  <c r="I352" i="32"/>
  <c r="I332" i="32"/>
  <c r="I313" i="32"/>
  <c r="I294" i="32"/>
  <c r="I276" i="32"/>
  <c r="I256" i="32"/>
  <c r="I238" i="32"/>
  <c r="I218" i="32"/>
  <c r="I198" i="32"/>
  <c r="I181" i="32"/>
  <c r="I161" i="32"/>
  <c r="I142" i="32"/>
  <c r="I124" i="32"/>
  <c r="I109" i="32"/>
  <c r="I94" i="32"/>
  <c r="I81" i="32"/>
  <c r="I66" i="32"/>
  <c r="I52" i="32"/>
  <c r="I38" i="32"/>
  <c r="I24" i="32"/>
  <c r="I9" i="32"/>
  <c r="I986" i="32"/>
  <c r="I949" i="32"/>
  <c r="I910" i="32"/>
  <c r="I873" i="32"/>
  <c r="I836" i="32"/>
  <c r="I796" i="32"/>
  <c r="I758" i="32"/>
  <c r="I721" i="32"/>
  <c r="I682" i="32"/>
  <c r="I645" i="32"/>
  <c r="I608" i="32"/>
  <c r="I569" i="32"/>
  <c r="I532" i="32"/>
  <c r="I494" i="32"/>
  <c r="I454" i="32"/>
  <c r="I417" i="32"/>
  <c r="I380" i="32"/>
  <c r="I341" i="32"/>
  <c r="I304" i="32"/>
  <c r="I266" i="32"/>
  <c r="I228" i="32"/>
  <c r="I190" i="32"/>
  <c r="I153" i="32"/>
  <c r="I116" i="32"/>
  <c r="I88" i="32"/>
  <c r="I60" i="32"/>
  <c r="I30" i="32"/>
  <c r="I2" i="32"/>
  <c r="I966" i="32"/>
  <c r="I929" i="32"/>
  <c r="I892" i="32"/>
  <c r="I853" i="32"/>
  <c r="I816" i="32"/>
  <c r="I778" i="32"/>
  <c r="I740" i="32"/>
  <c r="I702" i="32"/>
  <c r="I665" i="32"/>
  <c r="I625" i="32"/>
  <c r="I588" i="32"/>
  <c r="I550" i="32"/>
  <c r="I512" i="32"/>
  <c r="I474" i="32"/>
  <c r="I437" i="32"/>
  <c r="I398" i="32"/>
  <c r="I361" i="32"/>
  <c r="I324" i="32"/>
  <c r="I284" i="32"/>
  <c r="I246" i="32"/>
  <c r="I209" i="32"/>
  <c r="I170" i="32"/>
  <c r="I133" i="32"/>
  <c r="I102" i="32"/>
  <c r="I73" i="32"/>
  <c r="I45" i="32"/>
  <c r="I17" i="32"/>
  <c r="I992" i="32"/>
  <c r="I916" i="32"/>
  <c r="I838" i="32"/>
  <c r="I764" i="32"/>
  <c r="I688" i="32"/>
  <c r="I612" i="32"/>
  <c r="I537" i="32"/>
  <c r="I460" i="32"/>
  <c r="I384" i="32"/>
  <c r="I309" i="32"/>
  <c r="I233" i="32"/>
  <c r="I156" i="32"/>
  <c r="I92" i="32"/>
  <c r="I34" i="32"/>
  <c r="I972" i="32"/>
  <c r="I896" i="32"/>
  <c r="I821" i="32"/>
  <c r="I745" i="32"/>
  <c r="I668" i="32"/>
  <c r="I593" i="32"/>
  <c r="I517" i="32"/>
  <c r="I441" i="32"/>
  <c r="I366" i="32"/>
  <c r="I289" i="32"/>
  <c r="I213" i="32"/>
  <c r="I138" i="32"/>
  <c r="I77" i="32"/>
  <c r="I20" i="32"/>
  <c r="I878" i="32"/>
  <c r="I725" i="32"/>
  <c r="I574" i="32"/>
  <c r="I422" i="32"/>
  <c r="I270" i="32"/>
  <c r="I120" i="32"/>
  <c r="I6" i="32"/>
  <c r="I858" i="32"/>
  <c r="I708" i="32"/>
  <c r="I554" i="32"/>
  <c r="I404" i="32"/>
  <c r="I252" i="32"/>
  <c r="I105" i="32"/>
  <c r="I934" i="32"/>
  <c r="I630" i="32"/>
  <c r="I326" i="32"/>
  <c r="I49" i="32"/>
  <c r="I782" i="32"/>
  <c r="I480" i="32"/>
  <c r="I176" i="32"/>
  <c r="I801" i="32"/>
  <c r="I196" i="32"/>
  <c r="I497" i="32"/>
  <c r="I346" i="32"/>
  <c r="I953" i="32"/>
  <c r="I650" i="32"/>
  <c r="I62" i="32"/>
  <c r="I1000" i="8"/>
  <c r="I996" i="8"/>
  <c r="I992" i="8"/>
  <c r="I988" i="8"/>
  <c r="I984" i="8"/>
  <c r="I980" i="8"/>
  <c r="I976" i="8"/>
  <c r="I972" i="8"/>
  <c r="I968" i="8"/>
  <c r="I964" i="8"/>
  <c r="I960" i="8"/>
  <c r="I956" i="8"/>
  <c r="I952" i="8"/>
  <c r="I948" i="8"/>
  <c r="I944" i="8"/>
  <c r="I940" i="8"/>
  <c r="I936" i="8"/>
  <c r="I932" i="8"/>
  <c r="I928" i="8"/>
  <c r="I924" i="8"/>
  <c r="I920" i="8"/>
  <c r="I916" i="8"/>
  <c r="I912" i="8"/>
  <c r="I908" i="8"/>
  <c r="I904" i="8"/>
  <c r="I900" i="8"/>
  <c r="I896" i="8"/>
  <c r="I892" i="8"/>
  <c r="I888" i="8"/>
  <c r="I884" i="8"/>
  <c r="I880" i="8"/>
  <c r="I876" i="8"/>
  <c r="I872" i="8"/>
  <c r="I868" i="8"/>
  <c r="I864" i="8"/>
  <c r="I860" i="8"/>
  <c r="I856" i="8"/>
  <c r="I852" i="8"/>
  <c r="I848" i="8"/>
  <c r="I844" i="8"/>
  <c r="I840" i="8"/>
  <c r="I836" i="8"/>
  <c r="I832" i="8"/>
  <c r="I828" i="8"/>
  <c r="I824" i="8"/>
  <c r="I820" i="8"/>
  <c r="I816" i="8"/>
  <c r="I812" i="8"/>
  <c r="I808" i="8"/>
  <c r="I804" i="8"/>
  <c r="I800" i="8"/>
  <c r="I796" i="8"/>
  <c r="I792" i="8"/>
  <c r="I788" i="8"/>
  <c r="I784" i="8"/>
  <c r="I780" i="8"/>
  <c r="I776" i="8"/>
  <c r="I772" i="8"/>
  <c r="I768" i="8"/>
  <c r="I764" i="8"/>
  <c r="I760" i="8"/>
  <c r="I756" i="8"/>
  <c r="I752" i="8"/>
  <c r="I748" i="8"/>
  <c r="I744" i="8"/>
  <c r="I740" i="8"/>
  <c r="I736" i="8"/>
  <c r="I732" i="8"/>
  <c r="I728" i="8"/>
  <c r="I724" i="8"/>
  <c r="I720" i="8"/>
  <c r="I716" i="8"/>
  <c r="I712" i="8"/>
  <c r="I708" i="8"/>
  <c r="I704" i="8"/>
  <c r="I700" i="8"/>
  <c r="I696" i="8"/>
  <c r="I692" i="8"/>
  <c r="I688" i="8"/>
  <c r="I684" i="8"/>
  <c r="I680" i="8"/>
  <c r="I676" i="8"/>
  <c r="I672" i="8"/>
  <c r="I668" i="8"/>
  <c r="I664" i="8"/>
  <c r="I660" i="8"/>
  <c r="I656" i="8"/>
  <c r="I652" i="8"/>
  <c r="I648" i="8"/>
  <c r="I644" i="8"/>
  <c r="I640" i="8"/>
  <c r="I636" i="8"/>
  <c r="I632" i="8"/>
  <c r="I628" i="8"/>
  <c r="I624" i="8"/>
  <c r="I620" i="8"/>
  <c r="I616" i="8"/>
  <c r="I612" i="8"/>
  <c r="I608" i="8"/>
  <c r="I604" i="8"/>
  <c r="I600" i="8"/>
  <c r="I596" i="8"/>
  <c r="I592" i="8"/>
  <c r="I588" i="8"/>
  <c r="I584" i="8"/>
  <c r="I580" i="8"/>
  <c r="I576" i="8"/>
  <c r="I572" i="8"/>
  <c r="I568" i="8"/>
  <c r="I564" i="8"/>
  <c r="I560" i="8"/>
  <c r="I556" i="8"/>
  <c r="I552" i="8"/>
  <c r="I548" i="8"/>
  <c r="I544" i="8"/>
  <c r="I540" i="8"/>
  <c r="I536" i="8"/>
  <c r="I532" i="8"/>
  <c r="I528" i="8"/>
  <c r="I524" i="8"/>
  <c r="I520" i="8"/>
  <c r="I516" i="8"/>
  <c r="I512" i="8"/>
  <c r="I508" i="8"/>
  <c r="I504" i="8"/>
  <c r="I500" i="8"/>
  <c r="I496" i="8"/>
  <c r="I492" i="8"/>
  <c r="I488" i="8"/>
  <c r="I484" i="8"/>
  <c r="I480" i="8"/>
  <c r="I476" i="8"/>
  <c r="I472" i="8"/>
  <c r="I468" i="8"/>
  <c r="I464" i="8"/>
  <c r="I460" i="8"/>
  <c r="I456" i="8"/>
  <c r="I452" i="8"/>
  <c r="I448" i="8"/>
  <c r="I444" i="8"/>
  <c r="I440" i="8"/>
  <c r="I436" i="8"/>
  <c r="I432" i="8"/>
  <c r="I428" i="8"/>
  <c r="I424" i="8"/>
  <c r="I420" i="8"/>
  <c r="I416" i="8"/>
  <c r="I412" i="8"/>
  <c r="I408" i="8"/>
  <c r="I404" i="8"/>
  <c r="I400" i="8"/>
  <c r="I396" i="8"/>
  <c r="I392" i="8"/>
  <c r="I388" i="8"/>
  <c r="I384" i="8"/>
  <c r="I380" i="8"/>
  <c r="I376" i="8"/>
  <c r="I372" i="8"/>
  <c r="I368" i="8"/>
  <c r="I364" i="8"/>
  <c r="I360" i="8"/>
  <c r="I356" i="8"/>
  <c r="I352" i="8"/>
  <c r="I348" i="8"/>
  <c r="I344" i="8"/>
  <c r="I340" i="8"/>
  <c r="I336" i="8"/>
  <c r="I332" i="8"/>
  <c r="I328" i="8"/>
  <c r="I324" i="8"/>
  <c r="I320" i="8"/>
  <c r="I316" i="8"/>
  <c r="I312" i="8"/>
  <c r="I308" i="8"/>
  <c r="I304" i="8"/>
  <c r="I300" i="8"/>
  <c r="I296" i="8"/>
  <c r="I292" i="8"/>
  <c r="I288" i="8"/>
  <c r="I284" i="8"/>
  <c r="I280" i="8"/>
  <c r="I276" i="8"/>
  <c r="I272" i="8"/>
  <c r="I268" i="8"/>
  <c r="I264" i="8"/>
  <c r="I260" i="8"/>
  <c r="I256" i="8"/>
  <c r="I252" i="8"/>
  <c r="I248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176" i="8"/>
  <c r="I172" i="8"/>
  <c r="I168" i="8"/>
  <c r="I164" i="8"/>
  <c r="I160" i="8"/>
  <c r="I156" i="8"/>
  <c r="I152" i="8"/>
  <c r="I148" i="8"/>
  <c r="I144" i="8"/>
  <c r="I140" i="8"/>
  <c r="I136" i="8"/>
  <c r="I132" i="8"/>
  <c r="I128" i="8"/>
  <c r="I124" i="8"/>
  <c r="I120" i="8"/>
  <c r="I116" i="8"/>
  <c r="I112" i="8"/>
  <c r="I108" i="8"/>
  <c r="I104" i="8"/>
  <c r="I100" i="8"/>
  <c r="I96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8" i="8"/>
  <c r="I4" i="8"/>
  <c r="I1" i="8"/>
  <c r="I998" i="8"/>
  <c r="I994" i="8"/>
  <c r="I990" i="8"/>
  <c r="I986" i="8"/>
  <c r="I982" i="8"/>
  <c r="I978" i="8"/>
  <c r="I974" i="8"/>
  <c r="I970" i="8"/>
  <c r="I966" i="8"/>
  <c r="I962" i="8"/>
  <c r="I958" i="8"/>
  <c r="I954" i="8"/>
  <c r="I950" i="8"/>
  <c r="I946" i="8"/>
  <c r="I942" i="8"/>
  <c r="I938" i="8"/>
  <c r="I934" i="8"/>
  <c r="I930" i="8"/>
  <c r="I926" i="8"/>
  <c r="I922" i="8"/>
  <c r="I918" i="8"/>
  <c r="I914" i="8"/>
  <c r="I910" i="8"/>
  <c r="I906" i="8"/>
  <c r="I902" i="8"/>
  <c r="I898" i="8"/>
  <c r="I894" i="8"/>
  <c r="I890" i="8"/>
  <c r="I886" i="8"/>
  <c r="I882" i="8"/>
  <c r="I878" i="8"/>
  <c r="I874" i="8"/>
  <c r="I870" i="8"/>
  <c r="I866" i="8"/>
  <c r="I862" i="8"/>
  <c r="I858" i="8"/>
  <c r="I854" i="8"/>
  <c r="I850" i="8"/>
  <c r="I846" i="8"/>
  <c r="I842" i="8"/>
  <c r="I838" i="8"/>
  <c r="I834" i="8"/>
  <c r="I830" i="8"/>
  <c r="I826" i="8"/>
  <c r="I822" i="8"/>
  <c r="I818" i="8"/>
  <c r="I814" i="8"/>
  <c r="I810" i="8"/>
  <c r="I806" i="8"/>
  <c r="I802" i="8"/>
  <c r="I798" i="8"/>
  <c r="I794" i="8"/>
  <c r="I790" i="8"/>
  <c r="I786" i="8"/>
  <c r="I782" i="8"/>
  <c r="I778" i="8"/>
  <c r="I774" i="8"/>
  <c r="I770" i="8"/>
  <c r="I766" i="8"/>
  <c r="I762" i="8"/>
  <c r="I758" i="8"/>
  <c r="I754" i="8"/>
  <c r="I750" i="8"/>
  <c r="I746" i="8"/>
  <c r="I742" i="8"/>
  <c r="I738" i="8"/>
  <c r="I734" i="8"/>
  <c r="I730" i="8"/>
  <c r="I726" i="8"/>
  <c r="I722" i="8"/>
  <c r="I718" i="8"/>
  <c r="I714" i="8"/>
  <c r="I710" i="8"/>
  <c r="I706" i="8"/>
  <c r="I702" i="8"/>
  <c r="I698" i="8"/>
  <c r="I694" i="8"/>
  <c r="I690" i="8"/>
  <c r="I686" i="8"/>
  <c r="I682" i="8"/>
  <c r="I678" i="8"/>
  <c r="I674" i="8"/>
  <c r="I670" i="8"/>
  <c r="I666" i="8"/>
  <c r="I662" i="8"/>
  <c r="I658" i="8"/>
  <c r="I654" i="8"/>
  <c r="I650" i="8"/>
  <c r="I646" i="8"/>
  <c r="I642" i="8"/>
  <c r="I638" i="8"/>
  <c r="I634" i="8"/>
  <c r="I630" i="8"/>
  <c r="I626" i="8"/>
  <c r="I622" i="8"/>
  <c r="I618" i="8"/>
  <c r="I614" i="8"/>
  <c r="I610" i="8"/>
  <c r="I606" i="8"/>
  <c r="I602" i="8"/>
  <c r="I598" i="8"/>
  <c r="I594" i="8"/>
  <c r="I590" i="8"/>
  <c r="I586" i="8"/>
  <c r="I582" i="8"/>
  <c r="I578" i="8"/>
  <c r="I574" i="8"/>
  <c r="I570" i="8"/>
  <c r="I566" i="8"/>
  <c r="I562" i="8"/>
  <c r="I558" i="8"/>
  <c r="I554" i="8"/>
  <c r="I550" i="8"/>
  <c r="I546" i="8"/>
  <c r="I542" i="8"/>
  <c r="I538" i="8"/>
  <c r="I534" i="8"/>
  <c r="I530" i="8"/>
  <c r="I526" i="8"/>
  <c r="I522" i="8"/>
  <c r="I518" i="8"/>
  <c r="I514" i="8"/>
  <c r="I510" i="8"/>
  <c r="I506" i="8"/>
  <c r="I502" i="8"/>
  <c r="I498" i="8"/>
  <c r="I494" i="8"/>
  <c r="I490" i="8"/>
  <c r="I486" i="8"/>
  <c r="I482" i="8"/>
  <c r="I478" i="8"/>
  <c r="I474" i="8"/>
  <c r="I470" i="8"/>
  <c r="I466" i="8"/>
  <c r="I462" i="8"/>
  <c r="I458" i="8"/>
  <c r="I454" i="8"/>
  <c r="I450" i="8"/>
  <c r="I446" i="8"/>
  <c r="I442" i="8"/>
  <c r="I438" i="8"/>
  <c r="I434" i="8"/>
  <c r="I430" i="8"/>
  <c r="I426" i="8"/>
  <c r="I422" i="8"/>
  <c r="I418" i="8"/>
  <c r="I414" i="8"/>
  <c r="I410" i="8"/>
  <c r="I406" i="8"/>
  <c r="I402" i="8"/>
  <c r="I398" i="8"/>
  <c r="I394" i="8"/>
  <c r="I390" i="8"/>
  <c r="I386" i="8"/>
  <c r="I382" i="8"/>
  <c r="I378" i="8"/>
  <c r="I374" i="8"/>
  <c r="I370" i="8"/>
  <c r="I366" i="8"/>
  <c r="I362" i="8"/>
  <c r="I358" i="8"/>
  <c r="I354" i="8"/>
  <c r="I350" i="8"/>
  <c r="I346" i="8"/>
  <c r="I342" i="8"/>
  <c r="I338" i="8"/>
  <c r="I334" i="8"/>
  <c r="I330" i="8"/>
  <c r="I326" i="8"/>
  <c r="I322" i="8"/>
  <c r="I318" i="8"/>
  <c r="I314" i="8"/>
  <c r="I310" i="8"/>
  <c r="I306" i="8"/>
  <c r="I302" i="8"/>
  <c r="I298" i="8"/>
  <c r="I294" i="8"/>
  <c r="I290" i="8"/>
  <c r="I286" i="8"/>
  <c r="I282" i="8"/>
  <c r="I278" i="8"/>
  <c r="I274" i="8"/>
  <c r="I270" i="8"/>
  <c r="I266" i="8"/>
  <c r="I262" i="8"/>
  <c r="I258" i="8"/>
  <c r="I254" i="8"/>
  <c r="I250" i="8"/>
  <c r="I246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174" i="8"/>
  <c r="I170" i="8"/>
  <c r="I166" i="8"/>
  <c r="I162" i="8"/>
  <c r="I158" i="8"/>
  <c r="I154" i="8"/>
  <c r="I150" i="8"/>
  <c r="I146" i="8"/>
  <c r="I142" i="8"/>
  <c r="I138" i="8"/>
  <c r="I134" i="8"/>
  <c r="I130" i="8"/>
  <c r="I126" i="8"/>
  <c r="I122" i="8"/>
  <c r="I118" i="8"/>
  <c r="I114" i="8"/>
  <c r="I110" i="8"/>
  <c r="I106" i="8"/>
  <c r="I102" i="8"/>
  <c r="I98" i="8"/>
  <c r="I94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6" i="8"/>
  <c r="I2" i="8"/>
  <c r="I993" i="8"/>
  <c r="I985" i="8"/>
  <c r="I977" i="8"/>
  <c r="I969" i="8"/>
  <c r="I961" i="8"/>
  <c r="I953" i="8"/>
  <c r="I945" i="8"/>
  <c r="I937" i="8"/>
  <c r="I929" i="8"/>
  <c r="I921" i="8"/>
  <c r="I913" i="8"/>
  <c r="I905" i="8"/>
  <c r="I897" i="8"/>
  <c r="I889" i="8"/>
  <c r="I881" i="8"/>
  <c r="I873" i="8"/>
  <c r="I865" i="8"/>
  <c r="I857" i="8"/>
  <c r="I849" i="8"/>
  <c r="I841" i="8"/>
  <c r="I833" i="8"/>
  <c r="I825" i="8"/>
  <c r="I817" i="8"/>
  <c r="I809" i="8"/>
  <c r="I801" i="8"/>
  <c r="I793" i="8"/>
  <c r="I785" i="8"/>
  <c r="I777" i="8"/>
  <c r="I769" i="8"/>
  <c r="I761" i="8"/>
  <c r="I753" i="8"/>
  <c r="I745" i="8"/>
  <c r="I737" i="8"/>
  <c r="I729" i="8"/>
  <c r="I721" i="8"/>
  <c r="I713" i="8"/>
  <c r="I705" i="8"/>
  <c r="I697" i="8"/>
  <c r="I689" i="8"/>
  <c r="I681" i="8"/>
  <c r="I673" i="8"/>
  <c r="I665" i="8"/>
  <c r="I657" i="8"/>
  <c r="I649" i="8"/>
  <c r="I641" i="8"/>
  <c r="I633" i="8"/>
  <c r="I625" i="8"/>
  <c r="I617" i="8"/>
  <c r="I609" i="8"/>
  <c r="I601" i="8"/>
  <c r="I593" i="8"/>
  <c r="I585" i="8"/>
  <c r="I577" i="8"/>
  <c r="I569" i="8"/>
  <c r="I561" i="8"/>
  <c r="I553" i="8"/>
  <c r="I545" i="8"/>
  <c r="I537" i="8"/>
  <c r="I529" i="8"/>
  <c r="I521" i="8"/>
  <c r="I513" i="8"/>
  <c r="I505" i="8"/>
  <c r="I497" i="8"/>
  <c r="I489" i="8"/>
  <c r="I481" i="8"/>
  <c r="I473" i="8"/>
  <c r="I465" i="8"/>
  <c r="I457" i="8"/>
  <c r="I449" i="8"/>
  <c r="I441" i="8"/>
  <c r="I433" i="8"/>
  <c r="I425" i="8"/>
  <c r="I417" i="8"/>
  <c r="I409" i="8"/>
  <c r="I401" i="8"/>
  <c r="I393" i="8"/>
  <c r="I385" i="8"/>
  <c r="I377" i="8"/>
  <c r="I369" i="8"/>
  <c r="I361" i="8"/>
  <c r="I353" i="8"/>
  <c r="I345" i="8"/>
  <c r="I337" i="8"/>
  <c r="I329" i="8"/>
  <c r="I321" i="8"/>
  <c r="I313" i="8"/>
  <c r="I305" i="8"/>
  <c r="I297" i="8"/>
  <c r="I289" i="8"/>
  <c r="I281" i="8"/>
  <c r="I273" i="8"/>
  <c r="I265" i="8"/>
  <c r="I257" i="8"/>
  <c r="I249" i="8"/>
  <c r="I241" i="8"/>
  <c r="I233" i="8"/>
  <c r="I225" i="8"/>
  <c r="I217" i="8"/>
  <c r="I209" i="8"/>
  <c r="I201" i="8"/>
  <c r="I193" i="8"/>
  <c r="I185" i="8"/>
  <c r="I177" i="8"/>
  <c r="I169" i="8"/>
  <c r="I161" i="8"/>
  <c r="I153" i="8"/>
  <c r="I145" i="8"/>
  <c r="I137" i="8"/>
  <c r="I129" i="8"/>
  <c r="I121" i="8"/>
  <c r="I113" i="8"/>
  <c r="I105" i="8"/>
  <c r="I97" i="8"/>
  <c r="I89" i="8"/>
  <c r="I81" i="8"/>
  <c r="I73" i="8"/>
  <c r="I65" i="8"/>
  <c r="I57" i="8"/>
  <c r="I49" i="8"/>
  <c r="I41" i="8"/>
  <c r="I33" i="8"/>
  <c r="I25" i="8"/>
  <c r="I17" i="8"/>
  <c r="I9" i="8"/>
  <c r="I997" i="8"/>
  <c r="I989" i="8"/>
  <c r="I981" i="8"/>
  <c r="I973" i="8"/>
  <c r="I965" i="8"/>
  <c r="I957" i="8"/>
  <c r="I949" i="8"/>
  <c r="I941" i="8"/>
  <c r="I933" i="8"/>
  <c r="I925" i="8"/>
  <c r="I917" i="8"/>
  <c r="I909" i="8"/>
  <c r="I901" i="8"/>
  <c r="I893" i="8"/>
  <c r="I885" i="8"/>
  <c r="I877" i="8"/>
  <c r="I869" i="8"/>
  <c r="I861" i="8"/>
  <c r="I853" i="8"/>
  <c r="I845" i="8"/>
  <c r="I837" i="8"/>
  <c r="I829" i="8"/>
  <c r="I821" i="8"/>
  <c r="I813" i="8"/>
  <c r="I805" i="8"/>
  <c r="I797" i="8"/>
  <c r="I789" i="8"/>
  <c r="I781" i="8"/>
  <c r="I773" i="8"/>
  <c r="I765" i="8"/>
  <c r="I757" i="8"/>
  <c r="I749" i="8"/>
  <c r="I741" i="8"/>
  <c r="I733" i="8"/>
  <c r="I725" i="8"/>
  <c r="I717" i="8"/>
  <c r="I709" i="8"/>
  <c r="I701" i="8"/>
  <c r="I693" i="8"/>
  <c r="I685" i="8"/>
  <c r="I677" i="8"/>
  <c r="I669" i="8"/>
  <c r="I661" i="8"/>
  <c r="I653" i="8"/>
  <c r="I645" i="8"/>
  <c r="I637" i="8"/>
  <c r="I629" i="8"/>
  <c r="I621" i="8"/>
  <c r="I613" i="8"/>
  <c r="I605" i="8"/>
  <c r="I597" i="8"/>
  <c r="I589" i="8"/>
  <c r="I581" i="8"/>
  <c r="I573" i="8"/>
  <c r="I565" i="8"/>
  <c r="I557" i="8"/>
  <c r="I549" i="8"/>
  <c r="I541" i="8"/>
  <c r="I533" i="8"/>
  <c r="I525" i="8"/>
  <c r="I517" i="8"/>
  <c r="I509" i="8"/>
  <c r="I501" i="8"/>
  <c r="I493" i="8"/>
  <c r="I485" i="8"/>
  <c r="I477" i="8"/>
  <c r="I469" i="8"/>
  <c r="I461" i="8"/>
  <c r="I453" i="8"/>
  <c r="I445" i="8"/>
  <c r="I437" i="8"/>
  <c r="I429" i="8"/>
  <c r="I421" i="8"/>
  <c r="I413" i="8"/>
  <c r="I405" i="8"/>
  <c r="I397" i="8"/>
  <c r="I389" i="8"/>
  <c r="I381" i="8"/>
  <c r="I373" i="8"/>
  <c r="I365" i="8"/>
  <c r="I357" i="8"/>
  <c r="I349" i="8"/>
  <c r="I341" i="8"/>
  <c r="I333" i="8"/>
  <c r="I325" i="8"/>
  <c r="I317" i="8"/>
  <c r="I309" i="8"/>
  <c r="I301" i="8"/>
  <c r="I293" i="8"/>
  <c r="I285" i="8"/>
  <c r="I277" i="8"/>
  <c r="I269" i="8"/>
  <c r="I261" i="8"/>
  <c r="I253" i="8"/>
  <c r="I245" i="8"/>
  <c r="I237" i="8"/>
  <c r="I229" i="8"/>
  <c r="I221" i="8"/>
  <c r="I213" i="8"/>
  <c r="I205" i="8"/>
  <c r="I197" i="8"/>
  <c r="I189" i="8"/>
  <c r="I181" i="8"/>
  <c r="I173" i="8"/>
  <c r="I165" i="8"/>
  <c r="I157" i="8"/>
  <c r="I149" i="8"/>
  <c r="I141" i="8"/>
  <c r="I133" i="8"/>
  <c r="I125" i="8"/>
  <c r="I117" i="8"/>
  <c r="I109" i="8"/>
  <c r="I101" i="8"/>
  <c r="I93" i="8"/>
  <c r="I85" i="8"/>
  <c r="I77" i="8"/>
  <c r="I69" i="8"/>
  <c r="I61" i="8"/>
  <c r="I53" i="8"/>
  <c r="I45" i="8"/>
  <c r="I37" i="8"/>
  <c r="I29" i="8"/>
  <c r="I21" i="8"/>
  <c r="I13" i="8"/>
  <c r="I5" i="8"/>
  <c r="I991" i="8"/>
  <c r="I975" i="8"/>
  <c r="I959" i="8"/>
  <c r="I943" i="8"/>
  <c r="I927" i="8"/>
  <c r="I911" i="8"/>
  <c r="I895" i="8"/>
  <c r="I879" i="8"/>
  <c r="I863" i="8"/>
  <c r="I847" i="8"/>
  <c r="I831" i="8"/>
  <c r="I815" i="8"/>
  <c r="I799" i="8"/>
  <c r="I783" i="8"/>
  <c r="I767" i="8"/>
  <c r="I751" i="8"/>
  <c r="I735" i="8"/>
  <c r="I719" i="8"/>
  <c r="I703" i="8"/>
  <c r="I687" i="8"/>
  <c r="I671" i="8"/>
  <c r="I655" i="8"/>
  <c r="I639" i="8"/>
  <c r="I623" i="8"/>
  <c r="I607" i="8"/>
  <c r="I591" i="8"/>
  <c r="I575" i="8"/>
  <c r="I559" i="8"/>
  <c r="I543" i="8"/>
  <c r="I527" i="8"/>
  <c r="I511" i="8"/>
  <c r="I495" i="8"/>
  <c r="I479" i="8"/>
  <c r="I463" i="8"/>
  <c r="I447" i="8"/>
  <c r="I431" i="8"/>
  <c r="I415" i="8"/>
  <c r="I399" i="8"/>
  <c r="I383" i="8"/>
  <c r="I367" i="8"/>
  <c r="I351" i="8"/>
  <c r="I335" i="8"/>
  <c r="I319" i="8"/>
  <c r="I303" i="8"/>
  <c r="I287" i="8"/>
  <c r="I271" i="8"/>
  <c r="I255" i="8"/>
  <c r="I239" i="8"/>
  <c r="I223" i="8"/>
  <c r="I207" i="8"/>
  <c r="I191" i="8"/>
  <c r="I175" i="8"/>
  <c r="I159" i="8"/>
  <c r="I143" i="8"/>
  <c r="I127" i="8"/>
  <c r="I111" i="8"/>
  <c r="I95" i="8"/>
  <c r="I79" i="8"/>
  <c r="I63" i="8"/>
  <c r="I47" i="8"/>
  <c r="I31" i="8"/>
  <c r="I15" i="8"/>
  <c r="I999" i="8"/>
  <c r="I983" i="8"/>
  <c r="I967" i="8"/>
  <c r="I951" i="8"/>
  <c r="I935" i="8"/>
  <c r="I919" i="8"/>
  <c r="I903" i="8"/>
  <c r="I887" i="8"/>
  <c r="I871" i="8"/>
  <c r="I855" i="8"/>
  <c r="I839" i="8"/>
  <c r="I823" i="8"/>
  <c r="I807" i="8"/>
  <c r="I791" i="8"/>
  <c r="I775" i="8"/>
  <c r="I759" i="8"/>
  <c r="I743" i="8"/>
  <c r="I727" i="8"/>
  <c r="I711" i="8"/>
  <c r="I695" i="8"/>
  <c r="I679" i="8"/>
  <c r="I663" i="8"/>
  <c r="I647" i="8"/>
  <c r="I631" i="8"/>
  <c r="I615" i="8"/>
  <c r="I599" i="8"/>
  <c r="I583" i="8"/>
  <c r="I567" i="8"/>
  <c r="I551" i="8"/>
  <c r="I535" i="8"/>
  <c r="I519" i="8"/>
  <c r="I503" i="8"/>
  <c r="I487" i="8"/>
  <c r="I471" i="8"/>
  <c r="I455" i="8"/>
  <c r="I439" i="8"/>
  <c r="I423" i="8"/>
  <c r="I407" i="8"/>
  <c r="I391" i="8"/>
  <c r="I375" i="8"/>
  <c r="I359" i="8"/>
  <c r="I343" i="8"/>
  <c r="I327" i="8"/>
  <c r="I311" i="8"/>
  <c r="I295" i="8"/>
  <c r="I279" i="8"/>
  <c r="I263" i="8"/>
  <c r="I247" i="8"/>
  <c r="I231" i="8"/>
  <c r="I215" i="8"/>
  <c r="I199" i="8"/>
  <c r="I183" i="8"/>
  <c r="I167" i="8"/>
  <c r="I151" i="8"/>
  <c r="I135" i="8"/>
  <c r="I119" i="8"/>
  <c r="I103" i="8"/>
  <c r="I87" i="8"/>
  <c r="I71" i="8"/>
  <c r="I55" i="8"/>
  <c r="I39" i="8"/>
  <c r="I23" i="8"/>
  <c r="I7" i="8"/>
  <c r="I995" i="8"/>
  <c r="I979" i="8"/>
  <c r="I963" i="8"/>
  <c r="I947" i="8"/>
  <c r="I931" i="8"/>
  <c r="I915" i="8"/>
  <c r="I899" i="8"/>
  <c r="I883" i="8"/>
  <c r="I867" i="8"/>
  <c r="I851" i="8"/>
  <c r="I835" i="8"/>
  <c r="I819" i="8"/>
  <c r="I803" i="8"/>
  <c r="I787" i="8"/>
  <c r="I771" i="8"/>
  <c r="I755" i="8"/>
  <c r="I739" i="8"/>
  <c r="I723" i="8"/>
  <c r="I707" i="8"/>
  <c r="I691" i="8"/>
  <c r="I675" i="8"/>
  <c r="I659" i="8"/>
  <c r="I643" i="8"/>
  <c r="I627" i="8"/>
  <c r="I611" i="8"/>
  <c r="I595" i="8"/>
  <c r="I579" i="8"/>
  <c r="I563" i="8"/>
  <c r="I547" i="8"/>
  <c r="I531" i="8"/>
  <c r="I515" i="8"/>
  <c r="I499" i="8"/>
  <c r="I483" i="8"/>
  <c r="I467" i="8"/>
  <c r="I451" i="8"/>
  <c r="I435" i="8"/>
  <c r="I419" i="8"/>
  <c r="I403" i="8"/>
  <c r="I387" i="8"/>
  <c r="I371" i="8"/>
  <c r="I355" i="8"/>
  <c r="I339" i="8"/>
  <c r="I323" i="8"/>
  <c r="I307" i="8"/>
  <c r="I291" i="8"/>
  <c r="I275" i="8"/>
  <c r="I259" i="8"/>
  <c r="I243" i="8"/>
  <c r="I227" i="8"/>
  <c r="I211" i="8"/>
  <c r="I195" i="8"/>
  <c r="I179" i="8"/>
  <c r="I163" i="8"/>
  <c r="I147" i="8"/>
  <c r="I131" i="8"/>
  <c r="I115" i="8"/>
  <c r="I99" i="8"/>
  <c r="I83" i="8"/>
  <c r="I67" i="8"/>
  <c r="I51" i="8"/>
  <c r="I35" i="8"/>
  <c r="I19" i="8"/>
  <c r="I3" i="8"/>
  <c r="I987" i="8"/>
  <c r="I923" i="8"/>
  <c r="I859" i="8"/>
  <c r="I795" i="8"/>
  <c r="I731" i="8"/>
  <c r="I667" i="8"/>
  <c r="I603" i="8"/>
  <c r="I539" i="8"/>
  <c r="I475" i="8"/>
  <c r="I411" i="8"/>
  <c r="I347" i="8"/>
  <c r="I283" i="8"/>
  <c r="I219" i="8"/>
  <c r="I155" i="8"/>
  <c r="I91" i="8"/>
  <c r="I27" i="8"/>
  <c r="I939" i="8"/>
  <c r="I875" i="8"/>
  <c r="I811" i="8"/>
  <c r="I747" i="8"/>
  <c r="I683" i="8"/>
  <c r="I619" i="8"/>
  <c r="I555" i="8"/>
  <c r="I491" i="8"/>
  <c r="I427" i="8"/>
  <c r="I363" i="8"/>
  <c r="I299" i="8"/>
  <c r="I235" i="8"/>
  <c r="I171" i="8"/>
  <c r="I107" i="8"/>
  <c r="I43" i="8"/>
  <c r="I971" i="8"/>
  <c r="I907" i="8"/>
  <c r="I843" i="8"/>
  <c r="I779" i="8"/>
  <c r="I715" i="8"/>
  <c r="I651" i="8"/>
  <c r="I587" i="8"/>
  <c r="I523" i="8"/>
  <c r="I459" i="8"/>
  <c r="I395" i="8"/>
  <c r="I331" i="8"/>
  <c r="I267" i="8"/>
  <c r="I203" i="8"/>
  <c r="I139" i="8"/>
  <c r="I75" i="8"/>
  <c r="I11" i="8"/>
  <c r="I955" i="8"/>
  <c r="I891" i="8"/>
  <c r="I827" i="8"/>
  <c r="I763" i="8"/>
  <c r="I699" i="8"/>
  <c r="I635" i="8"/>
  <c r="I571" i="8"/>
  <c r="I507" i="8"/>
  <c r="I443" i="8"/>
  <c r="I379" i="8"/>
  <c r="I315" i="8"/>
  <c r="I251" i="8"/>
  <c r="I187" i="8"/>
  <c r="I123" i="8"/>
  <c r="I59" i="8"/>
  <c r="I1000" i="28"/>
  <c r="I996" i="28"/>
  <c r="I992" i="28"/>
  <c r="I988" i="28"/>
  <c r="I984" i="28"/>
  <c r="I980" i="28"/>
  <c r="I976" i="28"/>
  <c r="I972" i="28"/>
  <c r="I968" i="28"/>
  <c r="I964" i="28"/>
  <c r="I960" i="28"/>
  <c r="I956" i="28"/>
  <c r="I952" i="28"/>
  <c r="I948" i="28"/>
  <c r="I944" i="28"/>
  <c r="I940" i="28"/>
  <c r="I936" i="28"/>
  <c r="I932" i="28"/>
  <c r="I928" i="28"/>
  <c r="I924" i="28"/>
  <c r="I920" i="28"/>
  <c r="I916" i="28"/>
  <c r="I912" i="28"/>
  <c r="I908" i="28"/>
  <c r="I904" i="28"/>
  <c r="I900" i="28"/>
  <c r="I896" i="28"/>
  <c r="I892" i="28"/>
  <c r="I888" i="28"/>
  <c r="I884" i="28"/>
  <c r="I880" i="28"/>
  <c r="I876" i="28"/>
  <c r="I872" i="28"/>
  <c r="I868" i="28"/>
  <c r="I864" i="28"/>
  <c r="I860" i="28"/>
  <c r="I856" i="28"/>
  <c r="I852" i="28"/>
  <c r="I848" i="28"/>
  <c r="I844" i="28"/>
  <c r="I840" i="28"/>
  <c r="I836" i="28"/>
  <c r="I832" i="28"/>
  <c r="I828" i="28"/>
  <c r="I824" i="28"/>
  <c r="I820" i="28"/>
  <c r="I816" i="28"/>
  <c r="I812" i="28"/>
  <c r="I808" i="28"/>
  <c r="I804" i="28"/>
  <c r="I800" i="28"/>
  <c r="I796" i="28"/>
  <c r="I792" i="28"/>
  <c r="I788" i="28"/>
  <c r="I784" i="28"/>
  <c r="I780" i="28"/>
  <c r="I776" i="28"/>
  <c r="I772" i="28"/>
  <c r="I768" i="28"/>
  <c r="I764" i="28"/>
  <c r="I760" i="28"/>
  <c r="I756" i="28"/>
  <c r="I752" i="28"/>
  <c r="I748" i="28"/>
  <c r="I744" i="28"/>
  <c r="I740" i="28"/>
  <c r="I736" i="28"/>
  <c r="I732" i="28"/>
  <c r="I728" i="28"/>
  <c r="I724" i="28"/>
  <c r="I720" i="28"/>
  <c r="I716" i="28"/>
  <c r="I712" i="28"/>
  <c r="I708" i="28"/>
  <c r="I704" i="28"/>
  <c r="I700" i="28"/>
  <c r="I696" i="28"/>
  <c r="I692" i="28"/>
  <c r="I688" i="28"/>
  <c r="I684" i="28"/>
  <c r="I680" i="28"/>
  <c r="I676" i="28"/>
  <c r="I672" i="28"/>
  <c r="I668" i="28"/>
  <c r="I664" i="28"/>
  <c r="I660" i="28"/>
  <c r="I656" i="28"/>
  <c r="I652" i="28"/>
  <c r="I648" i="28"/>
  <c r="I644" i="28"/>
  <c r="I640" i="28"/>
  <c r="I636" i="28"/>
  <c r="I632" i="28"/>
  <c r="I628" i="28"/>
  <c r="I624" i="28"/>
  <c r="I620" i="28"/>
  <c r="I616" i="28"/>
  <c r="I612" i="28"/>
  <c r="I608" i="28"/>
  <c r="I604" i="28"/>
  <c r="I600" i="28"/>
  <c r="I596" i="28"/>
  <c r="I592" i="28"/>
  <c r="I588" i="28"/>
  <c r="I584" i="28"/>
  <c r="I580" i="28"/>
  <c r="I576" i="28"/>
  <c r="I572" i="28"/>
  <c r="I568" i="28"/>
  <c r="I564" i="28"/>
  <c r="I560" i="28"/>
  <c r="I556" i="28"/>
  <c r="I552" i="28"/>
  <c r="I548" i="28"/>
  <c r="I544" i="28"/>
  <c r="I540" i="28"/>
  <c r="I536" i="28"/>
  <c r="I532" i="28"/>
  <c r="I528" i="28"/>
  <c r="I524" i="28"/>
  <c r="I520" i="28"/>
  <c r="I516" i="28"/>
  <c r="I512" i="28"/>
  <c r="I508" i="28"/>
  <c r="I504" i="28"/>
  <c r="I500" i="28"/>
  <c r="I496" i="28"/>
  <c r="I492" i="28"/>
  <c r="I488" i="28"/>
  <c r="I484" i="28"/>
  <c r="I480" i="28"/>
  <c r="I476" i="28"/>
  <c r="I472" i="28"/>
  <c r="I468" i="28"/>
  <c r="I464" i="28"/>
  <c r="I460" i="28"/>
  <c r="I456" i="28"/>
  <c r="I452" i="28"/>
  <c r="I448" i="28"/>
  <c r="I444" i="28"/>
  <c r="I440" i="28"/>
  <c r="I436" i="28"/>
  <c r="I432" i="28"/>
  <c r="I428" i="28"/>
  <c r="I424" i="28"/>
  <c r="I420" i="28"/>
  <c r="I416" i="28"/>
  <c r="I412" i="28"/>
  <c r="I408" i="28"/>
  <c r="I404" i="28"/>
  <c r="I400" i="28"/>
  <c r="I396" i="28"/>
  <c r="I392" i="28"/>
  <c r="I388" i="28"/>
  <c r="I384" i="28"/>
  <c r="I380" i="28"/>
  <c r="I376" i="28"/>
  <c r="I372" i="28"/>
  <c r="I368" i="28"/>
  <c r="I364" i="28"/>
  <c r="I360" i="28"/>
  <c r="I356" i="28"/>
  <c r="I352" i="28"/>
  <c r="I348" i="28"/>
  <c r="I344" i="28"/>
  <c r="I340" i="28"/>
  <c r="I336" i="28"/>
  <c r="I332" i="28"/>
  <c r="I328" i="28"/>
  <c r="I324" i="28"/>
  <c r="I320" i="28"/>
  <c r="I316" i="28"/>
  <c r="I312" i="28"/>
  <c r="I308" i="28"/>
  <c r="I304" i="28"/>
  <c r="I300" i="28"/>
  <c r="I296" i="28"/>
  <c r="I292" i="28"/>
  <c r="I288" i="28"/>
  <c r="I284" i="28"/>
  <c r="I280" i="28"/>
  <c r="I276" i="28"/>
  <c r="I272" i="28"/>
  <c r="I268" i="28"/>
  <c r="I264" i="28"/>
  <c r="I260" i="28"/>
  <c r="I256" i="28"/>
  <c r="I252" i="28"/>
  <c r="I248" i="28"/>
  <c r="I244" i="28"/>
  <c r="I240" i="28"/>
  <c r="I236" i="28"/>
  <c r="I232" i="28"/>
  <c r="I228" i="28"/>
  <c r="I224" i="28"/>
  <c r="I220" i="28"/>
  <c r="I216" i="28"/>
  <c r="I212" i="28"/>
  <c r="I208" i="28"/>
  <c r="I204" i="28"/>
  <c r="I200" i="28"/>
  <c r="I196" i="28"/>
  <c r="I192" i="28"/>
  <c r="I188" i="28"/>
  <c r="I184" i="28"/>
  <c r="I180" i="28"/>
  <c r="I176" i="28"/>
  <c r="I172" i="28"/>
  <c r="I168" i="28"/>
  <c r="I164" i="28"/>
  <c r="I160" i="28"/>
  <c r="I156" i="28"/>
  <c r="I152" i="28"/>
  <c r="I148" i="28"/>
  <c r="I144" i="28"/>
  <c r="I140" i="28"/>
  <c r="I136" i="28"/>
  <c r="I132" i="28"/>
  <c r="I128" i="28"/>
  <c r="I124" i="28"/>
  <c r="I120" i="28"/>
  <c r="I116" i="28"/>
  <c r="I112" i="28"/>
  <c r="I108" i="28"/>
  <c r="I104" i="28"/>
  <c r="I100" i="28"/>
  <c r="I96" i="28"/>
  <c r="I92" i="28"/>
  <c r="I88" i="28"/>
  <c r="I84" i="28"/>
  <c r="I80" i="28"/>
  <c r="I76" i="28"/>
  <c r="I72" i="28"/>
  <c r="I68" i="28"/>
  <c r="I64" i="28"/>
  <c r="I60" i="28"/>
  <c r="I56" i="28"/>
  <c r="I52" i="28"/>
  <c r="I48" i="28"/>
  <c r="I44" i="28"/>
  <c r="I40" i="28"/>
  <c r="I36" i="28"/>
  <c r="I32" i="28"/>
  <c r="I28" i="28"/>
  <c r="I24" i="28"/>
  <c r="I20" i="28"/>
  <c r="I16" i="28"/>
  <c r="I12" i="28"/>
  <c r="I8" i="28"/>
  <c r="I4" i="28"/>
  <c r="I1" i="28"/>
  <c r="I998" i="28"/>
  <c r="I994" i="28"/>
  <c r="I990" i="28"/>
  <c r="I986" i="28"/>
  <c r="I982" i="28"/>
  <c r="I978" i="28"/>
  <c r="I974" i="28"/>
  <c r="I970" i="28"/>
  <c r="I966" i="28"/>
  <c r="I962" i="28"/>
  <c r="I958" i="28"/>
  <c r="I954" i="28"/>
  <c r="I950" i="28"/>
  <c r="I946" i="28"/>
  <c r="I942" i="28"/>
  <c r="I938" i="28"/>
  <c r="I934" i="28"/>
  <c r="I930" i="28"/>
  <c r="I926" i="28"/>
  <c r="I922" i="28"/>
  <c r="I918" i="28"/>
  <c r="I914" i="28"/>
  <c r="I910" i="28"/>
  <c r="I906" i="28"/>
  <c r="I902" i="28"/>
  <c r="I898" i="28"/>
  <c r="I894" i="28"/>
  <c r="I890" i="28"/>
  <c r="I886" i="28"/>
  <c r="I882" i="28"/>
  <c r="I878" i="28"/>
  <c r="I874" i="28"/>
  <c r="I870" i="28"/>
  <c r="I866" i="28"/>
  <c r="I862" i="28"/>
  <c r="I858" i="28"/>
  <c r="I854" i="28"/>
  <c r="I850" i="28"/>
  <c r="I846" i="28"/>
  <c r="I842" i="28"/>
  <c r="I838" i="28"/>
  <c r="I834" i="28"/>
  <c r="I830" i="28"/>
  <c r="I826" i="28"/>
  <c r="I822" i="28"/>
  <c r="I818" i="28"/>
  <c r="I814" i="28"/>
  <c r="I810" i="28"/>
  <c r="I806" i="28"/>
  <c r="I802" i="28"/>
  <c r="I798" i="28"/>
  <c r="I794" i="28"/>
  <c r="I790" i="28"/>
  <c r="I786" i="28"/>
  <c r="I782" i="28"/>
  <c r="I778" i="28"/>
  <c r="I774" i="28"/>
  <c r="I770" i="28"/>
  <c r="I766" i="28"/>
  <c r="I762" i="28"/>
  <c r="I758" i="28"/>
  <c r="I754" i="28"/>
  <c r="I750" i="28"/>
  <c r="I746" i="28"/>
  <c r="I742" i="28"/>
  <c r="I738" i="28"/>
  <c r="I734" i="28"/>
  <c r="I730" i="28"/>
  <c r="I726" i="28"/>
  <c r="I722" i="28"/>
  <c r="I718" i="28"/>
  <c r="I714" i="28"/>
  <c r="I710" i="28"/>
  <c r="I706" i="28"/>
  <c r="I702" i="28"/>
  <c r="I698" i="28"/>
  <c r="I694" i="28"/>
  <c r="I690" i="28"/>
  <c r="I686" i="28"/>
  <c r="I682" i="28"/>
  <c r="I678" i="28"/>
  <c r="I674" i="28"/>
  <c r="I670" i="28"/>
  <c r="I666" i="28"/>
  <c r="I662" i="28"/>
  <c r="I658" i="28"/>
  <c r="I654" i="28"/>
  <c r="I650" i="28"/>
  <c r="I646" i="28"/>
  <c r="I642" i="28"/>
  <c r="I638" i="28"/>
  <c r="I634" i="28"/>
  <c r="I630" i="28"/>
  <c r="I626" i="28"/>
  <c r="I622" i="28"/>
  <c r="I618" i="28"/>
  <c r="I614" i="28"/>
  <c r="I610" i="28"/>
  <c r="I606" i="28"/>
  <c r="I602" i="28"/>
  <c r="I598" i="28"/>
  <c r="I594" i="28"/>
  <c r="I590" i="28"/>
  <c r="I586" i="28"/>
  <c r="I582" i="28"/>
  <c r="I578" i="28"/>
  <c r="I574" i="28"/>
  <c r="I570" i="28"/>
  <c r="I566" i="28"/>
  <c r="I562" i="28"/>
  <c r="I558" i="28"/>
  <c r="I554" i="28"/>
  <c r="I550" i="28"/>
  <c r="I546" i="28"/>
  <c r="I542" i="28"/>
  <c r="I538" i="28"/>
  <c r="I534" i="28"/>
  <c r="I530" i="28"/>
  <c r="I526" i="28"/>
  <c r="I522" i="28"/>
  <c r="I518" i="28"/>
  <c r="I514" i="28"/>
  <c r="I510" i="28"/>
  <c r="I506" i="28"/>
  <c r="I502" i="28"/>
  <c r="I498" i="28"/>
  <c r="I494" i="28"/>
  <c r="I490" i="28"/>
  <c r="I486" i="28"/>
  <c r="I482" i="28"/>
  <c r="I478" i="28"/>
  <c r="I474" i="28"/>
  <c r="I470" i="28"/>
  <c r="I466" i="28"/>
  <c r="I462" i="28"/>
  <c r="I458" i="28"/>
  <c r="I454" i="28"/>
  <c r="I450" i="28"/>
  <c r="I446" i="28"/>
  <c r="I442" i="28"/>
  <c r="I438" i="28"/>
  <c r="I434" i="28"/>
  <c r="I430" i="28"/>
  <c r="I426" i="28"/>
  <c r="I422" i="28"/>
  <c r="I418" i="28"/>
  <c r="I414" i="28"/>
  <c r="I410" i="28"/>
  <c r="I406" i="28"/>
  <c r="I402" i="28"/>
  <c r="I398" i="28"/>
  <c r="I394" i="28"/>
  <c r="I390" i="28"/>
  <c r="I386" i="28"/>
  <c r="I382" i="28"/>
  <c r="I378" i="28"/>
  <c r="I374" i="28"/>
  <c r="I370" i="28"/>
  <c r="I366" i="28"/>
  <c r="I362" i="28"/>
  <c r="I358" i="28"/>
  <c r="I354" i="28"/>
  <c r="I350" i="28"/>
  <c r="I346" i="28"/>
  <c r="I342" i="28"/>
  <c r="I338" i="28"/>
  <c r="I334" i="28"/>
  <c r="I330" i="28"/>
  <c r="I326" i="28"/>
  <c r="I322" i="28"/>
  <c r="I318" i="28"/>
  <c r="I314" i="28"/>
  <c r="I310" i="28"/>
  <c r="I306" i="28"/>
  <c r="I302" i="28"/>
  <c r="I298" i="28"/>
  <c r="I294" i="28"/>
  <c r="I290" i="28"/>
  <c r="I286" i="28"/>
  <c r="I282" i="28"/>
  <c r="I278" i="28"/>
  <c r="I274" i="28"/>
  <c r="I270" i="28"/>
  <c r="I266" i="28"/>
  <c r="I262" i="28"/>
  <c r="I258" i="28"/>
  <c r="I254" i="28"/>
  <c r="I250" i="28"/>
  <c r="I246" i="28"/>
  <c r="I242" i="28"/>
  <c r="I238" i="28"/>
  <c r="I234" i="28"/>
  <c r="I230" i="28"/>
  <c r="I226" i="28"/>
  <c r="I222" i="28"/>
  <c r="I218" i="28"/>
  <c r="I214" i="28"/>
  <c r="I210" i="28"/>
  <c r="I206" i="28"/>
  <c r="I202" i="28"/>
  <c r="I198" i="28"/>
  <c r="I194" i="28"/>
  <c r="I190" i="28"/>
  <c r="I186" i="28"/>
  <c r="I182" i="28"/>
  <c r="I178" i="28"/>
  <c r="I174" i="28"/>
  <c r="I170" i="28"/>
  <c r="I166" i="28"/>
  <c r="I162" i="28"/>
  <c r="I158" i="28"/>
  <c r="I154" i="28"/>
  <c r="I150" i="28"/>
  <c r="I146" i="28"/>
  <c r="I142" i="28"/>
  <c r="I138" i="28"/>
  <c r="I134" i="28"/>
  <c r="I130" i="28"/>
  <c r="I126" i="28"/>
  <c r="I122" i="28"/>
  <c r="I118" i="28"/>
  <c r="I114" i="28"/>
  <c r="I110" i="28"/>
  <c r="I106" i="28"/>
  <c r="I102" i="28"/>
  <c r="I98" i="28"/>
  <c r="I94" i="28"/>
  <c r="I90" i="28"/>
  <c r="I86" i="28"/>
  <c r="I82" i="28"/>
  <c r="I78" i="28"/>
  <c r="I74" i="28"/>
  <c r="I70" i="28"/>
  <c r="I66" i="28"/>
  <c r="I62" i="28"/>
  <c r="I58" i="28"/>
  <c r="I54" i="28"/>
  <c r="I50" i="28"/>
  <c r="I46" i="28"/>
  <c r="I42" i="28"/>
  <c r="I38" i="28"/>
  <c r="I34" i="28"/>
  <c r="I30" i="28"/>
  <c r="I26" i="28"/>
  <c r="I22" i="28"/>
  <c r="I18" i="28"/>
  <c r="I14" i="28"/>
  <c r="I10" i="28"/>
  <c r="I6" i="28"/>
  <c r="I2" i="28"/>
  <c r="I997" i="28"/>
  <c r="I989" i="28"/>
  <c r="I981" i="28"/>
  <c r="I973" i="28"/>
  <c r="I965" i="28"/>
  <c r="I957" i="28"/>
  <c r="I949" i="28"/>
  <c r="I941" i="28"/>
  <c r="I933" i="28"/>
  <c r="I925" i="28"/>
  <c r="I917" i="28"/>
  <c r="I909" i="28"/>
  <c r="I901" i="28"/>
  <c r="I893" i="28"/>
  <c r="I885" i="28"/>
  <c r="I877" i="28"/>
  <c r="I869" i="28"/>
  <c r="I861" i="28"/>
  <c r="I853" i="28"/>
  <c r="I845" i="28"/>
  <c r="I837" i="28"/>
  <c r="I829" i="28"/>
  <c r="I821" i="28"/>
  <c r="I813" i="28"/>
  <c r="I805" i="28"/>
  <c r="I797" i="28"/>
  <c r="I789" i="28"/>
  <c r="I781" i="28"/>
  <c r="I773" i="28"/>
  <c r="I765" i="28"/>
  <c r="I757" i="28"/>
  <c r="I749" i="28"/>
  <c r="I741" i="28"/>
  <c r="I733" i="28"/>
  <c r="I725" i="28"/>
  <c r="I717" i="28"/>
  <c r="I709" i="28"/>
  <c r="I701" i="28"/>
  <c r="I693" i="28"/>
  <c r="I685" i="28"/>
  <c r="I677" i="28"/>
  <c r="I669" i="28"/>
  <c r="I661" i="28"/>
  <c r="I653" i="28"/>
  <c r="I645" i="28"/>
  <c r="I637" i="28"/>
  <c r="I629" i="28"/>
  <c r="I621" i="28"/>
  <c r="I613" i="28"/>
  <c r="I605" i="28"/>
  <c r="I597" i="28"/>
  <c r="I589" i="28"/>
  <c r="I581" i="28"/>
  <c r="I573" i="28"/>
  <c r="I565" i="28"/>
  <c r="I557" i="28"/>
  <c r="I549" i="28"/>
  <c r="I541" i="28"/>
  <c r="I533" i="28"/>
  <c r="I525" i="28"/>
  <c r="I517" i="28"/>
  <c r="I509" i="28"/>
  <c r="I501" i="28"/>
  <c r="I493" i="28"/>
  <c r="I485" i="28"/>
  <c r="I477" i="28"/>
  <c r="I469" i="28"/>
  <c r="I461" i="28"/>
  <c r="I453" i="28"/>
  <c r="I445" i="28"/>
  <c r="I437" i="28"/>
  <c r="I429" i="28"/>
  <c r="I421" i="28"/>
  <c r="I413" i="28"/>
  <c r="I405" i="28"/>
  <c r="I397" i="28"/>
  <c r="I389" i="28"/>
  <c r="I381" i="28"/>
  <c r="I373" i="28"/>
  <c r="I365" i="28"/>
  <c r="I357" i="28"/>
  <c r="I349" i="28"/>
  <c r="I341" i="28"/>
  <c r="I333" i="28"/>
  <c r="I325" i="28"/>
  <c r="I317" i="28"/>
  <c r="I309" i="28"/>
  <c r="I301" i="28"/>
  <c r="I293" i="28"/>
  <c r="I285" i="28"/>
  <c r="I277" i="28"/>
  <c r="I269" i="28"/>
  <c r="I261" i="28"/>
  <c r="I253" i="28"/>
  <c r="I245" i="28"/>
  <c r="I237" i="28"/>
  <c r="I229" i="28"/>
  <c r="I221" i="28"/>
  <c r="I213" i="28"/>
  <c r="I205" i="28"/>
  <c r="I197" i="28"/>
  <c r="I189" i="28"/>
  <c r="I181" i="28"/>
  <c r="I173" i="28"/>
  <c r="I165" i="28"/>
  <c r="I157" i="28"/>
  <c r="I149" i="28"/>
  <c r="I141" i="28"/>
  <c r="I133" i="28"/>
  <c r="I125" i="28"/>
  <c r="I117" i="28"/>
  <c r="I109" i="28"/>
  <c r="I101" i="28"/>
  <c r="I93" i="28"/>
  <c r="I85" i="28"/>
  <c r="I77" i="28"/>
  <c r="I69" i="28"/>
  <c r="I61" i="28"/>
  <c r="I53" i="28"/>
  <c r="I45" i="28"/>
  <c r="I37" i="28"/>
  <c r="I29" i="28"/>
  <c r="I21" i="28"/>
  <c r="I13" i="28"/>
  <c r="I5" i="28"/>
  <c r="I995" i="28"/>
  <c r="I987" i="28"/>
  <c r="I979" i="28"/>
  <c r="I971" i="28"/>
  <c r="I963" i="28"/>
  <c r="I955" i="28"/>
  <c r="I947" i="28"/>
  <c r="I939" i="28"/>
  <c r="I931" i="28"/>
  <c r="I923" i="28"/>
  <c r="I915" i="28"/>
  <c r="I907" i="28"/>
  <c r="I899" i="28"/>
  <c r="I891" i="28"/>
  <c r="I883" i="28"/>
  <c r="I875" i="28"/>
  <c r="I867" i="28"/>
  <c r="I859" i="28"/>
  <c r="I851" i="28"/>
  <c r="I843" i="28"/>
  <c r="I835" i="28"/>
  <c r="I827" i="28"/>
  <c r="I819" i="28"/>
  <c r="I811" i="28"/>
  <c r="I803" i="28"/>
  <c r="I795" i="28"/>
  <c r="I787" i="28"/>
  <c r="I779" i="28"/>
  <c r="I771" i="28"/>
  <c r="I763" i="28"/>
  <c r="I755" i="28"/>
  <c r="I747" i="28"/>
  <c r="I739" i="28"/>
  <c r="I731" i="28"/>
  <c r="I723" i="28"/>
  <c r="I715" i="28"/>
  <c r="I707" i="28"/>
  <c r="I699" i="28"/>
  <c r="I691" i="28"/>
  <c r="I683" i="28"/>
  <c r="I675" i="28"/>
  <c r="I667" i="28"/>
  <c r="I659" i="28"/>
  <c r="I651" i="28"/>
  <c r="I643" i="28"/>
  <c r="I635" i="28"/>
  <c r="I627" i="28"/>
  <c r="I619" i="28"/>
  <c r="I611" i="28"/>
  <c r="I603" i="28"/>
  <c r="I595" i="28"/>
  <c r="I587" i="28"/>
  <c r="I579" i="28"/>
  <c r="I571" i="28"/>
  <c r="I563" i="28"/>
  <c r="I555" i="28"/>
  <c r="I547" i="28"/>
  <c r="I539" i="28"/>
  <c r="I531" i="28"/>
  <c r="I523" i="28"/>
  <c r="I515" i="28"/>
  <c r="I507" i="28"/>
  <c r="I499" i="28"/>
  <c r="I491" i="28"/>
  <c r="I483" i="28"/>
  <c r="I475" i="28"/>
  <c r="I467" i="28"/>
  <c r="I459" i="28"/>
  <c r="I451" i="28"/>
  <c r="I443" i="28"/>
  <c r="I435" i="28"/>
  <c r="I427" i="28"/>
  <c r="I419" i="28"/>
  <c r="I411" i="28"/>
  <c r="I403" i="28"/>
  <c r="I395" i="28"/>
  <c r="I387" i="28"/>
  <c r="I379" i="28"/>
  <c r="I371" i="28"/>
  <c r="I363" i="28"/>
  <c r="I355" i="28"/>
  <c r="I347" i="28"/>
  <c r="I339" i="28"/>
  <c r="I331" i="28"/>
  <c r="I323" i="28"/>
  <c r="I315" i="28"/>
  <c r="I307" i="28"/>
  <c r="I299" i="28"/>
  <c r="I291" i="28"/>
  <c r="I283" i="28"/>
  <c r="I275" i="28"/>
  <c r="I267" i="28"/>
  <c r="I259" i="28"/>
  <c r="I251" i="28"/>
  <c r="I243" i="28"/>
  <c r="I235" i="28"/>
  <c r="I227" i="28"/>
  <c r="I219" i="28"/>
  <c r="I211" i="28"/>
  <c r="I203" i="28"/>
  <c r="I195" i="28"/>
  <c r="I187" i="28"/>
  <c r="I179" i="28"/>
  <c r="I171" i="28"/>
  <c r="I163" i="28"/>
  <c r="I155" i="28"/>
  <c r="I147" i="28"/>
  <c r="I139" i="28"/>
  <c r="I131" i="28"/>
  <c r="I123" i="28"/>
  <c r="I115" i="28"/>
  <c r="I107" i="28"/>
  <c r="I99" i="28"/>
  <c r="I91" i="28"/>
  <c r="I83" i="28"/>
  <c r="I75" i="28"/>
  <c r="I67" i="28"/>
  <c r="I59" i="28"/>
  <c r="I51" i="28"/>
  <c r="I43" i="28"/>
  <c r="I35" i="28"/>
  <c r="I27" i="28"/>
  <c r="I19" i="28"/>
  <c r="I11" i="28"/>
  <c r="I3" i="28"/>
  <c r="I991" i="28"/>
  <c r="I975" i="28"/>
  <c r="I959" i="28"/>
  <c r="I943" i="28"/>
  <c r="I927" i="28"/>
  <c r="I911" i="28"/>
  <c r="I895" i="28"/>
  <c r="I879" i="28"/>
  <c r="I863" i="28"/>
  <c r="I847" i="28"/>
  <c r="I831" i="28"/>
  <c r="I815" i="28"/>
  <c r="I799" i="28"/>
  <c r="I783" i="28"/>
  <c r="I767" i="28"/>
  <c r="I751" i="28"/>
  <c r="I735" i="28"/>
  <c r="I719" i="28"/>
  <c r="I703" i="28"/>
  <c r="I687" i="28"/>
  <c r="I671" i="28"/>
  <c r="I655" i="28"/>
  <c r="I639" i="28"/>
  <c r="I623" i="28"/>
  <c r="I607" i="28"/>
  <c r="I591" i="28"/>
  <c r="I575" i="28"/>
  <c r="I559" i="28"/>
  <c r="I543" i="28"/>
  <c r="I527" i="28"/>
  <c r="I511" i="28"/>
  <c r="I495" i="28"/>
  <c r="I479" i="28"/>
  <c r="I463" i="28"/>
  <c r="I447" i="28"/>
  <c r="I431" i="28"/>
  <c r="I415" i="28"/>
  <c r="I399" i="28"/>
  <c r="I383" i="28"/>
  <c r="I367" i="28"/>
  <c r="I351" i="28"/>
  <c r="I335" i="28"/>
  <c r="I319" i="28"/>
  <c r="I303" i="28"/>
  <c r="I287" i="28"/>
  <c r="I271" i="28"/>
  <c r="I255" i="28"/>
  <c r="I239" i="28"/>
  <c r="I223" i="28"/>
  <c r="I207" i="28"/>
  <c r="I191" i="28"/>
  <c r="I175" i="28"/>
  <c r="I159" i="28"/>
  <c r="I143" i="28"/>
  <c r="I127" i="28"/>
  <c r="I111" i="28"/>
  <c r="I95" i="28"/>
  <c r="I79" i="28"/>
  <c r="I63" i="28"/>
  <c r="I47" i="28"/>
  <c r="I31" i="28"/>
  <c r="I15" i="28"/>
  <c r="I999" i="28"/>
  <c r="I983" i="28"/>
  <c r="I967" i="28"/>
  <c r="I951" i="28"/>
  <c r="I935" i="28"/>
  <c r="I919" i="28"/>
  <c r="I903" i="28"/>
  <c r="I887" i="28"/>
  <c r="I871" i="28"/>
  <c r="I855" i="28"/>
  <c r="I839" i="28"/>
  <c r="I823" i="28"/>
  <c r="I807" i="28"/>
  <c r="I791" i="28"/>
  <c r="I775" i="28"/>
  <c r="I759" i="28"/>
  <c r="I743" i="28"/>
  <c r="I727" i="28"/>
  <c r="I711" i="28"/>
  <c r="I695" i="28"/>
  <c r="I679" i="28"/>
  <c r="I663" i="28"/>
  <c r="I647" i="28"/>
  <c r="I631" i="28"/>
  <c r="I615" i="28"/>
  <c r="I599" i="28"/>
  <c r="I583" i="28"/>
  <c r="I567" i="28"/>
  <c r="I551" i="28"/>
  <c r="I535" i="28"/>
  <c r="I519" i="28"/>
  <c r="I503" i="28"/>
  <c r="I487" i="28"/>
  <c r="I471" i="28"/>
  <c r="I455" i="28"/>
  <c r="I439" i="28"/>
  <c r="I423" i="28"/>
  <c r="I407" i="28"/>
  <c r="I391" i="28"/>
  <c r="I375" i="28"/>
  <c r="I359" i="28"/>
  <c r="I343" i="28"/>
  <c r="I327" i="28"/>
  <c r="I311" i="28"/>
  <c r="I295" i="28"/>
  <c r="I279" i="28"/>
  <c r="I263" i="28"/>
  <c r="I247" i="28"/>
  <c r="I231" i="28"/>
  <c r="I215" i="28"/>
  <c r="I199" i="28"/>
  <c r="I183" i="28"/>
  <c r="I167" i="28"/>
  <c r="I151" i="28"/>
  <c r="I135" i="28"/>
  <c r="I119" i="28"/>
  <c r="I103" i="28"/>
  <c r="I87" i="28"/>
  <c r="I71" i="28"/>
  <c r="I55" i="28"/>
  <c r="I39" i="28"/>
  <c r="I23" i="28"/>
  <c r="I7" i="28"/>
  <c r="I977" i="28"/>
  <c r="I945" i="28"/>
  <c r="I913" i="28"/>
  <c r="I881" i="28"/>
  <c r="I849" i="28"/>
  <c r="I817" i="28"/>
  <c r="I785" i="28"/>
  <c r="I753" i="28"/>
  <c r="I721" i="28"/>
  <c r="I689" i="28"/>
  <c r="I657" i="28"/>
  <c r="I625" i="28"/>
  <c r="I593" i="28"/>
  <c r="I561" i="28"/>
  <c r="I529" i="28"/>
  <c r="I497" i="28"/>
  <c r="I465" i="28"/>
  <c r="I433" i="28"/>
  <c r="I401" i="28"/>
  <c r="I369" i="28"/>
  <c r="I337" i="28"/>
  <c r="I305" i="28"/>
  <c r="I273" i="28"/>
  <c r="I241" i="28"/>
  <c r="I209" i="28"/>
  <c r="I177" i="28"/>
  <c r="I145" i="28"/>
  <c r="I113" i="28"/>
  <c r="I81" i="28"/>
  <c r="I49" i="28"/>
  <c r="I17" i="28"/>
  <c r="I969" i="28"/>
  <c r="I937" i="28"/>
  <c r="I905" i="28"/>
  <c r="I873" i="28"/>
  <c r="I841" i="28"/>
  <c r="I809" i="28"/>
  <c r="I777" i="28"/>
  <c r="I745" i="28"/>
  <c r="I713" i="28"/>
  <c r="I681" i="28"/>
  <c r="I649" i="28"/>
  <c r="I617" i="28"/>
  <c r="I585" i="28"/>
  <c r="I553" i="28"/>
  <c r="I521" i="28"/>
  <c r="I489" i="28"/>
  <c r="I457" i="28"/>
  <c r="I425" i="28"/>
  <c r="I393" i="28"/>
  <c r="I361" i="28"/>
  <c r="I329" i="28"/>
  <c r="I297" i="28"/>
  <c r="I265" i="28"/>
  <c r="I233" i="28"/>
  <c r="I201" i="28"/>
  <c r="I169" i="28"/>
  <c r="I137" i="28"/>
  <c r="I105" i="28"/>
  <c r="I73" i="28"/>
  <c r="I41" i="28"/>
  <c r="I9" i="28"/>
  <c r="I961" i="28"/>
  <c r="I897" i="28"/>
  <c r="I833" i="28"/>
  <c r="I769" i="28"/>
  <c r="I705" i="28"/>
  <c r="I641" i="28"/>
  <c r="I577" i="28"/>
  <c r="I513" i="28"/>
  <c r="I449" i="28"/>
  <c r="I385" i="28"/>
  <c r="I321" i="28"/>
  <c r="I257" i="28"/>
  <c r="I193" i="28"/>
  <c r="I129" i="28"/>
  <c r="I65" i="28"/>
  <c r="I953" i="28"/>
  <c r="I889" i="28"/>
  <c r="I825" i="28"/>
  <c r="I761" i="28"/>
  <c r="I697" i="28"/>
  <c r="I633" i="28"/>
  <c r="I569" i="28"/>
  <c r="I505" i="28"/>
  <c r="I441" i="28"/>
  <c r="I377" i="28"/>
  <c r="I313" i="28"/>
  <c r="I249" i="28"/>
  <c r="I185" i="28"/>
  <c r="I121" i="28"/>
  <c r="I57" i="28"/>
  <c r="I921" i="28"/>
  <c r="I793" i="28"/>
  <c r="I665" i="28"/>
  <c r="I537" i="28"/>
  <c r="I409" i="28"/>
  <c r="I281" i="28"/>
  <c r="I153" i="28"/>
  <c r="I25" i="28"/>
  <c r="I985" i="28"/>
  <c r="I857" i="28"/>
  <c r="I729" i="28"/>
  <c r="I601" i="28"/>
  <c r="I473" i="28"/>
  <c r="I345" i="28"/>
  <c r="I217" i="28"/>
  <c r="I89" i="28"/>
  <c r="I993" i="28"/>
  <c r="I737" i="28"/>
  <c r="I481" i="28"/>
  <c r="I225" i="28"/>
  <c r="I865" i="28"/>
  <c r="I609" i="28"/>
  <c r="I353" i="28"/>
  <c r="I97" i="28"/>
  <c r="I801" i="28"/>
  <c r="I289" i="28"/>
  <c r="I545" i="28"/>
  <c r="I33" i="28"/>
  <c r="I417" i="28"/>
  <c r="I929" i="28"/>
  <c r="I673" i="28"/>
  <c r="I161" i="28"/>
  <c r="I997" i="27"/>
  <c r="I993" i="27"/>
  <c r="I989" i="27"/>
  <c r="I985" i="27"/>
  <c r="I981" i="27"/>
  <c r="I977" i="27"/>
  <c r="I973" i="27"/>
  <c r="I969" i="27"/>
  <c r="I965" i="27"/>
  <c r="I961" i="27"/>
  <c r="I957" i="27"/>
  <c r="I953" i="27"/>
  <c r="I949" i="27"/>
  <c r="I945" i="27"/>
  <c r="I941" i="27"/>
  <c r="I937" i="27"/>
  <c r="I933" i="27"/>
  <c r="I929" i="27"/>
  <c r="I925" i="27"/>
  <c r="I921" i="27"/>
  <c r="I917" i="27"/>
  <c r="I913" i="27"/>
  <c r="I909" i="27"/>
  <c r="I905" i="27"/>
  <c r="I901" i="27"/>
  <c r="I897" i="27"/>
  <c r="I893" i="27"/>
  <c r="I889" i="27"/>
  <c r="I885" i="27"/>
  <c r="I881" i="27"/>
  <c r="I877" i="27"/>
  <c r="I873" i="27"/>
  <c r="I869" i="27"/>
  <c r="I865" i="27"/>
  <c r="I861" i="27"/>
  <c r="I857" i="27"/>
  <c r="I853" i="27"/>
  <c r="I849" i="27"/>
  <c r="I845" i="27"/>
  <c r="I841" i="27"/>
  <c r="I837" i="27"/>
  <c r="I833" i="27"/>
  <c r="I829" i="27"/>
  <c r="I825" i="27"/>
  <c r="I821" i="27"/>
  <c r="I817" i="27"/>
  <c r="I813" i="27"/>
  <c r="I809" i="27"/>
  <c r="I805" i="27"/>
  <c r="I801" i="27"/>
  <c r="I797" i="27"/>
  <c r="I793" i="27"/>
  <c r="I789" i="27"/>
  <c r="I785" i="27"/>
  <c r="I781" i="27"/>
  <c r="I777" i="27"/>
  <c r="I773" i="27"/>
  <c r="I769" i="27"/>
  <c r="I765" i="27"/>
  <c r="I761" i="27"/>
  <c r="I757" i="27"/>
  <c r="I753" i="27"/>
  <c r="I749" i="27"/>
  <c r="I745" i="27"/>
  <c r="I741" i="27"/>
  <c r="I737" i="27"/>
  <c r="I733" i="27"/>
  <c r="I729" i="27"/>
  <c r="I725" i="27"/>
  <c r="I721" i="27"/>
  <c r="I717" i="27"/>
  <c r="I713" i="27"/>
  <c r="I709" i="27"/>
  <c r="I705" i="27"/>
  <c r="I701" i="27"/>
  <c r="I697" i="27"/>
  <c r="I693" i="27"/>
  <c r="I689" i="27"/>
  <c r="I685" i="27"/>
  <c r="I681" i="27"/>
  <c r="I677" i="27"/>
  <c r="I673" i="27"/>
  <c r="I669" i="27"/>
  <c r="I665" i="27"/>
  <c r="I661" i="27"/>
  <c r="I657" i="27"/>
  <c r="I653" i="27"/>
  <c r="I649" i="27"/>
  <c r="I645" i="27"/>
  <c r="I641" i="27"/>
  <c r="I637" i="27"/>
  <c r="I633" i="27"/>
  <c r="I629" i="27"/>
  <c r="I625" i="27"/>
  <c r="I621" i="27"/>
  <c r="I617" i="27"/>
  <c r="I613" i="27"/>
  <c r="I609" i="27"/>
  <c r="I605" i="27"/>
  <c r="I601" i="27"/>
  <c r="I597" i="27"/>
  <c r="I593" i="27"/>
  <c r="I589" i="27"/>
  <c r="I585" i="27"/>
  <c r="I581" i="27"/>
  <c r="I577" i="27"/>
  <c r="I573" i="27"/>
  <c r="I569" i="27"/>
  <c r="I565" i="27"/>
  <c r="I561" i="27"/>
  <c r="I557" i="27"/>
  <c r="I553" i="27"/>
  <c r="I549" i="27"/>
  <c r="I545" i="27"/>
  <c r="I541" i="27"/>
  <c r="I537" i="27"/>
  <c r="I533" i="27"/>
  <c r="I529" i="27"/>
  <c r="I525" i="27"/>
  <c r="I521" i="27"/>
  <c r="I517" i="27"/>
  <c r="I513" i="27"/>
  <c r="I509" i="27"/>
  <c r="I505" i="27"/>
  <c r="I501" i="27"/>
  <c r="I497" i="27"/>
  <c r="I493" i="27"/>
  <c r="I489" i="27"/>
  <c r="I485" i="27"/>
  <c r="I481" i="27"/>
  <c r="I477" i="27"/>
  <c r="I473" i="27"/>
  <c r="I469" i="27"/>
  <c r="I465" i="27"/>
  <c r="I461" i="27"/>
  <c r="I457" i="27"/>
  <c r="I453" i="27"/>
  <c r="I449" i="27"/>
  <c r="I445" i="27"/>
  <c r="I441" i="27"/>
  <c r="I437" i="27"/>
  <c r="I433" i="27"/>
  <c r="I429" i="27"/>
  <c r="I425" i="27"/>
  <c r="I421" i="27"/>
  <c r="I417" i="27"/>
  <c r="I413" i="27"/>
  <c r="I409" i="27"/>
  <c r="I405" i="27"/>
  <c r="I401" i="27"/>
  <c r="I397" i="27"/>
  <c r="I393" i="27"/>
  <c r="I389" i="27"/>
  <c r="I385" i="27"/>
  <c r="I381" i="27"/>
  <c r="I377" i="27"/>
  <c r="I373" i="27"/>
  <c r="I369" i="27"/>
  <c r="I365" i="27"/>
  <c r="I361" i="27"/>
  <c r="I357" i="27"/>
  <c r="I353" i="27"/>
  <c r="I349" i="27"/>
  <c r="I345" i="27"/>
  <c r="I341" i="27"/>
  <c r="I337" i="27"/>
  <c r="I333" i="27"/>
  <c r="I329" i="27"/>
  <c r="I325" i="27"/>
  <c r="I321" i="27"/>
  <c r="I317" i="27"/>
  <c r="I313" i="27"/>
  <c r="I309" i="27"/>
  <c r="I305" i="27"/>
  <c r="I301" i="27"/>
  <c r="I297" i="27"/>
  <c r="I293" i="27"/>
  <c r="I289" i="27"/>
  <c r="I285" i="27"/>
  <c r="I281" i="27"/>
  <c r="I277" i="27"/>
  <c r="I273" i="27"/>
  <c r="I269" i="27"/>
  <c r="I265" i="27"/>
  <c r="I261" i="27"/>
  <c r="I257" i="27"/>
  <c r="I253" i="27"/>
  <c r="I249" i="27"/>
  <c r="I245" i="27"/>
  <c r="I241" i="27"/>
  <c r="I237" i="27"/>
  <c r="I233" i="27"/>
  <c r="I229" i="27"/>
  <c r="I225" i="27"/>
  <c r="I221" i="27"/>
  <c r="I217" i="27"/>
  <c r="I213" i="27"/>
  <c r="I209" i="27"/>
  <c r="I205" i="27"/>
  <c r="I201" i="27"/>
  <c r="I197" i="27"/>
  <c r="I193" i="27"/>
  <c r="I189" i="27"/>
  <c r="I185" i="27"/>
  <c r="I181" i="27"/>
  <c r="I177" i="27"/>
  <c r="I173" i="27"/>
  <c r="I169" i="27"/>
  <c r="I165" i="27"/>
  <c r="I161" i="27"/>
  <c r="I157" i="27"/>
  <c r="I153" i="27"/>
  <c r="I149" i="27"/>
  <c r="I145" i="27"/>
  <c r="I141" i="27"/>
  <c r="I137" i="27"/>
  <c r="I133" i="27"/>
  <c r="I129" i="27"/>
  <c r="I125" i="27"/>
  <c r="I121" i="27"/>
  <c r="I117" i="27"/>
  <c r="I113" i="27"/>
  <c r="I109" i="27"/>
  <c r="I105" i="27"/>
  <c r="I101" i="27"/>
  <c r="I97" i="27"/>
  <c r="I93" i="27"/>
  <c r="I89" i="27"/>
  <c r="I85" i="27"/>
  <c r="I81" i="27"/>
  <c r="I77" i="27"/>
  <c r="I73" i="27"/>
  <c r="I69" i="27"/>
  <c r="I65" i="27"/>
  <c r="I61" i="27"/>
  <c r="I57" i="27"/>
  <c r="I53" i="27"/>
  <c r="I49" i="27"/>
  <c r="I45" i="27"/>
  <c r="I41" i="27"/>
  <c r="I37" i="27"/>
  <c r="I33" i="27"/>
  <c r="I29" i="27"/>
  <c r="I25" i="27"/>
  <c r="I21" i="27"/>
  <c r="I17" i="27"/>
  <c r="I13" i="27"/>
  <c r="I9" i="27"/>
  <c r="I5" i="27"/>
  <c r="I999" i="27"/>
  <c r="I995" i="27"/>
  <c r="I991" i="27"/>
  <c r="I987" i="27"/>
  <c r="I983" i="27"/>
  <c r="I979" i="27"/>
  <c r="I975" i="27"/>
  <c r="I971" i="27"/>
  <c r="I967" i="27"/>
  <c r="I963" i="27"/>
  <c r="I959" i="27"/>
  <c r="I955" i="27"/>
  <c r="I951" i="27"/>
  <c r="I947" i="27"/>
  <c r="I943" i="27"/>
  <c r="I939" i="27"/>
  <c r="I935" i="27"/>
  <c r="I931" i="27"/>
  <c r="I927" i="27"/>
  <c r="I923" i="27"/>
  <c r="I919" i="27"/>
  <c r="I915" i="27"/>
  <c r="I911" i="27"/>
  <c r="I907" i="27"/>
  <c r="I903" i="27"/>
  <c r="I899" i="27"/>
  <c r="I895" i="27"/>
  <c r="I891" i="27"/>
  <c r="I887" i="27"/>
  <c r="I883" i="27"/>
  <c r="I879" i="27"/>
  <c r="I875" i="27"/>
  <c r="I871" i="27"/>
  <c r="I867" i="27"/>
  <c r="I863" i="27"/>
  <c r="I859" i="27"/>
  <c r="I855" i="27"/>
  <c r="I851" i="27"/>
  <c r="I847" i="27"/>
  <c r="I843" i="27"/>
  <c r="I839" i="27"/>
  <c r="I835" i="27"/>
  <c r="I831" i="27"/>
  <c r="I827" i="27"/>
  <c r="I823" i="27"/>
  <c r="I819" i="27"/>
  <c r="I815" i="27"/>
  <c r="I811" i="27"/>
  <c r="I807" i="27"/>
  <c r="I803" i="27"/>
  <c r="I799" i="27"/>
  <c r="I795" i="27"/>
  <c r="I791" i="27"/>
  <c r="I787" i="27"/>
  <c r="I783" i="27"/>
  <c r="I779" i="27"/>
  <c r="I775" i="27"/>
  <c r="I771" i="27"/>
  <c r="I767" i="27"/>
  <c r="I763" i="27"/>
  <c r="I759" i="27"/>
  <c r="I755" i="27"/>
  <c r="I751" i="27"/>
  <c r="I747" i="27"/>
  <c r="I743" i="27"/>
  <c r="I739" i="27"/>
  <c r="I735" i="27"/>
  <c r="I731" i="27"/>
  <c r="I727" i="27"/>
  <c r="I723" i="27"/>
  <c r="I719" i="27"/>
  <c r="I715" i="27"/>
  <c r="I711" i="27"/>
  <c r="I707" i="27"/>
  <c r="I703" i="27"/>
  <c r="I699" i="27"/>
  <c r="I695" i="27"/>
  <c r="I691" i="27"/>
  <c r="I687" i="27"/>
  <c r="I683" i="27"/>
  <c r="I679" i="27"/>
  <c r="I675" i="27"/>
  <c r="I671" i="27"/>
  <c r="I667" i="27"/>
  <c r="I663" i="27"/>
  <c r="I659" i="27"/>
  <c r="I655" i="27"/>
  <c r="I651" i="27"/>
  <c r="I647" i="27"/>
  <c r="I643" i="27"/>
  <c r="I639" i="27"/>
  <c r="I635" i="27"/>
  <c r="I631" i="27"/>
  <c r="I627" i="27"/>
  <c r="I998" i="27"/>
  <c r="I990" i="27"/>
  <c r="I982" i="27"/>
  <c r="I974" i="27"/>
  <c r="I966" i="27"/>
  <c r="I958" i="27"/>
  <c r="I950" i="27"/>
  <c r="I942" i="27"/>
  <c r="I934" i="27"/>
  <c r="I926" i="27"/>
  <c r="I918" i="27"/>
  <c r="I910" i="27"/>
  <c r="I902" i="27"/>
  <c r="I894" i="27"/>
  <c r="I886" i="27"/>
  <c r="I878" i="27"/>
  <c r="I870" i="27"/>
  <c r="I862" i="27"/>
  <c r="I854" i="27"/>
  <c r="I846" i="27"/>
  <c r="I838" i="27"/>
  <c r="I830" i="27"/>
  <c r="I822" i="27"/>
  <c r="I814" i="27"/>
  <c r="I806" i="27"/>
  <c r="I798" i="27"/>
  <c r="I790" i="27"/>
  <c r="I782" i="27"/>
  <c r="I774" i="27"/>
  <c r="I766" i="27"/>
  <c r="I758" i="27"/>
  <c r="I750" i="27"/>
  <c r="I742" i="27"/>
  <c r="I734" i="27"/>
  <c r="I726" i="27"/>
  <c r="I718" i="27"/>
  <c r="I710" i="27"/>
  <c r="I702" i="27"/>
  <c r="I694" i="27"/>
  <c r="I686" i="27"/>
  <c r="I678" i="27"/>
  <c r="I670" i="27"/>
  <c r="I662" i="27"/>
  <c r="I654" i="27"/>
  <c r="I646" i="27"/>
  <c r="I638" i="27"/>
  <c r="I630" i="27"/>
  <c r="I623" i="27"/>
  <c r="I618" i="27"/>
  <c r="I612" i="27"/>
  <c r="I607" i="27"/>
  <c r="I602" i="27"/>
  <c r="I596" i="27"/>
  <c r="I591" i="27"/>
  <c r="I586" i="27"/>
  <c r="I580" i="27"/>
  <c r="I575" i="27"/>
  <c r="I570" i="27"/>
  <c r="I564" i="27"/>
  <c r="I559" i="27"/>
  <c r="I554" i="27"/>
  <c r="I548" i="27"/>
  <c r="I543" i="27"/>
  <c r="I538" i="27"/>
  <c r="I532" i="27"/>
  <c r="I527" i="27"/>
  <c r="I522" i="27"/>
  <c r="I516" i="27"/>
  <c r="I511" i="27"/>
  <c r="I506" i="27"/>
  <c r="I500" i="27"/>
  <c r="I495" i="27"/>
  <c r="I490" i="27"/>
  <c r="I484" i="27"/>
  <c r="I479" i="27"/>
  <c r="I474" i="27"/>
  <c r="I468" i="27"/>
  <c r="I463" i="27"/>
  <c r="I458" i="27"/>
  <c r="I452" i="27"/>
  <c r="I447" i="27"/>
  <c r="I442" i="27"/>
  <c r="I436" i="27"/>
  <c r="I431" i="27"/>
  <c r="I426" i="27"/>
  <c r="I420" i="27"/>
  <c r="I415" i="27"/>
  <c r="I410" i="27"/>
  <c r="I404" i="27"/>
  <c r="I399" i="27"/>
  <c r="I394" i="27"/>
  <c r="I388" i="27"/>
  <c r="I383" i="27"/>
  <c r="I378" i="27"/>
  <c r="I372" i="27"/>
  <c r="I367" i="27"/>
  <c r="I362" i="27"/>
  <c r="I356" i="27"/>
  <c r="I351" i="27"/>
  <c r="I346" i="27"/>
  <c r="I340" i="27"/>
  <c r="I335" i="27"/>
  <c r="I330" i="27"/>
  <c r="I324" i="27"/>
  <c r="I319" i="27"/>
  <c r="I314" i="27"/>
  <c r="I308" i="27"/>
  <c r="I303" i="27"/>
  <c r="I298" i="27"/>
  <c r="I292" i="27"/>
  <c r="I287" i="27"/>
  <c r="I282" i="27"/>
  <c r="I276" i="27"/>
  <c r="I271" i="27"/>
  <c r="I266" i="27"/>
  <c r="I260" i="27"/>
  <c r="I255" i="27"/>
  <c r="I250" i="27"/>
  <c r="I244" i="27"/>
  <c r="I239" i="27"/>
  <c r="I234" i="27"/>
  <c r="I228" i="27"/>
  <c r="I223" i="27"/>
  <c r="I218" i="27"/>
  <c r="I212" i="27"/>
  <c r="I207" i="27"/>
  <c r="I202" i="27"/>
  <c r="I196" i="27"/>
  <c r="I191" i="27"/>
  <c r="I186" i="27"/>
  <c r="I180" i="27"/>
  <c r="I175" i="27"/>
  <c r="I170" i="27"/>
  <c r="I164" i="27"/>
  <c r="I159" i="27"/>
  <c r="I154" i="27"/>
  <c r="I148" i="27"/>
  <c r="I143" i="27"/>
  <c r="I138" i="27"/>
  <c r="I132" i="27"/>
  <c r="I127" i="27"/>
  <c r="I122" i="27"/>
  <c r="I116" i="27"/>
  <c r="I111" i="27"/>
  <c r="I106" i="27"/>
  <c r="I100" i="27"/>
  <c r="I95" i="27"/>
  <c r="I90" i="27"/>
  <c r="I84" i="27"/>
  <c r="I79" i="27"/>
  <c r="I74" i="27"/>
  <c r="I68" i="27"/>
  <c r="I63" i="27"/>
  <c r="I58" i="27"/>
  <c r="I52" i="27"/>
  <c r="I47" i="27"/>
  <c r="I42" i="27"/>
  <c r="I36" i="27"/>
  <c r="I31" i="27"/>
  <c r="I26" i="27"/>
  <c r="I20" i="27"/>
  <c r="I15" i="27"/>
  <c r="I10" i="27"/>
  <c r="I4" i="27"/>
  <c r="I996" i="27"/>
  <c r="I988" i="27"/>
  <c r="I980" i="27"/>
  <c r="I972" i="27"/>
  <c r="I964" i="27"/>
  <c r="I956" i="27"/>
  <c r="I948" i="27"/>
  <c r="I940" i="27"/>
  <c r="I932" i="27"/>
  <c r="I924" i="27"/>
  <c r="I916" i="27"/>
  <c r="I908" i="27"/>
  <c r="I900" i="27"/>
  <c r="I892" i="27"/>
  <c r="I884" i="27"/>
  <c r="I876" i="27"/>
  <c r="I868" i="27"/>
  <c r="I860" i="27"/>
  <c r="I852" i="27"/>
  <c r="I844" i="27"/>
  <c r="I836" i="27"/>
  <c r="I828" i="27"/>
  <c r="I820" i="27"/>
  <c r="I812" i="27"/>
  <c r="I804" i="27"/>
  <c r="I796" i="27"/>
  <c r="I788" i="27"/>
  <c r="I780" i="27"/>
  <c r="I772" i="27"/>
  <c r="I764" i="27"/>
  <c r="I756" i="27"/>
  <c r="I748" i="27"/>
  <c r="I740" i="27"/>
  <c r="I732" i="27"/>
  <c r="I724" i="27"/>
  <c r="I716" i="27"/>
  <c r="I708" i="27"/>
  <c r="I700" i="27"/>
  <c r="I692" i="27"/>
  <c r="I684" i="27"/>
  <c r="I676" i="27"/>
  <c r="I668" i="27"/>
  <c r="I660" i="27"/>
  <c r="I652" i="27"/>
  <c r="I644" i="27"/>
  <c r="I636" i="27"/>
  <c r="I628" i="27"/>
  <c r="I622" i="27"/>
  <c r="I616" i="27"/>
  <c r="I611" i="27"/>
  <c r="I606" i="27"/>
  <c r="I600" i="27"/>
  <c r="I595" i="27"/>
  <c r="I590" i="27"/>
  <c r="I584" i="27"/>
  <c r="I579" i="27"/>
  <c r="I574" i="27"/>
  <c r="I568" i="27"/>
  <c r="I563" i="27"/>
  <c r="I558" i="27"/>
  <c r="I552" i="27"/>
  <c r="I547" i="27"/>
  <c r="I542" i="27"/>
  <c r="I536" i="27"/>
  <c r="I531" i="27"/>
  <c r="I526" i="27"/>
  <c r="I520" i="27"/>
  <c r="I515" i="27"/>
  <c r="I510" i="27"/>
  <c r="I504" i="27"/>
  <c r="I499" i="27"/>
  <c r="I494" i="27"/>
  <c r="I488" i="27"/>
  <c r="I483" i="27"/>
  <c r="I478" i="27"/>
  <c r="I472" i="27"/>
  <c r="I467" i="27"/>
  <c r="I462" i="27"/>
  <c r="I456" i="27"/>
  <c r="I451" i="27"/>
  <c r="I446" i="27"/>
  <c r="I440" i="27"/>
  <c r="I435" i="27"/>
  <c r="I430" i="27"/>
  <c r="I424" i="27"/>
  <c r="I419" i="27"/>
  <c r="I414" i="27"/>
  <c r="I408" i="27"/>
  <c r="I403" i="27"/>
  <c r="I398" i="27"/>
  <c r="I392" i="27"/>
  <c r="I387" i="27"/>
  <c r="I382" i="27"/>
  <c r="I376" i="27"/>
  <c r="I371" i="27"/>
  <c r="I366" i="27"/>
  <c r="I360" i="27"/>
  <c r="I355" i="27"/>
  <c r="I350" i="27"/>
  <c r="I344" i="27"/>
  <c r="I339" i="27"/>
  <c r="I334" i="27"/>
  <c r="I328" i="27"/>
  <c r="I323" i="27"/>
  <c r="I318" i="27"/>
  <c r="I312" i="27"/>
  <c r="I307" i="27"/>
  <c r="I302" i="27"/>
  <c r="I296" i="27"/>
  <c r="I291" i="27"/>
  <c r="I286" i="27"/>
  <c r="I280" i="27"/>
  <c r="I275" i="27"/>
  <c r="I270" i="27"/>
  <c r="I264" i="27"/>
  <c r="I259" i="27"/>
  <c r="I254" i="27"/>
  <c r="I248" i="27"/>
  <c r="I243" i="27"/>
  <c r="I238" i="27"/>
  <c r="I232" i="27"/>
  <c r="I227" i="27"/>
  <c r="I222" i="27"/>
  <c r="I216" i="27"/>
  <c r="I211" i="27"/>
  <c r="I206" i="27"/>
  <c r="I200" i="27"/>
  <c r="I195" i="27"/>
  <c r="I190" i="27"/>
  <c r="I184" i="27"/>
  <c r="I179" i="27"/>
  <c r="I174" i="27"/>
  <c r="I168" i="27"/>
  <c r="I163" i="27"/>
  <c r="I158" i="27"/>
  <c r="I152" i="27"/>
  <c r="I147" i="27"/>
  <c r="I142" i="27"/>
  <c r="I136" i="27"/>
  <c r="I131" i="27"/>
  <c r="I126" i="27"/>
  <c r="I120" i="27"/>
  <c r="I115" i="27"/>
  <c r="I110" i="27"/>
  <c r="I104" i="27"/>
  <c r="I99" i="27"/>
  <c r="I94" i="27"/>
  <c r="I88" i="27"/>
  <c r="I83" i="27"/>
  <c r="I78" i="27"/>
  <c r="I72" i="27"/>
  <c r="I67" i="27"/>
  <c r="I62" i="27"/>
  <c r="I56" i="27"/>
  <c r="I51" i="27"/>
  <c r="I46" i="27"/>
  <c r="I40" i="27"/>
  <c r="I35" i="27"/>
  <c r="I30" i="27"/>
  <c r="I24" i="27"/>
  <c r="I19" i="27"/>
  <c r="I14" i="27"/>
  <c r="I8" i="27"/>
  <c r="I3" i="27"/>
  <c r="I1000" i="27"/>
  <c r="I984" i="27"/>
  <c r="I968" i="27"/>
  <c r="I952" i="27"/>
  <c r="I936" i="27"/>
  <c r="I920" i="27"/>
  <c r="I904" i="27"/>
  <c r="I888" i="27"/>
  <c r="I872" i="27"/>
  <c r="I856" i="27"/>
  <c r="I840" i="27"/>
  <c r="I824" i="27"/>
  <c r="I808" i="27"/>
  <c r="I792" i="27"/>
  <c r="I776" i="27"/>
  <c r="I760" i="27"/>
  <c r="I744" i="27"/>
  <c r="I728" i="27"/>
  <c r="I712" i="27"/>
  <c r="I696" i="27"/>
  <c r="I680" i="27"/>
  <c r="I664" i="27"/>
  <c r="I648" i="27"/>
  <c r="I632" i="27"/>
  <c r="I619" i="27"/>
  <c r="I608" i="27"/>
  <c r="I598" i="27"/>
  <c r="I587" i="27"/>
  <c r="I576" i="27"/>
  <c r="I566" i="27"/>
  <c r="I555" i="27"/>
  <c r="I544" i="27"/>
  <c r="I534" i="27"/>
  <c r="I523" i="27"/>
  <c r="I512" i="27"/>
  <c r="I502" i="27"/>
  <c r="I491" i="27"/>
  <c r="I480" i="27"/>
  <c r="I470" i="27"/>
  <c r="I459" i="27"/>
  <c r="I448" i="27"/>
  <c r="I438" i="27"/>
  <c r="I427" i="27"/>
  <c r="I416" i="27"/>
  <c r="I406" i="27"/>
  <c r="I395" i="27"/>
  <c r="I384" i="27"/>
  <c r="I374" i="27"/>
  <c r="I363" i="27"/>
  <c r="I352" i="27"/>
  <c r="I342" i="27"/>
  <c r="I331" i="27"/>
  <c r="I320" i="27"/>
  <c r="I310" i="27"/>
  <c r="I299" i="27"/>
  <c r="I288" i="27"/>
  <c r="I278" i="27"/>
  <c r="I267" i="27"/>
  <c r="I256" i="27"/>
  <c r="I246" i="27"/>
  <c r="I235" i="27"/>
  <c r="I224" i="27"/>
  <c r="I214" i="27"/>
  <c r="I203" i="27"/>
  <c r="I192" i="27"/>
  <c r="I182" i="27"/>
  <c r="I171" i="27"/>
  <c r="I160" i="27"/>
  <c r="I150" i="27"/>
  <c r="I139" i="27"/>
  <c r="I128" i="27"/>
  <c r="I118" i="27"/>
  <c r="I107" i="27"/>
  <c r="I96" i="27"/>
  <c r="I86" i="27"/>
  <c r="I75" i="27"/>
  <c r="I64" i="27"/>
  <c r="I54" i="27"/>
  <c r="I43" i="27"/>
  <c r="I32" i="27"/>
  <c r="I22" i="27"/>
  <c r="I11" i="27"/>
  <c r="I1" i="27"/>
  <c r="I992" i="27"/>
  <c r="I976" i="27"/>
  <c r="I960" i="27"/>
  <c r="I944" i="27"/>
  <c r="I928" i="27"/>
  <c r="I912" i="27"/>
  <c r="I896" i="27"/>
  <c r="I880" i="27"/>
  <c r="I864" i="27"/>
  <c r="I848" i="27"/>
  <c r="I832" i="27"/>
  <c r="I816" i="27"/>
  <c r="I800" i="27"/>
  <c r="I784" i="27"/>
  <c r="I768" i="27"/>
  <c r="I752" i="27"/>
  <c r="I736" i="27"/>
  <c r="I720" i="27"/>
  <c r="I704" i="27"/>
  <c r="I688" i="27"/>
  <c r="I672" i="27"/>
  <c r="I656" i="27"/>
  <c r="I640" i="27"/>
  <c r="I624" i="27"/>
  <c r="I614" i="27"/>
  <c r="I603" i="27"/>
  <c r="I592" i="27"/>
  <c r="I582" i="27"/>
  <c r="I571" i="27"/>
  <c r="I560" i="27"/>
  <c r="I550" i="27"/>
  <c r="I539" i="27"/>
  <c r="I528" i="27"/>
  <c r="I518" i="27"/>
  <c r="I507" i="27"/>
  <c r="I496" i="27"/>
  <c r="I486" i="27"/>
  <c r="I475" i="27"/>
  <c r="I464" i="27"/>
  <c r="I454" i="27"/>
  <c r="I443" i="27"/>
  <c r="I432" i="27"/>
  <c r="I422" i="27"/>
  <c r="I411" i="27"/>
  <c r="I400" i="27"/>
  <c r="I390" i="27"/>
  <c r="I379" i="27"/>
  <c r="I368" i="27"/>
  <c r="I358" i="27"/>
  <c r="I347" i="27"/>
  <c r="I336" i="27"/>
  <c r="I326" i="27"/>
  <c r="I315" i="27"/>
  <c r="I304" i="27"/>
  <c r="I294" i="27"/>
  <c r="I283" i="27"/>
  <c r="I272" i="27"/>
  <c r="I262" i="27"/>
  <c r="I251" i="27"/>
  <c r="I240" i="27"/>
  <c r="I230" i="27"/>
  <c r="I219" i="27"/>
  <c r="I208" i="27"/>
  <c r="I198" i="27"/>
  <c r="I187" i="27"/>
  <c r="I176" i="27"/>
  <c r="I166" i="27"/>
  <c r="I155" i="27"/>
  <c r="I144" i="27"/>
  <c r="I134" i="27"/>
  <c r="I123" i="27"/>
  <c r="I112" i="27"/>
  <c r="I102" i="27"/>
  <c r="I91" i="27"/>
  <c r="I80" i="27"/>
  <c r="I70" i="27"/>
  <c r="I59" i="27"/>
  <c r="I48" i="27"/>
  <c r="I38" i="27"/>
  <c r="I27" i="27"/>
  <c r="I16" i="27"/>
  <c r="I6" i="27"/>
  <c r="I970" i="27"/>
  <c r="I938" i="27"/>
  <c r="I906" i="27"/>
  <c r="I874" i="27"/>
  <c r="I842" i="27"/>
  <c r="I810" i="27"/>
  <c r="I778" i="27"/>
  <c r="I746" i="27"/>
  <c r="I714" i="27"/>
  <c r="I682" i="27"/>
  <c r="I650" i="27"/>
  <c r="I620" i="27"/>
  <c r="I599" i="27"/>
  <c r="I578" i="27"/>
  <c r="I556" i="27"/>
  <c r="I535" i="27"/>
  <c r="I514" i="27"/>
  <c r="I492" i="27"/>
  <c r="I471" i="27"/>
  <c r="I450" i="27"/>
  <c r="I428" i="27"/>
  <c r="I407" i="27"/>
  <c r="I386" i="27"/>
  <c r="I364" i="27"/>
  <c r="I343" i="27"/>
  <c r="I322" i="27"/>
  <c r="I300" i="27"/>
  <c r="I279" i="27"/>
  <c r="I258" i="27"/>
  <c r="I236" i="27"/>
  <c r="I215" i="27"/>
  <c r="I194" i="27"/>
  <c r="I172" i="27"/>
  <c r="I151" i="27"/>
  <c r="I130" i="27"/>
  <c r="I108" i="27"/>
  <c r="I87" i="27"/>
  <c r="I66" i="27"/>
  <c r="I44" i="27"/>
  <c r="I23" i="27"/>
  <c r="I2" i="27"/>
  <c r="I994" i="27"/>
  <c r="I962" i="27"/>
  <c r="I930" i="27"/>
  <c r="I898" i="27"/>
  <c r="I866" i="27"/>
  <c r="I834" i="27"/>
  <c r="I802" i="27"/>
  <c r="I770" i="27"/>
  <c r="I738" i="27"/>
  <c r="I706" i="27"/>
  <c r="I674" i="27"/>
  <c r="I642" i="27"/>
  <c r="I615" i="27"/>
  <c r="I594" i="27"/>
  <c r="I572" i="27"/>
  <c r="I551" i="27"/>
  <c r="I530" i="27"/>
  <c r="I508" i="27"/>
  <c r="I487" i="27"/>
  <c r="I466" i="27"/>
  <c r="I444" i="27"/>
  <c r="I423" i="27"/>
  <c r="I402" i="27"/>
  <c r="I380" i="27"/>
  <c r="I359" i="27"/>
  <c r="I338" i="27"/>
  <c r="I316" i="27"/>
  <c r="I295" i="27"/>
  <c r="I274" i="27"/>
  <c r="I252" i="27"/>
  <c r="I231" i="27"/>
  <c r="I210" i="27"/>
  <c r="I188" i="27"/>
  <c r="I167" i="27"/>
  <c r="I146" i="27"/>
  <c r="I124" i="27"/>
  <c r="I103" i="27"/>
  <c r="I82" i="27"/>
  <c r="I60" i="27"/>
  <c r="I39" i="27"/>
  <c r="I18" i="27"/>
  <c r="I986" i="27"/>
  <c r="I922" i="27"/>
  <c r="I858" i="27"/>
  <c r="I794" i="27"/>
  <c r="I730" i="27"/>
  <c r="I666" i="27"/>
  <c r="I610" i="27"/>
  <c r="I567" i="27"/>
  <c r="I524" i="27"/>
  <c r="I482" i="27"/>
  <c r="I439" i="27"/>
  <c r="I396" i="27"/>
  <c r="I354" i="27"/>
  <c r="I311" i="27"/>
  <c r="I268" i="27"/>
  <c r="I226" i="27"/>
  <c r="I183" i="27"/>
  <c r="I140" i="27"/>
  <c r="I98" i="27"/>
  <c r="I55" i="27"/>
  <c r="I12" i="27"/>
  <c r="I978" i="27"/>
  <c r="I914" i="27"/>
  <c r="I850" i="27"/>
  <c r="I786" i="27"/>
  <c r="I722" i="27"/>
  <c r="I658" i="27"/>
  <c r="I604" i="27"/>
  <c r="I562" i="27"/>
  <c r="I519" i="27"/>
  <c r="I476" i="27"/>
  <c r="I434" i="27"/>
  <c r="I391" i="27"/>
  <c r="I348" i="27"/>
  <c r="I306" i="27"/>
  <c r="I263" i="27"/>
  <c r="I220" i="27"/>
  <c r="I178" i="27"/>
  <c r="I135" i="27"/>
  <c r="I92" i="27"/>
  <c r="I50" i="27"/>
  <c r="I7" i="27"/>
  <c r="I946" i="27"/>
  <c r="I818" i="27"/>
  <c r="I690" i="27"/>
  <c r="I583" i="27"/>
  <c r="I498" i="27"/>
  <c r="I412" i="27"/>
  <c r="I327" i="27"/>
  <c r="I242" i="27"/>
  <c r="I156" i="27"/>
  <c r="I71" i="27"/>
  <c r="I882" i="27"/>
  <c r="I754" i="27"/>
  <c r="I626" i="27"/>
  <c r="I540" i="27"/>
  <c r="I455" i="27"/>
  <c r="I370" i="27"/>
  <c r="I284" i="27"/>
  <c r="I199" i="27"/>
  <c r="I114" i="27"/>
  <c r="I28" i="27"/>
  <c r="I762" i="27"/>
  <c r="I546" i="27"/>
  <c r="I375" i="27"/>
  <c r="I204" i="27"/>
  <c r="I34" i="27"/>
  <c r="I890" i="27"/>
  <c r="I634" i="27"/>
  <c r="I460" i="27"/>
  <c r="I290" i="27"/>
  <c r="I119" i="27"/>
  <c r="I588" i="27"/>
  <c r="I247" i="27"/>
  <c r="I826" i="27"/>
  <c r="I418" i="27"/>
  <c r="I76" i="27"/>
  <c r="I698" i="27"/>
  <c r="I332" i="27"/>
  <c r="I954" i="27"/>
  <c r="I162" i="27"/>
  <c r="I503" i="27"/>
  <c r="I1000" i="20"/>
  <c r="I996" i="20"/>
  <c r="I992" i="20"/>
  <c r="I988" i="20"/>
  <c r="I984" i="20"/>
  <c r="I980" i="20"/>
  <c r="I976" i="20"/>
  <c r="I972" i="20"/>
  <c r="I968" i="20"/>
  <c r="I964" i="20"/>
  <c r="I960" i="20"/>
  <c r="I956" i="20"/>
  <c r="I952" i="20"/>
  <c r="I948" i="20"/>
  <c r="I944" i="20"/>
  <c r="I940" i="20"/>
  <c r="I936" i="20"/>
  <c r="I932" i="20"/>
  <c r="I928" i="20"/>
  <c r="I924" i="20"/>
  <c r="I920" i="20"/>
  <c r="I916" i="20"/>
  <c r="I912" i="20"/>
  <c r="I908" i="20"/>
  <c r="I904" i="20"/>
  <c r="I900" i="20"/>
  <c r="I896" i="20"/>
  <c r="I892" i="20"/>
  <c r="I888" i="20"/>
  <c r="I884" i="20"/>
  <c r="I880" i="20"/>
  <c r="I876" i="20"/>
  <c r="I872" i="20"/>
  <c r="I868" i="20"/>
  <c r="I864" i="20"/>
  <c r="I860" i="20"/>
  <c r="I856" i="20"/>
  <c r="I852" i="20"/>
  <c r="I848" i="20"/>
  <c r="I844" i="20"/>
  <c r="I840" i="20"/>
  <c r="I836" i="20"/>
  <c r="I832" i="20"/>
  <c r="I828" i="20"/>
  <c r="I824" i="20"/>
  <c r="I820" i="20"/>
  <c r="I816" i="20"/>
  <c r="I812" i="20"/>
  <c r="I808" i="20"/>
  <c r="I804" i="20"/>
  <c r="I800" i="20"/>
  <c r="I796" i="20"/>
  <c r="I792" i="20"/>
  <c r="I788" i="20"/>
  <c r="I784" i="20"/>
  <c r="I780" i="20"/>
  <c r="I776" i="20"/>
  <c r="I772" i="20"/>
  <c r="I768" i="20"/>
  <c r="I764" i="20"/>
  <c r="I760" i="20"/>
  <c r="I756" i="20"/>
  <c r="I752" i="20"/>
  <c r="I748" i="20"/>
  <c r="I744" i="20"/>
  <c r="I740" i="20"/>
  <c r="I736" i="20"/>
  <c r="I732" i="20"/>
  <c r="I728" i="20"/>
  <c r="I724" i="20"/>
  <c r="I720" i="20"/>
  <c r="I716" i="20"/>
  <c r="I712" i="20"/>
  <c r="I708" i="20"/>
  <c r="I704" i="20"/>
  <c r="I700" i="20"/>
  <c r="I696" i="20"/>
  <c r="I692" i="20"/>
  <c r="I688" i="20"/>
  <c r="I684" i="20"/>
  <c r="I680" i="20"/>
  <c r="I676" i="20"/>
  <c r="I672" i="20"/>
  <c r="I668" i="20"/>
  <c r="I664" i="20"/>
  <c r="I660" i="20"/>
  <c r="I656" i="20"/>
  <c r="I652" i="20"/>
  <c r="I648" i="20"/>
  <c r="I644" i="20"/>
  <c r="I640" i="20"/>
  <c r="I636" i="20"/>
  <c r="I632" i="20"/>
  <c r="I628" i="20"/>
  <c r="I624" i="20"/>
  <c r="I620" i="20"/>
  <c r="I616" i="20"/>
  <c r="I612" i="20"/>
  <c r="I608" i="20"/>
  <c r="I604" i="20"/>
  <c r="I600" i="20"/>
  <c r="I596" i="20"/>
  <c r="I592" i="20"/>
  <c r="I588" i="20"/>
  <c r="I584" i="20"/>
  <c r="I580" i="20"/>
  <c r="I576" i="20"/>
  <c r="I572" i="20"/>
  <c r="I568" i="20"/>
  <c r="I564" i="20"/>
  <c r="I560" i="20"/>
  <c r="I556" i="20"/>
  <c r="I552" i="20"/>
  <c r="I548" i="20"/>
  <c r="I544" i="20"/>
  <c r="I540" i="20"/>
  <c r="I536" i="20"/>
  <c r="I532" i="20"/>
  <c r="I528" i="20"/>
  <c r="I524" i="20"/>
  <c r="I520" i="20"/>
  <c r="I516" i="20"/>
  <c r="I512" i="20"/>
  <c r="I508" i="20"/>
  <c r="I504" i="20"/>
  <c r="I500" i="20"/>
  <c r="I496" i="20"/>
  <c r="I492" i="20"/>
  <c r="I488" i="20"/>
  <c r="I484" i="20"/>
  <c r="I480" i="20"/>
  <c r="I476" i="20"/>
  <c r="I472" i="20"/>
  <c r="I468" i="20"/>
  <c r="I464" i="20"/>
  <c r="I460" i="20"/>
  <c r="I456" i="20"/>
  <c r="I452" i="20"/>
  <c r="I448" i="20"/>
  <c r="I444" i="20"/>
  <c r="I440" i="20"/>
  <c r="I436" i="20"/>
  <c r="I432" i="20"/>
  <c r="I428" i="20"/>
  <c r="I424" i="20"/>
  <c r="I420" i="20"/>
  <c r="I416" i="20"/>
  <c r="I412" i="20"/>
  <c r="I408" i="20"/>
  <c r="I404" i="20"/>
  <c r="I400" i="20"/>
  <c r="I396" i="20"/>
  <c r="I392" i="20"/>
  <c r="I388" i="20"/>
  <c r="I384" i="20"/>
  <c r="I380" i="20"/>
  <c r="I376" i="20"/>
  <c r="I372" i="20"/>
  <c r="I368" i="20"/>
  <c r="I364" i="20"/>
  <c r="I360" i="20"/>
  <c r="I356" i="20"/>
  <c r="I352" i="20"/>
  <c r="I348" i="20"/>
  <c r="I344" i="20"/>
  <c r="I340" i="20"/>
  <c r="I336" i="20"/>
  <c r="I332" i="20"/>
  <c r="I328" i="20"/>
  <c r="I324" i="20"/>
  <c r="I320" i="20"/>
  <c r="I316" i="20"/>
  <c r="I312" i="20"/>
  <c r="I308" i="20"/>
  <c r="I304" i="20"/>
  <c r="I300" i="20"/>
  <c r="I296" i="20"/>
  <c r="I292" i="20"/>
  <c r="I288" i="20"/>
  <c r="I284" i="20"/>
  <c r="I280" i="20"/>
  <c r="I276" i="20"/>
  <c r="I272" i="20"/>
  <c r="I268" i="20"/>
  <c r="I264" i="20"/>
  <c r="I260" i="20"/>
  <c r="I256" i="20"/>
  <c r="I252" i="20"/>
  <c r="I248" i="20"/>
  <c r="I244" i="20"/>
  <c r="I240" i="20"/>
  <c r="I236" i="20"/>
  <c r="I232" i="20"/>
  <c r="I228" i="20"/>
  <c r="I224" i="20"/>
  <c r="I220" i="20"/>
  <c r="I216" i="20"/>
  <c r="I212" i="20"/>
  <c r="I208" i="20"/>
  <c r="I204" i="20"/>
  <c r="I200" i="20"/>
  <c r="I196" i="20"/>
  <c r="I192" i="20"/>
  <c r="I188" i="20"/>
  <c r="I184" i="20"/>
  <c r="I180" i="20"/>
  <c r="I176" i="20"/>
  <c r="I172" i="20"/>
  <c r="I168" i="20"/>
  <c r="I164" i="20"/>
  <c r="I160" i="20"/>
  <c r="I156" i="20"/>
  <c r="I152" i="20"/>
  <c r="I148" i="20"/>
  <c r="I144" i="20"/>
  <c r="I140" i="20"/>
  <c r="I136" i="20"/>
  <c r="I132" i="20"/>
  <c r="I128" i="20"/>
  <c r="I124" i="20"/>
  <c r="I120" i="20"/>
  <c r="I116" i="20"/>
  <c r="I112" i="20"/>
  <c r="I108" i="20"/>
  <c r="I104" i="20"/>
  <c r="I100" i="20"/>
  <c r="I96" i="20"/>
  <c r="I92" i="20"/>
  <c r="I88" i="20"/>
  <c r="I84" i="20"/>
  <c r="I80" i="20"/>
  <c r="I76" i="20"/>
  <c r="I72" i="20"/>
  <c r="I68" i="20"/>
  <c r="I64" i="20"/>
  <c r="I60" i="20"/>
  <c r="I56" i="20"/>
  <c r="I52" i="20"/>
  <c r="I48" i="20"/>
  <c r="I44" i="20"/>
  <c r="I40" i="20"/>
  <c r="I36" i="20"/>
  <c r="I32" i="20"/>
  <c r="I28" i="20"/>
  <c r="I24" i="20"/>
  <c r="I20" i="20"/>
  <c r="I16" i="20"/>
  <c r="I12" i="20"/>
  <c r="I8" i="20"/>
  <c r="I4" i="20"/>
  <c r="I1" i="20"/>
  <c r="I999" i="20"/>
  <c r="I995" i="20"/>
  <c r="I991" i="20"/>
  <c r="I987" i="20"/>
  <c r="I983" i="20"/>
  <c r="I979" i="20"/>
  <c r="I975" i="20"/>
  <c r="I971" i="20"/>
  <c r="I967" i="20"/>
  <c r="I963" i="20"/>
  <c r="I959" i="20"/>
  <c r="I955" i="20"/>
  <c r="I951" i="20"/>
  <c r="I947" i="20"/>
  <c r="I943" i="20"/>
  <c r="I939" i="20"/>
  <c r="I935" i="20"/>
  <c r="I931" i="20"/>
  <c r="I927" i="20"/>
  <c r="I923" i="20"/>
  <c r="I919" i="20"/>
  <c r="I915" i="20"/>
  <c r="I911" i="20"/>
  <c r="I907" i="20"/>
  <c r="I903" i="20"/>
  <c r="I899" i="20"/>
  <c r="I895" i="20"/>
  <c r="I891" i="20"/>
  <c r="I887" i="20"/>
  <c r="I883" i="20"/>
  <c r="I879" i="20"/>
  <c r="I875" i="20"/>
  <c r="I871" i="20"/>
  <c r="I867" i="20"/>
  <c r="I863" i="20"/>
  <c r="I859" i="20"/>
  <c r="I855" i="20"/>
  <c r="I851" i="20"/>
  <c r="I847" i="20"/>
  <c r="I843" i="20"/>
  <c r="I839" i="20"/>
  <c r="I835" i="20"/>
  <c r="I831" i="20"/>
  <c r="I827" i="20"/>
  <c r="I823" i="20"/>
  <c r="I819" i="20"/>
  <c r="I815" i="20"/>
  <c r="I811" i="20"/>
  <c r="I807" i="20"/>
  <c r="I803" i="20"/>
  <c r="I799" i="20"/>
  <c r="I795" i="20"/>
  <c r="I791" i="20"/>
  <c r="I787" i="20"/>
  <c r="I783" i="20"/>
  <c r="I779" i="20"/>
  <c r="I775" i="20"/>
  <c r="I771" i="20"/>
  <c r="I767" i="20"/>
  <c r="I763" i="20"/>
  <c r="I759" i="20"/>
  <c r="I755" i="20"/>
  <c r="I751" i="20"/>
  <c r="I747" i="20"/>
  <c r="I743" i="20"/>
  <c r="I739" i="20"/>
  <c r="I735" i="20"/>
  <c r="I731" i="20"/>
  <c r="I727" i="20"/>
  <c r="I723" i="20"/>
  <c r="I719" i="20"/>
  <c r="I715" i="20"/>
  <c r="I711" i="20"/>
  <c r="I707" i="20"/>
  <c r="I703" i="20"/>
  <c r="I699" i="20"/>
  <c r="I695" i="20"/>
  <c r="I691" i="20"/>
  <c r="I687" i="20"/>
  <c r="I683" i="20"/>
  <c r="I679" i="20"/>
  <c r="I675" i="20"/>
  <c r="I671" i="20"/>
  <c r="I667" i="20"/>
  <c r="I663" i="20"/>
  <c r="I659" i="20"/>
  <c r="I655" i="20"/>
  <c r="I651" i="20"/>
  <c r="I647" i="20"/>
  <c r="I643" i="20"/>
  <c r="I639" i="20"/>
  <c r="I635" i="20"/>
  <c r="I631" i="20"/>
  <c r="I627" i="20"/>
  <c r="I623" i="20"/>
  <c r="I619" i="20"/>
  <c r="I615" i="20"/>
  <c r="I611" i="20"/>
  <c r="I607" i="20"/>
  <c r="I603" i="20"/>
  <c r="I599" i="20"/>
  <c r="I595" i="20"/>
  <c r="I591" i="20"/>
  <c r="I587" i="20"/>
  <c r="I583" i="20"/>
  <c r="I579" i="20"/>
  <c r="I575" i="20"/>
  <c r="I571" i="20"/>
  <c r="I567" i="20"/>
  <c r="I563" i="20"/>
  <c r="I559" i="20"/>
  <c r="I555" i="20"/>
  <c r="I551" i="20"/>
  <c r="I547" i="20"/>
  <c r="I543" i="20"/>
  <c r="I539" i="20"/>
  <c r="I535" i="20"/>
  <c r="I531" i="20"/>
  <c r="I527" i="20"/>
  <c r="I523" i="20"/>
  <c r="I519" i="20"/>
  <c r="I515" i="20"/>
  <c r="I511" i="20"/>
  <c r="I507" i="20"/>
  <c r="I503" i="20"/>
  <c r="I499" i="20"/>
  <c r="I495" i="20"/>
  <c r="I491" i="20"/>
  <c r="I487" i="20"/>
  <c r="I483" i="20"/>
  <c r="I479" i="20"/>
  <c r="I475" i="20"/>
  <c r="I471" i="20"/>
  <c r="I467" i="20"/>
  <c r="I463" i="20"/>
  <c r="I459" i="20"/>
  <c r="I455" i="20"/>
  <c r="I451" i="20"/>
  <c r="I447" i="20"/>
  <c r="I443" i="20"/>
  <c r="I439" i="20"/>
  <c r="I435" i="20"/>
  <c r="I431" i="20"/>
  <c r="I427" i="20"/>
  <c r="I423" i="20"/>
  <c r="I419" i="20"/>
  <c r="I415" i="20"/>
  <c r="I411" i="20"/>
  <c r="I407" i="20"/>
  <c r="I403" i="20"/>
  <c r="I399" i="20"/>
  <c r="I395" i="20"/>
  <c r="I391" i="20"/>
  <c r="I387" i="20"/>
  <c r="I383" i="20"/>
  <c r="I379" i="20"/>
  <c r="I375" i="20"/>
  <c r="I371" i="20"/>
  <c r="I367" i="20"/>
  <c r="I363" i="20"/>
  <c r="I359" i="20"/>
  <c r="I355" i="20"/>
  <c r="I351" i="20"/>
  <c r="I347" i="20"/>
  <c r="I343" i="20"/>
  <c r="I339" i="20"/>
  <c r="I335" i="20"/>
  <c r="I331" i="20"/>
  <c r="I327" i="20"/>
  <c r="I323" i="20"/>
  <c r="I319" i="20"/>
  <c r="I315" i="20"/>
  <c r="I311" i="20"/>
  <c r="I307" i="20"/>
  <c r="I303" i="20"/>
  <c r="I299" i="20"/>
  <c r="I295" i="20"/>
  <c r="I291" i="20"/>
  <c r="I287" i="20"/>
  <c r="I283" i="20"/>
  <c r="I279" i="20"/>
  <c r="I275" i="20"/>
  <c r="I271" i="20"/>
  <c r="I267" i="20"/>
  <c r="I263" i="20"/>
  <c r="I259" i="20"/>
  <c r="I255" i="20"/>
  <c r="I251" i="20"/>
  <c r="I247" i="20"/>
  <c r="I243" i="20"/>
  <c r="I239" i="20"/>
  <c r="I235" i="20"/>
  <c r="I231" i="20"/>
  <c r="I227" i="20"/>
  <c r="I223" i="20"/>
  <c r="I219" i="20"/>
  <c r="I215" i="20"/>
  <c r="I211" i="20"/>
  <c r="I207" i="20"/>
  <c r="I203" i="20"/>
  <c r="I199" i="20"/>
  <c r="I195" i="20"/>
  <c r="I191" i="20"/>
  <c r="I187" i="20"/>
  <c r="I183" i="20"/>
  <c r="I179" i="20"/>
  <c r="I175" i="20"/>
  <c r="I171" i="20"/>
  <c r="I167" i="20"/>
  <c r="I163" i="20"/>
  <c r="I159" i="20"/>
  <c r="I155" i="20"/>
  <c r="I151" i="20"/>
  <c r="I147" i="20"/>
  <c r="I143" i="20"/>
  <c r="I139" i="20"/>
  <c r="I135" i="20"/>
  <c r="I131" i="20"/>
  <c r="I127" i="20"/>
  <c r="I123" i="20"/>
  <c r="I119" i="20"/>
  <c r="I115" i="20"/>
  <c r="I111" i="20"/>
  <c r="I107" i="20"/>
  <c r="I103" i="20"/>
  <c r="I99" i="20"/>
  <c r="I95" i="20"/>
  <c r="I91" i="20"/>
  <c r="I87" i="20"/>
  <c r="I83" i="20"/>
  <c r="I79" i="20"/>
  <c r="I75" i="20"/>
  <c r="I71" i="20"/>
  <c r="I67" i="20"/>
  <c r="I63" i="20"/>
  <c r="I59" i="20"/>
  <c r="I55" i="20"/>
  <c r="I51" i="20"/>
  <c r="I47" i="20"/>
  <c r="I43" i="20"/>
  <c r="I39" i="20"/>
  <c r="I35" i="20"/>
  <c r="I31" i="20"/>
  <c r="I27" i="20"/>
  <c r="I23" i="20"/>
  <c r="I19" i="20"/>
  <c r="I15" i="20"/>
  <c r="I11" i="20"/>
  <c r="I7" i="20"/>
  <c r="I3" i="20"/>
  <c r="I994" i="20"/>
  <c r="I986" i="20"/>
  <c r="I978" i="20"/>
  <c r="I970" i="20"/>
  <c r="I962" i="20"/>
  <c r="I954" i="20"/>
  <c r="I946" i="20"/>
  <c r="I938" i="20"/>
  <c r="I930" i="20"/>
  <c r="I922" i="20"/>
  <c r="I914" i="20"/>
  <c r="I906" i="20"/>
  <c r="I898" i="20"/>
  <c r="I890" i="20"/>
  <c r="I882" i="20"/>
  <c r="I874" i="20"/>
  <c r="I866" i="20"/>
  <c r="I858" i="20"/>
  <c r="I850" i="20"/>
  <c r="I842" i="20"/>
  <c r="I834" i="20"/>
  <c r="I826" i="20"/>
  <c r="I818" i="20"/>
  <c r="I810" i="20"/>
  <c r="I802" i="20"/>
  <c r="I794" i="20"/>
  <c r="I786" i="20"/>
  <c r="I778" i="20"/>
  <c r="I770" i="20"/>
  <c r="I762" i="20"/>
  <c r="I754" i="20"/>
  <c r="I746" i="20"/>
  <c r="I738" i="20"/>
  <c r="I730" i="20"/>
  <c r="I722" i="20"/>
  <c r="I714" i="20"/>
  <c r="I706" i="20"/>
  <c r="I698" i="20"/>
  <c r="I690" i="20"/>
  <c r="I682" i="20"/>
  <c r="I674" i="20"/>
  <c r="I666" i="20"/>
  <c r="I658" i="20"/>
  <c r="I650" i="20"/>
  <c r="I642" i="20"/>
  <c r="I634" i="20"/>
  <c r="I626" i="20"/>
  <c r="I618" i="20"/>
  <c r="I610" i="20"/>
  <c r="I602" i="20"/>
  <c r="I594" i="20"/>
  <c r="I586" i="20"/>
  <c r="I578" i="20"/>
  <c r="I570" i="20"/>
  <c r="I562" i="20"/>
  <c r="I554" i="20"/>
  <c r="I546" i="20"/>
  <c r="I538" i="20"/>
  <c r="I530" i="20"/>
  <c r="I522" i="20"/>
  <c r="I514" i="20"/>
  <c r="I506" i="20"/>
  <c r="I498" i="20"/>
  <c r="I490" i="20"/>
  <c r="I482" i="20"/>
  <c r="I474" i="20"/>
  <c r="I466" i="20"/>
  <c r="I458" i="20"/>
  <c r="I450" i="20"/>
  <c r="I442" i="20"/>
  <c r="I434" i="20"/>
  <c r="I426" i="20"/>
  <c r="I418" i="20"/>
  <c r="I410" i="20"/>
  <c r="I402" i="20"/>
  <c r="I394" i="20"/>
  <c r="I386" i="20"/>
  <c r="I378" i="20"/>
  <c r="I370" i="20"/>
  <c r="I362" i="20"/>
  <c r="I354" i="20"/>
  <c r="I346" i="20"/>
  <c r="I338" i="20"/>
  <c r="I330" i="20"/>
  <c r="I322" i="20"/>
  <c r="I314" i="20"/>
  <c r="I306" i="20"/>
  <c r="I298" i="20"/>
  <c r="I290" i="20"/>
  <c r="I282" i="20"/>
  <c r="I274" i="20"/>
  <c r="I266" i="20"/>
  <c r="I258" i="20"/>
  <c r="I250" i="20"/>
  <c r="I242" i="20"/>
  <c r="I234" i="20"/>
  <c r="I226" i="20"/>
  <c r="I218" i="20"/>
  <c r="I210" i="20"/>
  <c r="I202" i="20"/>
  <c r="I194" i="20"/>
  <c r="I186" i="20"/>
  <c r="I178" i="20"/>
  <c r="I170" i="20"/>
  <c r="I162" i="20"/>
  <c r="I154" i="20"/>
  <c r="I146" i="20"/>
  <c r="I138" i="20"/>
  <c r="I130" i="20"/>
  <c r="I122" i="20"/>
  <c r="I114" i="20"/>
  <c r="I106" i="20"/>
  <c r="I98" i="20"/>
  <c r="I90" i="20"/>
  <c r="I82" i="20"/>
  <c r="I74" i="20"/>
  <c r="I66" i="20"/>
  <c r="I58" i="20"/>
  <c r="I50" i="20"/>
  <c r="I42" i="20"/>
  <c r="I34" i="20"/>
  <c r="I26" i="20"/>
  <c r="I18" i="20"/>
  <c r="I10" i="20"/>
  <c r="I2" i="20"/>
  <c r="I993" i="20"/>
  <c r="I985" i="20"/>
  <c r="I977" i="20"/>
  <c r="I969" i="20"/>
  <c r="I961" i="20"/>
  <c r="I953" i="20"/>
  <c r="I945" i="20"/>
  <c r="I937" i="20"/>
  <c r="I929" i="20"/>
  <c r="I921" i="20"/>
  <c r="I913" i="20"/>
  <c r="I905" i="20"/>
  <c r="I897" i="20"/>
  <c r="I889" i="20"/>
  <c r="I881" i="20"/>
  <c r="I873" i="20"/>
  <c r="I865" i="20"/>
  <c r="I857" i="20"/>
  <c r="I849" i="20"/>
  <c r="I841" i="20"/>
  <c r="I833" i="20"/>
  <c r="I825" i="20"/>
  <c r="I817" i="20"/>
  <c r="I809" i="20"/>
  <c r="I801" i="20"/>
  <c r="I793" i="20"/>
  <c r="I785" i="20"/>
  <c r="I777" i="20"/>
  <c r="I769" i="20"/>
  <c r="I761" i="20"/>
  <c r="I753" i="20"/>
  <c r="I745" i="20"/>
  <c r="I737" i="20"/>
  <c r="I729" i="20"/>
  <c r="I721" i="20"/>
  <c r="I713" i="20"/>
  <c r="I705" i="20"/>
  <c r="I697" i="20"/>
  <c r="I689" i="20"/>
  <c r="I681" i="20"/>
  <c r="I673" i="20"/>
  <c r="I665" i="20"/>
  <c r="I657" i="20"/>
  <c r="I649" i="20"/>
  <c r="I641" i="20"/>
  <c r="I633" i="20"/>
  <c r="I625" i="20"/>
  <c r="I617" i="20"/>
  <c r="I609" i="20"/>
  <c r="I601" i="20"/>
  <c r="I593" i="20"/>
  <c r="I585" i="20"/>
  <c r="I577" i="20"/>
  <c r="I569" i="20"/>
  <c r="I561" i="20"/>
  <c r="I553" i="20"/>
  <c r="I545" i="20"/>
  <c r="I537" i="20"/>
  <c r="I529" i="20"/>
  <c r="I521" i="20"/>
  <c r="I513" i="20"/>
  <c r="I505" i="20"/>
  <c r="I497" i="20"/>
  <c r="I489" i="20"/>
  <c r="I481" i="20"/>
  <c r="I473" i="20"/>
  <c r="I465" i="20"/>
  <c r="I457" i="20"/>
  <c r="I449" i="20"/>
  <c r="I441" i="20"/>
  <c r="I433" i="20"/>
  <c r="I425" i="20"/>
  <c r="I417" i="20"/>
  <c r="I409" i="20"/>
  <c r="I401" i="20"/>
  <c r="I393" i="20"/>
  <c r="I385" i="20"/>
  <c r="I377" i="20"/>
  <c r="I369" i="20"/>
  <c r="I361" i="20"/>
  <c r="I353" i="20"/>
  <c r="I345" i="20"/>
  <c r="I337" i="20"/>
  <c r="I329" i="20"/>
  <c r="I321" i="20"/>
  <c r="I313" i="20"/>
  <c r="I305" i="20"/>
  <c r="I297" i="20"/>
  <c r="I289" i="20"/>
  <c r="I281" i="20"/>
  <c r="I273" i="20"/>
  <c r="I265" i="20"/>
  <c r="I257" i="20"/>
  <c r="I249" i="20"/>
  <c r="I241" i="20"/>
  <c r="I233" i="20"/>
  <c r="I225" i="20"/>
  <c r="I217" i="20"/>
  <c r="I209" i="20"/>
  <c r="I201" i="20"/>
  <c r="I193" i="20"/>
  <c r="I185" i="20"/>
  <c r="I177" i="20"/>
  <c r="I169" i="20"/>
  <c r="I161" i="20"/>
  <c r="I153" i="20"/>
  <c r="I145" i="20"/>
  <c r="I137" i="20"/>
  <c r="I129" i="20"/>
  <c r="I121" i="20"/>
  <c r="I113" i="20"/>
  <c r="I105" i="20"/>
  <c r="I97" i="20"/>
  <c r="I89" i="20"/>
  <c r="I81" i="20"/>
  <c r="I73" i="20"/>
  <c r="I65" i="20"/>
  <c r="I57" i="20"/>
  <c r="I49" i="20"/>
  <c r="I41" i="20"/>
  <c r="I33" i="20"/>
  <c r="I25" i="20"/>
  <c r="I17" i="20"/>
  <c r="I9" i="20"/>
  <c r="I989" i="20"/>
  <c r="I973" i="20"/>
  <c r="I957" i="20"/>
  <c r="I941" i="20"/>
  <c r="I925" i="20"/>
  <c r="I909" i="20"/>
  <c r="I893" i="20"/>
  <c r="I877" i="20"/>
  <c r="I861" i="20"/>
  <c r="I845" i="20"/>
  <c r="I829" i="20"/>
  <c r="I813" i="20"/>
  <c r="I797" i="20"/>
  <c r="I781" i="20"/>
  <c r="I765" i="20"/>
  <c r="I749" i="20"/>
  <c r="I733" i="20"/>
  <c r="I717" i="20"/>
  <c r="I701" i="20"/>
  <c r="I685" i="20"/>
  <c r="I669" i="20"/>
  <c r="I653" i="20"/>
  <c r="I637" i="20"/>
  <c r="I621" i="20"/>
  <c r="I605" i="20"/>
  <c r="I589" i="20"/>
  <c r="I573" i="20"/>
  <c r="I557" i="20"/>
  <c r="I541" i="20"/>
  <c r="I525" i="20"/>
  <c r="I509" i="20"/>
  <c r="I493" i="20"/>
  <c r="I477" i="20"/>
  <c r="I461" i="20"/>
  <c r="I445" i="20"/>
  <c r="I429" i="20"/>
  <c r="I413" i="20"/>
  <c r="I397" i="20"/>
  <c r="I381" i="20"/>
  <c r="I365" i="20"/>
  <c r="I349" i="20"/>
  <c r="I333" i="20"/>
  <c r="I317" i="20"/>
  <c r="I301" i="20"/>
  <c r="I285" i="20"/>
  <c r="I269" i="20"/>
  <c r="I253" i="20"/>
  <c r="I237" i="20"/>
  <c r="I221" i="20"/>
  <c r="I205" i="20"/>
  <c r="I189" i="20"/>
  <c r="I173" i="20"/>
  <c r="I157" i="20"/>
  <c r="I141" i="20"/>
  <c r="I125" i="20"/>
  <c r="I109" i="20"/>
  <c r="I93" i="20"/>
  <c r="I77" i="20"/>
  <c r="I61" i="20"/>
  <c r="I45" i="20"/>
  <c r="I29" i="20"/>
  <c r="I13" i="20"/>
  <c r="I997" i="20"/>
  <c r="I981" i="20"/>
  <c r="I965" i="20"/>
  <c r="I949" i="20"/>
  <c r="I933" i="20"/>
  <c r="I917" i="20"/>
  <c r="I901" i="20"/>
  <c r="I885" i="20"/>
  <c r="I869" i="20"/>
  <c r="I853" i="20"/>
  <c r="I837" i="20"/>
  <c r="I821" i="20"/>
  <c r="I805" i="20"/>
  <c r="I789" i="20"/>
  <c r="I773" i="20"/>
  <c r="I757" i="20"/>
  <c r="I741" i="20"/>
  <c r="I725" i="20"/>
  <c r="I709" i="20"/>
  <c r="I693" i="20"/>
  <c r="I677" i="20"/>
  <c r="I661" i="20"/>
  <c r="I645" i="20"/>
  <c r="I629" i="20"/>
  <c r="I613" i="20"/>
  <c r="I597" i="20"/>
  <c r="I581" i="20"/>
  <c r="I565" i="20"/>
  <c r="I549" i="20"/>
  <c r="I533" i="20"/>
  <c r="I517" i="20"/>
  <c r="I501" i="20"/>
  <c r="I485" i="20"/>
  <c r="I469" i="20"/>
  <c r="I453" i="20"/>
  <c r="I437" i="20"/>
  <c r="I421" i="20"/>
  <c r="I405" i="20"/>
  <c r="I389" i="20"/>
  <c r="I373" i="20"/>
  <c r="I357" i="20"/>
  <c r="I341" i="20"/>
  <c r="I325" i="20"/>
  <c r="I309" i="20"/>
  <c r="I293" i="20"/>
  <c r="I277" i="20"/>
  <c r="I261" i="20"/>
  <c r="I245" i="20"/>
  <c r="I229" i="20"/>
  <c r="I213" i="20"/>
  <c r="I197" i="20"/>
  <c r="I181" i="20"/>
  <c r="I165" i="20"/>
  <c r="I149" i="20"/>
  <c r="I133" i="20"/>
  <c r="I117" i="20"/>
  <c r="I101" i="20"/>
  <c r="I85" i="20"/>
  <c r="I69" i="20"/>
  <c r="I53" i="20"/>
  <c r="I37" i="20"/>
  <c r="I21" i="20"/>
  <c r="I5" i="20"/>
  <c r="I998" i="20"/>
  <c r="I966" i="20"/>
  <c r="I934" i="20"/>
  <c r="I902" i="20"/>
  <c r="I870" i="20"/>
  <c r="I838" i="20"/>
  <c r="I806" i="20"/>
  <c r="I774" i="20"/>
  <c r="I742" i="20"/>
  <c r="I710" i="20"/>
  <c r="I678" i="20"/>
  <c r="I646" i="20"/>
  <c r="I614" i="20"/>
  <c r="I582" i="20"/>
  <c r="I550" i="20"/>
  <c r="I518" i="20"/>
  <c r="I486" i="20"/>
  <c r="I454" i="20"/>
  <c r="I422" i="20"/>
  <c r="I390" i="20"/>
  <c r="I358" i="20"/>
  <c r="I326" i="20"/>
  <c r="I294" i="20"/>
  <c r="I262" i="20"/>
  <c r="I230" i="20"/>
  <c r="I198" i="20"/>
  <c r="I166" i="20"/>
  <c r="I134" i="20"/>
  <c r="I102" i="20"/>
  <c r="I70" i="20"/>
  <c r="I38" i="20"/>
  <c r="I6" i="20"/>
  <c r="I982" i="20"/>
  <c r="I950" i="20"/>
  <c r="I918" i="20"/>
  <c r="I886" i="20"/>
  <c r="I854" i="20"/>
  <c r="I822" i="20"/>
  <c r="I790" i="20"/>
  <c r="I758" i="20"/>
  <c r="I726" i="20"/>
  <c r="I694" i="20"/>
  <c r="I662" i="20"/>
  <c r="I630" i="20"/>
  <c r="I598" i="20"/>
  <c r="I566" i="20"/>
  <c r="I534" i="20"/>
  <c r="I502" i="20"/>
  <c r="I470" i="20"/>
  <c r="I438" i="20"/>
  <c r="I406" i="20"/>
  <c r="I374" i="20"/>
  <c r="I342" i="20"/>
  <c r="I310" i="20"/>
  <c r="I278" i="20"/>
  <c r="I246" i="20"/>
  <c r="I214" i="20"/>
  <c r="I182" i="20"/>
  <c r="I150" i="20"/>
  <c r="I118" i="20"/>
  <c r="I86" i="20"/>
  <c r="I54" i="20"/>
  <c r="I22" i="20"/>
  <c r="I942" i="20"/>
  <c r="I878" i="20"/>
  <c r="I814" i="20"/>
  <c r="I750" i="20"/>
  <c r="I686" i="20"/>
  <c r="I622" i="20"/>
  <c r="I558" i="20"/>
  <c r="I494" i="20"/>
  <c r="I430" i="20"/>
  <c r="I366" i="20"/>
  <c r="I302" i="20"/>
  <c r="I238" i="20"/>
  <c r="I174" i="20"/>
  <c r="I110" i="20"/>
  <c r="I46" i="20"/>
  <c r="I974" i="20"/>
  <c r="I910" i="20"/>
  <c r="I846" i="20"/>
  <c r="I782" i="20"/>
  <c r="I718" i="20"/>
  <c r="I654" i="20"/>
  <c r="I590" i="20"/>
  <c r="I526" i="20"/>
  <c r="I462" i="20"/>
  <c r="I398" i="20"/>
  <c r="I334" i="20"/>
  <c r="I270" i="20"/>
  <c r="I206" i="20"/>
  <c r="I142" i="20"/>
  <c r="I78" i="20"/>
  <c r="I14" i="20"/>
  <c r="I958" i="20"/>
  <c r="I830" i="20"/>
  <c r="I702" i="20"/>
  <c r="I574" i="20"/>
  <c r="I446" i="20"/>
  <c r="I318" i="20"/>
  <c r="I190" i="20"/>
  <c r="I62" i="20"/>
  <c r="I894" i="20"/>
  <c r="I766" i="20"/>
  <c r="I638" i="20"/>
  <c r="I510" i="20"/>
  <c r="I382" i="20"/>
  <c r="I254" i="20"/>
  <c r="I126" i="20"/>
  <c r="I990" i="20"/>
  <c r="I862" i="20"/>
  <c r="I734" i="20"/>
  <c r="I606" i="20"/>
  <c r="I478" i="20"/>
  <c r="I350" i="20"/>
  <c r="I222" i="20"/>
  <c r="I94" i="20"/>
  <c r="I798" i="20"/>
  <c r="I286" i="20"/>
  <c r="I926" i="20"/>
  <c r="I414" i="20"/>
  <c r="I670" i="20"/>
  <c r="I158" i="20"/>
  <c r="I542" i="20"/>
  <c r="I30" i="20"/>
  <c r="I1000" i="19"/>
  <c r="I996" i="19"/>
  <c r="I992" i="19"/>
  <c r="I988" i="19"/>
  <c r="I984" i="19"/>
  <c r="I980" i="19"/>
  <c r="I976" i="19"/>
  <c r="I972" i="19"/>
  <c r="I968" i="19"/>
  <c r="I964" i="19"/>
  <c r="I960" i="19"/>
  <c r="I956" i="19"/>
  <c r="I952" i="19"/>
  <c r="I948" i="19"/>
  <c r="I944" i="19"/>
  <c r="I940" i="19"/>
  <c r="I936" i="19"/>
  <c r="I932" i="19"/>
  <c r="I928" i="19"/>
  <c r="I924" i="19"/>
  <c r="I920" i="19"/>
  <c r="I916" i="19"/>
  <c r="I912" i="19"/>
  <c r="I908" i="19"/>
  <c r="I904" i="19"/>
  <c r="I900" i="19"/>
  <c r="I896" i="19"/>
  <c r="I892" i="19"/>
  <c r="I888" i="19"/>
  <c r="I884" i="19"/>
  <c r="I880" i="19"/>
  <c r="I876" i="19"/>
  <c r="I872" i="19"/>
  <c r="I868" i="19"/>
  <c r="I864" i="19"/>
  <c r="I860" i="19"/>
  <c r="I856" i="19"/>
  <c r="I852" i="19"/>
  <c r="I848" i="19"/>
  <c r="I844" i="19"/>
  <c r="I840" i="19"/>
  <c r="I836" i="19"/>
  <c r="I832" i="19"/>
  <c r="I828" i="19"/>
  <c r="I824" i="19"/>
  <c r="I820" i="19"/>
  <c r="I816" i="19"/>
  <c r="I812" i="19"/>
  <c r="I808" i="19"/>
  <c r="I804" i="19"/>
  <c r="I800" i="19"/>
  <c r="I796" i="19"/>
  <c r="I792" i="19"/>
  <c r="I788" i="19"/>
  <c r="I784" i="19"/>
  <c r="I780" i="19"/>
  <c r="I776" i="19"/>
  <c r="I772" i="19"/>
  <c r="I768" i="19"/>
  <c r="I764" i="19"/>
  <c r="I760" i="19"/>
  <c r="I756" i="19"/>
  <c r="I752" i="19"/>
  <c r="I748" i="19"/>
  <c r="I744" i="19"/>
  <c r="I740" i="19"/>
  <c r="I736" i="19"/>
  <c r="I732" i="19"/>
  <c r="I728" i="19"/>
  <c r="I724" i="19"/>
  <c r="I720" i="19"/>
  <c r="I716" i="19"/>
  <c r="I712" i="19"/>
  <c r="I708" i="19"/>
  <c r="I704" i="19"/>
  <c r="I700" i="19"/>
  <c r="I696" i="19"/>
  <c r="I692" i="19"/>
  <c r="I688" i="19"/>
  <c r="I684" i="19"/>
  <c r="I680" i="19"/>
  <c r="I676" i="19"/>
  <c r="I672" i="19"/>
  <c r="I668" i="19"/>
  <c r="I664" i="19"/>
  <c r="I660" i="19"/>
  <c r="I656" i="19"/>
  <c r="I652" i="19"/>
  <c r="I648" i="19"/>
  <c r="I644" i="19"/>
  <c r="I640" i="19"/>
  <c r="I636" i="19"/>
  <c r="I632" i="19"/>
  <c r="I628" i="19"/>
  <c r="I624" i="19"/>
  <c r="I620" i="19"/>
  <c r="I616" i="19"/>
  <c r="I612" i="19"/>
  <c r="I608" i="19"/>
  <c r="I604" i="19"/>
  <c r="I600" i="19"/>
  <c r="I596" i="19"/>
  <c r="I592" i="19"/>
  <c r="I588" i="19"/>
  <c r="I584" i="19"/>
  <c r="I580" i="19"/>
  <c r="I576" i="19"/>
  <c r="I572" i="19"/>
  <c r="I568" i="19"/>
  <c r="I564" i="19"/>
  <c r="I560" i="19"/>
  <c r="I556" i="19"/>
  <c r="I552" i="19"/>
  <c r="I548" i="19"/>
  <c r="I544" i="19"/>
  <c r="I540" i="19"/>
  <c r="I536" i="19"/>
  <c r="I532" i="19"/>
  <c r="I528" i="19"/>
  <c r="I524" i="19"/>
  <c r="I520" i="19"/>
  <c r="I516" i="19"/>
  <c r="I512" i="19"/>
  <c r="I508" i="19"/>
  <c r="I504" i="19"/>
  <c r="I500" i="19"/>
  <c r="I496" i="19"/>
  <c r="I492" i="19"/>
  <c r="I488" i="19"/>
  <c r="I484" i="19"/>
  <c r="I480" i="19"/>
  <c r="I476" i="19"/>
  <c r="I472" i="19"/>
  <c r="I468" i="19"/>
  <c r="I464" i="19"/>
  <c r="I460" i="19"/>
  <c r="I456" i="19"/>
  <c r="I452" i="19"/>
  <c r="I448" i="19"/>
  <c r="I444" i="19"/>
  <c r="I440" i="19"/>
  <c r="I436" i="19"/>
  <c r="I432" i="19"/>
  <c r="I428" i="19"/>
  <c r="I424" i="19"/>
  <c r="I420" i="19"/>
  <c r="I416" i="19"/>
  <c r="I412" i="19"/>
  <c r="I408" i="19"/>
  <c r="I404" i="19"/>
  <c r="I400" i="19"/>
  <c r="I396" i="19"/>
  <c r="I392" i="19"/>
  <c r="I388" i="19"/>
  <c r="I384" i="19"/>
  <c r="I380" i="19"/>
  <c r="I376" i="19"/>
  <c r="I372" i="19"/>
  <c r="I368" i="19"/>
  <c r="I364" i="19"/>
  <c r="I360" i="19"/>
  <c r="I356" i="19"/>
  <c r="I352" i="19"/>
  <c r="I348" i="19"/>
  <c r="I344" i="19"/>
  <c r="I340" i="19"/>
  <c r="I336" i="19"/>
  <c r="I332" i="19"/>
  <c r="I328" i="19"/>
  <c r="I324" i="19"/>
  <c r="I320" i="19"/>
  <c r="I316" i="19"/>
  <c r="I312" i="19"/>
  <c r="I308" i="19"/>
  <c r="I304" i="19"/>
  <c r="I300" i="19"/>
  <c r="I296" i="19"/>
  <c r="I292" i="19"/>
  <c r="I288" i="19"/>
  <c r="I284" i="19"/>
  <c r="I280" i="19"/>
  <c r="I276" i="19"/>
  <c r="I272" i="19"/>
  <c r="I268" i="19"/>
  <c r="I264" i="19"/>
  <c r="I260" i="19"/>
  <c r="I256" i="19"/>
  <c r="I252" i="19"/>
  <c r="I248" i="19"/>
  <c r="I244" i="19"/>
  <c r="I240" i="19"/>
  <c r="I236" i="19"/>
  <c r="I232" i="19"/>
  <c r="I228" i="19"/>
  <c r="I224" i="19"/>
  <c r="I220" i="19"/>
  <c r="I216" i="19"/>
  <c r="I212" i="19"/>
  <c r="I208" i="19"/>
  <c r="I204" i="19"/>
  <c r="I200" i="19"/>
  <c r="I196" i="19"/>
  <c r="I192" i="19"/>
  <c r="I188" i="19"/>
  <c r="I184" i="19"/>
  <c r="I180" i="19"/>
  <c r="I176" i="19"/>
  <c r="I172" i="19"/>
  <c r="I168" i="19"/>
  <c r="I164" i="19"/>
  <c r="I160" i="19"/>
  <c r="I156" i="19"/>
  <c r="I152" i="19"/>
  <c r="I148" i="19"/>
  <c r="I144" i="19"/>
  <c r="I140" i="19"/>
  <c r="I136" i="19"/>
  <c r="I132" i="19"/>
  <c r="I128" i="19"/>
  <c r="I124" i="19"/>
  <c r="I120" i="19"/>
  <c r="I116" i="19"/>
  <c r="I112" i="19"/>
  <c r="I108" i="19"/>
  <c r="I104" i="19"/>
  <c r="I100" i="19"/>
  <c r="I96" i="19"/>
  <c r="I92" i="19"/>
  <c r="I88" i="19"/>
  <c r="I84" i="19"/>
  <c r="I80" i="19"/>
  <c r="I76" i="19"/>
  <c r="I72" i="19"/>
  <c r="I68" i="19"/>
  <c r="I64" i="19"/>
  <c r="I60" i="19"/>
  <c r="I56" i="19"/>
  <c r="I52" i="19"/>
  <c r="I48" i="19"/>
  <c r="I44" i="19"/>
  <c r="I40" i="19"/>
  <c r="I36" i="19"/>
  <c r="I32" i="19"/>
  <c r="I28" i="19"/>
  <c r="I24" i="19"/>
  <c r="I20" i="19"/>
  <c r="I16" i="19"/>
  <c r="I12" i="19"/>
  <c r="I8" i="19"/>
  <c r="I4" i="19"/>
  <c r="I1" i="19"/>
  <c r="I999" i="19"/>
  <c r="I995" i="19"/>
  <c r="I991" i="19"/>
  <c r="I987" i="19"/>
  <c r="I983" i="19"/>
  <c r="I979" i="19"/>
  <c r="I975" i="19"/>
  <c r="I971" i="19"/>
  <c r="I967" i="19"/>
  <c r="I963" i="19"/>
  <c r="I959" i="19"/>
  <c r="I955" i="19"/>
  <c r="I951" i="19"/>
  <c r="I947" i="19"/>
  <c r="I943" i="19"/>
  <c r="I939" i="19"/>
  <c r="I935" i="19"/>
  <c r="I931" i="19"/>
  <c r="I927" i="19"/>
  <c r="I923" i="19"/>
  <c r="I919" i="19"/>
  <c r="I915" i="19"/>
  <c r="I911" i="19"/>
  <c r="I907" i="19"/>
  <c r="I903" i="19"/>
  <c r="I899" i="19"/>
  <c r="I895" i="19"/>
  <c r="I891" i="19"/>
  <c r="I887" i="19"/>
  <c r="I883" i="19"/>
  <c r="I879" i="19"/>
  <c r="I875" i="19"/>
  <c r="I871" i="19"/>
  <c r="I867" i="19"/>
  <c r="I863" i="19"/>
  <c r="I859" i="19"/>
  <c r="I855" i="19"/>
  <c r="I851" i="19"/>
  <c r="I847" i="19"/>
  <c r="I843" i="19"/>
  <c r="I839" i="19"/>
  <c r="I835" i="19"/>
  <c r="I831" i="19"/>
  <c r="I827" i="19"/>
  <c r="I823" i="19"/>
  <c r="I819" i="19"/>
  <c r="I815" i="19"/>
  <c r="I811" i="19"/>
  <c r="I807" i="19"/>
  <c r="I803" i="19"/>
  <c r="I799" i="19"/>
  <c r="I795" i="19"/>
  <c r="I791" i="19"/>
  <c r="I787" i="19"/>
  <c r="I783" i="19"/>
  <c r="I779" i="19"/>
  <c r="I775" i="19"/>
  <c r="I771" i="19"/>
  <c r="I767" i="19"/>
  <c r="I763" i="19"/>
  <c r="I759" i="19"/>
  <c r="I755" i="19"/>
  <c r="I751" i="19"/>
  <c r="I747" i="19"/>
  <c r="I743" i="19"/>
  <c r="I739" i="19"/>
  <c r="I735" i="19"/>
  <c r="I731" i="19"/>
  <c r="I727" i="19"/>
  <c r="I723" i="19"/>
  <c r="I719" i="19"/>
  <c r="I715" i="19"/>
  <c r="I711" i="19"/>
  <c r="I707" i="19"/>
  <c r="I703" i="19"/>
  <c r="I699" i="19"/>
  <c r="I695" i="19"/>
  <c r="I691" i="19"/>
  <c r="I687" i="19"/>
  <c r="I683" i="19"/>
  <c r="I679" i="19"/>
  <c r="I675" i="19"/>
  <c r="I671" i="19"/>
  <c r="I667" i="19"/>
  <c r="I663" i="19"/>
  <c r="I659" i="19"/>
  <c r="I655" i="19"/>
  <c r="I651" i="19"/>
  <c r="I647" i="19"/>
  <c r="I643" i="19"/>
  <c r="I639" i="19"/>
  <c r="I635" i="19"/>
  <c r="I631" i="19"/>
  <c r="I627" i="19"/>
  <c r="I623" i="19"/>
  <c r="I619" i="19"/>
  <c r="I615" i="19"/>
  <c r="I611" i="19"/>
  <c r="I607" i="19"/>
  <c r="I603" i="19"/>
  <c r="I599" i="19"/>
  <c r="I595" i="19"/>
  <c r="I591" i="19"/>
  <c r="I587" i="19"/>
  <c r="I583" i="19"/>
  <c r="I579" i="19"/>
  <c r="I575" i="19"/>
  <c r="I571" i="19"/>
  <c r="I567" i="19"/>
  <c r="I563" i="19"/>
  <c r="I559" i="19"/>
  <c r="I555" i="19"/>
  <c r="I551" i="19"/>
  <c r="I547" i="19"/>
  <c r="I543" i="19"/>
  <c r="I539" i="19"/>
  <c r="I535" i="19"/>
  <c r="I531" i="19"/>
  <c r="I527" i="19"/>
  <c r="I523" i="19"/>
  <c r="I519" i="19"/>
  <c r="I515" i="19"/>
  <c r="I511" i="19"/>
  <c r="I507" i="19"/>
  <c r="I503" i="19"/>
  <c r="I499" i="19"/>
  <c r="I495" i="19"/>
  <c r="I491" i="19"/>
  <c r="I487" i="19"/>
  <c r="I483" i="19"/>
  <c r="I479" i="19"/>
  <c r="I475" i="19"/>
  <c r="I471" i="19"/>
  <c r="I467" i="19"/>
  <c r="I463" i="19"/>
  <c r="I459" i="19"/>
  <c r="I455" i="19"/>
  <c r="I451" i="19"/>
  <c r="I447" i="19"/>
  <c r="I443" i="19"/>
  <c r="I439" i="19"/>
  <c r="I435" i="19"/>
  <c r="I431" i="19"/>
  <c r="I427" i="19"/>
  <c r="I423" i="19"/>
  <c r="I419" i="19"/>
  <c r="I415" i="19"/>
  <c r="I411" i="19"/>
  <c r="I407" i="19"/>
  <c r="I403" i="19"/>
  <c r="I399" i="19"/>
  <c r="I395" i="19"/>
  <c r="I391" i="19"/>
  <c r="I387" i="19"/>
  <c r="I383" i="19"/>
  <c r="I379" i="19"/>
  <c r="I375" i="19"/>
  <c r="I371" i="19"/>
  <c r="I367" i="19"/>
  <c r="I363" i="19"/>
  <c r="I359" i="19"/>
  <c r="I355" i="19"/>
  <c r="I351" i="19"/>
  <c r="I347" i="19"/>
  <c r="I343" i="19"/>
  <c r="I339" i="19"/>
  <c r="I335" i="19"/>
  <c r="I331" i="19"/>
  <c r="I327" i="19"/>
  <c r="I323" i="19"/>
  <c r="I319" i="19"/>
  <c r="I315" i="19"/>
  <c r="I311" i="19"/>
  <c r="I307" i="19"/>
  <c r="I303" i="19"/>
  <c r="I299" i="19"/>
  <c r="I295" i="19"/>
  <c r="I291" i="19"/>
  <c r="I287" i="19"/>
  <c r="I283" i="19"/>
  <c r="I279" i="19"/>
  <c r="I275" i="19"/>
  <c r="I271" i="19"/>
  <c r="I267" i="19"/>
  <c r="I263" i="19"/>
  <c r="I259" i="19"/>
  <c r="I255" i="19"/>
  <c r="I251" i="19"/>
  <c r="I247" i="19"/>
  <c r="I243" i="19"/>
  <c r="I239" i="19"/>
  <c r="I235" i="19"/>
  <c r="I231" i="19"/>
  <c r="I227" i="19"/>
  <c r="I223" i="19"/>
  <c r="I219" i="19"/>
  <c r="I215" i="19"/>
  <c r="I211" i="19"/>
  <c r="I207" i="19"/>
  <c r="I203" i="19"/>
  <c r="I199" i="19"/>
  <c r="I195" i="19"/>
  <c r="I191" i="19"/>
  <c r="I187" i="19"/>
  <c r="I183" i="19"/>
  <c r="I179" i="19"/>
  <c r="I175" i="19"/>
  <c r="I171" i="19"/>
  <c r="I167" i="19"/>
  <c r="I163" i="19"/>
  <c r="I159" i="19"/>
  <c r="I155" i="19"/>
  <c r="I151" i="19"/>
  <c r="I147" i="19"/>
  <c r="I143" i="19"/>
  <c r="I139" i="19"/>
  <c r="I135" i="19"/>
  <c r="I131" i="19"/>
  <c r="I127" i="19"/>
  <c r="I123" i="19"/>
  <c r="I119" i="19"/>
  <c r="I115" i="19"/>
  <c r="I111" i="19"/>
  <c r="I107" i="19"/>
  <c r="I103" i="19"/>
  <c r="I99" i="19"/>
  <c r="I95" i="19"/>
  <c r="I91" i="19"/>
  <c r="I87" i="19"/>
  <c r="I83" i="19"/>
  <c r="I79" i="19"/>
  <c r="I75" i="19"/>
  <c r="I71" i="19"/>
  <c r="I67" i="19"/>
  <c r="I63" i="19"/>
  <c r="I59" i="19"/>
  <c r="I55" i="19"/>
  <c r="I51" i="19"/>
  <c r="I47" i="19"/>
  <c r="I43" i="19"/>
  <c r="I39" i="19"/>
  <c r="I35" i="19"/>
  <c r="I31" i="19"/>
  <c r="I27" i="19"/>
  <c r="I23" i="19"/>
  <c r="I19" i="19"/>
  <c r="I15" i="19"/>
  <c r="I11" i="19"/>
  <c r="I7" i="19"/>
  <c r="I3" i="19"/>
  <c r="I997" i="19"/>
  <c r="I989" i="19"/>
  <c r="I981" i="19"/>
  <c r="I973" i="19"/>
  <c r="I965" i="19"/>
  <c r="I957" i="19"/>
  <c r="I949" i="19"/>
  <c r="I941" i="19"/>
  <c r="I933" i="19"/>
  <c r="I925" i="19"/>
  <c r="I917" i="19"/>
  <c r="I909" i="19"/>
  <c r="I901" i="19"/>
  <c r="I893" i="19"/>
  <c r="I885" i="19"/>
  <c r="I877" i="19"/>
  <c r="I869" i="19"/>
  <c r="I861" i="19"/>
  <c r="I853" i="19"/>
  <c r="I845" i="19"/>
  <c r="I837" i="19"/>
  <c r="I829" i="19"/>
  <c r="I821" i="19"/>
  <c r="I813" i="19"/>
  <c r="I805" i="19"/>
  <c r="I797" i="19"/>
  <c r="I789" i="19"/>
  <c r="I781" i="19"/>
  <c r="I773" i="19"/>
  <c r="I765" i="19"/>
  <c r="I757" i="19"/>
  <c r="I749" i="19"/>
  <c r="I741" i="19"/>
  <c r="I733" i="19"/>
  <c r="I725" i="19"/>
  <c r="I717" i="19"/>
  <c r="I709" i="19"/>
  <c r="I701" i="19"/>
  <c r="I693" i="19"/>
  <c r="I685" i="19"/>
  <c r="I677" i="19"/>
  <c r="I669" i="19"/>
  <c r="I661" i="19"/>
  <c r="I653" i="19"/>
  <c r="I645" i="19"/>
  <c r="I637" i="19"/>
  <c r="I629" i="19"/>
  <c r="I621" i="19"/>
  <c r="I613" i="19"/>
  <c r="I605" i="19"/>
  <c r="I597" i="19"/>
  <c r="I589" i="19"/>
  <c r="I581" i="19"/>
  <c r="I573" i="19"/>
  <c r="I565" i="19"/>
  <c r="I557" i="19"/>
  <c r="I549" i="19"/>
  <c r="I541" i="19"/>
  <c r="I533" i="19"/>
  <c r="I525" i="19"/>
  <c r="I517" i="19"/>
  <c r="I509" i="19"/>
  <c r="I501" i="19"/>
  <c r="I493" i="19"/>
  <c r="I485" i="19"/>
  <c r="I477" i="19"/>
  <c r="I469" i="19"/>
  <c r="I461" i="19"/>
  <c r="I453" i="19"/>
  <c r="I445" i="19"/>
  <c r="I437" i="19"/>
  <c r="I429" i="19"/>
  <c r="I421" i="19"/>
  <c r="I413" i="19"/>
  <c r="I405" i="19"/>
  <c r="I397" i="19"/>
  <c r="I389" i="19"/>
  <c r="I381" i="19"/>
  <c r="I373" i="19"/>
  <c r="I365" i="19"/>
  <c r="I357" i="19"/>
  <c r="I349" i="19"/>
  <c r="I341" i="19"/>
  <c r="I333" i="19"/>
  <c r="I325" i="19"/>
  <c r="I317" i="19"/>
  <c r="I309" i="19"/>
  <c r="I301" i="19"/>
  <c r="I293" i="19"/>
  <c r="I285" i="19"/>
  <c r="I277" i="19"/>
  <c r="I269" i="19"/>
  <c r="I261" i="19"/>
  <c r="I253" i="19"/>
  <c r="I245" i="19"/>
  <c r="I237" i="19"/>
  <c r="I229" i="19"/>
  <c r="I221" i="19"/>
  <c r="I213" i="19"/>
  <c r="I205" i="19"/>
  <c r="I197" i="19"/>
  <c r="I189" i="19"/>
  <c r="I181" i="19"/>
  <c r="I173" i="19"/>
  <c r="I165" i="19"/>
  <c r="I157" i="19"/>
  <c r="I149" i="19"/>
  <c r="I141" i="19"/>
  <c r="I133" i="19"/>
  <c r="I125" i="19"/>
  <c r="I117" i="19"/>
  <c r="I109" i="19"/>
  <c r="I101" i="19"/>
  <c r="I93" i="19"/>
  <c r="I85" i="19"/>
  <c r="I77" i="19"/>
  <c r="I69" i="19"/>
  <c r="I61" i="19"/>
  <c r="I53" i="19"/>
  <c r="I45" i="19"/>
  <c r="I37" i="19"/>
  <c r="I29" i="19"/>
  <c r="I21" i="19"/>
  <c r="I13" i="19"/>
  <c r="I5" i="19"/>
  <c r="I993" i="19"/>
  <c r="I985" i="19"/>
  <c r="I977" i="19"/>
  <c r="I969" i="19"/>
  <c r="I961" i="19"/>
  <c r="I953" i="19"/>
  <c r="I945" i="19"/>
  <c r="I937" i="19"/>
  <c r="I929" i="19"/>
  <c r="I921" i="19"/>
  <c r="I913" i="19"/>
  <c r="I905" i="19"/>
  <c r="I897" i="19"/>
  <c r="I889" i="19"/>
  <c r="I881" i="19"/>
  <c r="I873" i="19"/>
  <c r="I865" i="19"/>
  <c r="I857" i="19"/>
  <c r="I849" i="19"/>
  <c r="I841" i="19"/>
  <c r="I833" i="19"/>
  <c r="I825" i="19"/>
  <c r="I817" i="19"/>
  <c r="I809" i="19"/>
  <c r="I801" i="19"/>
  <c r="I793" i="19"/>
  <c r="I785" i="19"/>
  <c r="I777" i="19"/>
  <c r="I769" i="19"/>
  <c r="I761" i="19"/>
  <c r="I753" i="19"/>
  <c r="I745" i="19"/>
  <c r="I737" i="19"/>
  <c r="I729" i="19"/>
  <c r="I721" i="19"/>
  <c r="I713" i="19"/>
  <c r="I705" i="19"/>
  <c r="I697" i="19"/>
  <c r="I689" i="19"/>
  <c r="I681" i="19"/>
  <c r="I673" i="19"/>
  <c r="I665" i="19"/>
  <c r="I657" i="19"/>
  <c r="I649" i="19"/>
  <c r="I641" i="19"/>
  <c r="I633" i="19"/>
  <c r="I625" i="19"/>
  <c r="I617" i="19"/>
  <c r="I609" i="19"/>
  <c r="I601" i="19"/>
  <c r="I593" i="19"/>
  <c r="I585" i="19"/>
  <c r="I577" i="19"/>
  <c r="I569" i="19"/>
  <c r="I561" i="19"/>
  <c r="I553" i="19"/>
  <c r="I545" i="19"/>
  <c r="I537" i="19"/>
  <c r="I529" i="19"/>
  <c r="I521" i="19"/>
  <c r="I513" i="19"/>
  <c r="I505" i="19"/>
  <c r="I497" i="19"/>
  <c r="I489" i="19"/>
  <c r="I481" i="19"/>
  <c r="I473" i="19"/>
  <c r="I465" i="19"/>
  <c r="I457" i="19"/>
  <c r="I449" i="19"/>
  <c r="I441" i="19"/>
  <c r="I433" i="19"/>
  <c r="I425" i="19"/>
  <c r="I417" i="19"/>
  <c r="I409" i="19"/>
  <c r="I401" i="19"/>
  <c r="I393" i="19"/>
  <c r="I385" i="19"/>
  <c r="I377" i="19"/>
  <c r="I369" i="19"/>
  <c r="I361" i="19"/>
  <c r="I353" i="19"/>
  <c r="I345" i="19"/>
  <c r="I337" i="19"/>
  <c r="I329" i="19"/>
  <c r="I321" i="19"/>
  <c r="I313" i="19"/>
  <c r="I305" i="19"/>
  <c r="I297" i="19"/>
  <c r="I289" i="19"/>
  <c r="I281" i="19"/>
  <c r="I273" i="19"/>
  <c r="I265" i="19"/>
  <c r="I257" i="19"/>
  <c r="I249" i="19"/>
  <c r="I241" i="19"/>
  <c r="I233" i="19"/>
  <c r="I225" i="19"/>
  <c r="I217" i="19"/>
  <c r="I209" i="19"/>
  <c r="I201" i="19"/>
  <c r="I193" i="19"/>
  <c r="I185" i="19"/>
  <c r="I177" i="19"/>
  <c r="I169" i="19"/>
  <c r="I161" i="19"/>
  <c r="I153" i="19"/>
  <c r="I145" i="19"/>
  <c r="I137" i="19"/>
  <c r="I129" i="19"/>
  <c r="I121" i="19"/>
  <c r="I113" i="19"/>
  <c r="I105" i="19"/>
  <c r="I97" i="19"/>
  <c r="I89" i="19"/>
  <c r="I81" i="19"/>
  <c r="I73" i="19"/>
  <c r="I65" i="19"/>
  <c r="I57" i="19"/>
  <c r="I49" i="19"/>
  <c r="I41" i="19"/>
  <c r="I33" i="19"/>
  <c r="I25" i="19"/>
  <c r="I17" i="19"/>
  <c r="I9" i="19"/>
  <c r="I986" i="19"/>
  <c r="I970" i="19"/>
  <c r="I954" i="19"/>
  <c r="I938" i="19"/>
  <c r="I922" i="19"/>
  <c r="I906" i="19"/>
  <c r="I890" i="19"/>
  <c r="I874" i="19"/>
  <c r="I858" i="19"/>
  <c r="I842" i="19"/>
  <c r="I826" i="19"/>
  <c r="I810" i="19"/>
  <c r="I794" i="19"/>
  <c r="I778" i="19"/>
  <c r="I762" i="19"/>
  <c r="I746" i="19"/>
  <c r="I730" i="19"/>
  <c r="I714" i="19"/>
  <c r="I698" i="19"/>
  <c r="I682" i="19"/>
  <c r="I666" i="19"/>
  <c r="I650" i="19"/>
  <c r="I634" i="19"/>
  <c r="I618" i="19"/>
  <c r="I602" i="19"/>
  <c r="I586" i="19"/>
  <c r="I570" i="19"/>
  <c r="I554" i="19"/>
  <c r="I538" i="19"/>
  <c r="I522" i="19"/>
  <c r="I506" i="19"/>
  <c r="I490" i="19"/>
  <c r="I474" i="19"/>
  <c r="I458" i="19"/>
  <c r="I442" i="19"/>
  <c r="I426" i="19"/>
  <c r="I410" i="19"/>
  <c r="I394" i="19"/>
  <c r="I378" i="19"/>
  <c r="I362" i="19"/>
  <c r="I346" i="19"/>
  <c r="I330" i="19"/>
  <c r="I314" i="19"/>
  <c r="I298" i="19"/>
  <c r="I282" i="19"/>
  <c r="I266" i="19"/>
  <c r="I250" i="19"/>
  <c r="I234" i="19"/>
  <c r="I218" i="19"/>
  <c r="I202" i="19"/>
  <c r="I186" i="19"/>
  <c r="I170" i="19"/>
  <c r="I154" i="19"/>
  <c r="I138" i="19"/>
  <c r="I122" i="19"/>
  <c r="I106" i="19"/>
  <c r="I90" i="19"/>
  <c r="I74" i="19"/>
  <c r="I58" i="19"/>
  <c r="I42" i="19"/>
  <c r="I26" i="19"/>
  <c r="I10" i="19"/>
  <c r="I994" i="19"/>
  <c r="I978" i="19"/>
  <c r="I962" i="19"/>
  <c r="I946" i="19"/>
  <c r="I930" i="19"/>
  <c r="I914" i="19"/>
  <c r="I898" i="19"/>
  <c r="I882" i="19"/>
  <c r="I866" i="19"/>
  <c r="I850" i="19"/>
  <c r="I834" i="19"/>
  <c r="I818" i="19"/>
  <c r="I802" i="19"/>
  <c r="I786" i="19"/>
  <c r="I770" i="19"/>
  <c r="I754" i="19"/>
  <c r="I738" i="19"/>
  <c r="I722" i="19"/>
  <c r="I706" i="19"/>
  <c r="I690" i="19"/>
  <c r="I674" i="19"/>
  <c r="I658" i="19"/>
  <c r="I642" i="19"/>
  <c r="I626" i="19"/>
  <c r="I610" i="19"/>
  <c r="I594" i="19"/>
  <c r="I578" i="19"/>
  <c r="I562" i="19"/>
  <c r="I546" i="19"/>
  <c r="I530" i="19"/>
  <c r="I514" i="19"/>
  <c r="I498" i="19"/>
  <c r="I482" i="19"/>
  <c r="I466" i="19"/>
  <c r="I450" i="19"/>
  <c r="I434" i="19"/>
  <c r="I418" i="19"/>
  <c r="I402" i="19"/>
  <c r="I386" i="19"/>
  <c r="I370" i="19"/>
  <c r="I354" i="19"/>
  <c r="I338" i="19"/>
  <c r="I322" i="19"/>
  <c r="I306" i="19"/>
  <c r="I290" i="19"/>
  <c r="I274" i="19"/>
  <c r="I258" i="19"/>
  <c r="I242" i="19"/>
  <c r="I226" i="19"/>
  <c r="I210" i="19"/>
  <c r="I194" i="19"/>
  <c r="I178" i="19"/>
  <c r="I162" i="19"/>
  <c r="I146" i="19"/>
  <c r="I130" i="19"/>
  <c r="I114" i="19"/>
  <c r="I98" i="19"/>
  <c r="I82" i="19"/>
  <c r="I66" i="19"/>
  <c r="I50" i="19"/>
  <c r="I34" i="19"/>
  <c r="I18" i="19"/>
  <c r="I2" i="19"/>
  <c r="I990" i="19"/>
  <c r="I958" i="19"/>
  <c r="I926" i="19"/>
  <c r="I894" i="19"/>
  <c r="I862" i="19"/>
  <c r="I830" i="19"/>
  <c r="I798" i="19"/>
  <c r="I766" i="19"/>
  <c r="I734" i="19"/>
  <c r="I702" i="19"/>
  <c r="I670" i="19"/>
  <c r="I638" i="19"/>
  <c r="I606" i="19"/>
  <c r="I574" i="19"/>
  <c r="I542" i="19"/>
  <c r="I510" i="19"/>
  <c r="I478" i="19"/>
  <c r="I446" i="19"/>
  <c r="I414" i="19"/>
  <c r="I382" i="19"/>
  <c r="I350" i="19"/>
  <c r="I318" i="19"/>
  <c r="I286" i="19"/>
  <c r="I254" i="19"/>
  <c r="I222" i="19"/>
  <c r="I190" i="19"/>
  <c r="I158" i="19"/>
  <c r="I126" i="19"/>
  <c r="I94" i="19"/>
  <c r="I62" i="19"/>
  <c r="I30" i="19"/>
  <c r="I974" i="19"/>
  <c r="I942" i="19"/>
  <c r="I910" i="19"/>
  <c r="I878" i="19"/>
  <c r="I846" i="19"/>
  <c r="I814" i="19"/>
  <c r="I782" i="19"/>
  <c r="I750" i="19"/>
  <c r="I718" i="19"/>
  <c r="I686" i="19"/>
  <c r="I654" i="19"/>
  <c r="I622" i="19"/>
  <c r="I590" i="19"/>
  <c r="I558" i="19"/>
  <c r="I526" i="19"/>
  <c r="I494" i="19"/>
  <c r="I462" i="19"/>
  <c r="I430" i="19"/>
  <c r="I398" i="19"/>
  <c r="I366" i="19"/>
  <c r="I334" i="19"/>
  <c r="I302" i="19"/>
  <c r="I270" i="19"/>
  <c r="I238" i="19"/>
  <c r="I206" i="19"/>
  <c r="I174" i="19"/>
  <c r="I142" i="19"/>
  <c r="I110" i="19"/>
  <c r="I78" i="19"/>
  <c r="I46" i="19"/>
  <c r="I14" i="19"/>
  <c r="I998" i="19"/>
  <c r="I934" i="19"/>
  <c r="I870" i="19"/>
  <c r="I806" i="19"/>
  <c r="I742" i="19"/>
  <c r="I678" i="19"/>
  <c r="I614" i="19"/>
  <c r="I550" i="19"/>
  <c r="I486" i="19"/>
  <c r="I422" i="19"/>
  <c r="I358" i="19"/>
  <c r="I294" i="19"/>
  <c r="I230" i="19"/>
  <c r="I166" i="19"/>
  <c r="I102" i="19"/>
  <c r="I38" i="19"/>
  <c r="I966" i="19"/>
  <c r="I902" i="19"/>
  <c r="I838" i="19"/>
  <c r="I774" i="19"/>
  <c r="I710" i="19"/>
  <c r="I646" i="19"/>
  <c r="I582" i="19"/>
  <c r="I518" i="19"/>
  <c r="I454" i="19"/>
  <c r="I390" i="19"/>
  <c r="I326" i="19"/>
  <c r="I262" i="19"/>
  <c r="I198" i="19"/>
  <c r="I134" i="19"/>
  <c r="I70" i="19"/>
  <c r="I6" i="19"/>
  <c r="I950" i="19"/>
  <c r="I886" i="19"/>
  <c r="I822" i="19"/>
  <c r="I758" i="19"/>
  <c r="I694" i="19"/>
  <c r="I630" i="19"/>
  <c r="I566" i="19"/>
  <c r="I502" i="19"/>
  <c r="I438" i="19"/>
  <c r="I374" i="19"/>
  <c r="I310" i="19"/>
  <c r="I246" i="19"/>
  <c r="I182" i="19"/>
  <c r="I118" i="19"/>
  <c r="I54" i="19"/>
  <c r="I918" i="19"/>
  <c r="I662" i="19"/>
  <c r="I406" i="19"/>
  <c r="I150" i="19"/>
  <c r="I982" i="19"/>
  <c r="I726" i="19"/>
  <c r="I470" i="19"/>
  <c r="I214" i="19"/>
  <c r="I854" i="19"/>
  <c r="I598" i="19"/>
  <c r="I342" i="19"/>
  <c r="I86" i="19"/>
  <c r="I790" i="19"/>
  <c r="I534" i="19"/>
  <c r="I278" i="19"/>
  <c r="I22" i="19"/>
  <c r="I1000" i="14"/>
  <c r="I996" i="14"/>
  <c r="I992" i="14"/>
  <c r="I988" i="14"/>
  <c r="I984" i="14"/>
  <c r="I980" i="14"/>
  <c r="I976" i="14"/>
  <c r="I972" i="14"/>
  <c r="I968" i="14"/>
  <c r="I964" i="14"/>
  <c r="I960" i="14"/>
  <c r="I956" i="14"/>
  <c r="I952" i="14"/>
  <c r="I948" i="14"/>
  <c r="I944" i="14"/>
  <c r="I940" i="14"/>
  <c r="I936" i="14"/>
  <c r="I932" i="14"/>
  <c r="I928" i="14"/>
  <c r="I924" i="14"/>
  <c r="I920" i="14"/>
  <c r="I916" i="14"/>
  <c r="I912" i="14"/>
  <c r="I908" i="14"/>
  <c r="I904" i="14"/>
  <c r="I900" i="14"/>
  <c r="I896" i="14"/>
  <c r="I892" i="14"/>
  <c r="I888" i="14"/>
  <c r="I884" i="14"/>
  <c r="I880" i="14"/>
  <c r="I876" i="14"/>
  <c r="I872" i="14"/>
  <c r="I868" i="14"/>
  <c r="I864" i="14"/>
  <c r="I860" i="14"/>
  <c r="I856" i="14"/>
  <c r="I852" i="14"/>
  <c r="I848" i="14"/>
  <c r="I844" i="14"/>
  <c r="I840" i="14"/>
  <c r="I836" i="14"/>
  <c r="I832" i="14"/>
  <c r="I828" i="14"/>
  <c r="I824" i="14"/>
  <c r="I820" i="14"/>
  <c r="I816" i="14"/>
  <c r="I812" i="14"/>
  <c r="I808" i="14"/>
  <c r="I804" i="14"/>
  <c r="I800" i="14"/>
  <c r="I796" i="14"/>
  <c r="I792" i="14"/>
  <c r="I788" i="14"/>
  <c r="I784" i="14"/>
  <c r="I780" i="14"/>
  <c r="I776" i="14"/>
  <c r="I772" i="14"/>
  <c r="I768" i="14"/>
  <c r="I764" i="14"/>
  <c r="I760" i="14"/>
  <c r="I756" i="14"/>
  <c r="I752" i="14"/>
  <c r="I748" i="14"/>
  <c r="I744" i="14"/>
  <c r="I740" i="14"/>
  <c r="I736" i="14"/>
  <c r="I732" i="14"/>
  <c r="I728" i="14"/>
  <c r="I724" i="14"/>
  <c r="I720" i="14"/>
  <c r="I716" i="14"/>
  <c r="I712" i="14"/>
  <c r="I708" i="14"/>
  <c r="I704" i="14"/>
  <c r="I700" i="14"/>
  <c r="I696" i="14"/>
  <c r="I692" i="14"/>
  <c r="I688" i="14"/>
  <c r="I684" i="14"/>
  <c r="I680" i="14"/>
  <c r="I676" i="14"/>
  <c r="I672" i="14"/>
  <c r="I668" i="14"/>
  <c r="I664" i="14"/>
  <c r="I660" i="14"/>
  <c r="I656" i="14"/>
  <c r="I652" i="14"/>
  <c r="I648" i="14"/>
  <c r="I644" i="14"/>
  <c r="I640" i="14"/>
  <c r="I636" i="14"/>
  <c r="I632" i="14"/>
  <c r="I628" i="14"/>
  <c r="I624" i="14"/>
  <c r="I620" i="14"/>
  <c r="I616" i="14"/>
  <c r="I612" i="14"/>
  <c r="I608" i="14"/>
  <c r="I604" i="14"/>
  <c r="I600" i="14"/>
  <c r="I596" i="14"/>
  <c r="I592" i="14"/>
  <c r="I588" i="14"/>
  <c r="I584" i="14"/>
  <c r="I580" i="14"/>
  <c r="I576" i="14"/>
  <c r="I572" i="14"/>
  <c r="I568" i="14"/>
  <c r="I564" i="14"/>
  <c r="I560" i="14"/>
  <c r="I556" i="14"/>
  <c r="I552" i="14"/>
  <c r="I548" i="14"/>
  <c r="I544" i="14"/>
  <c r="I540" i="14"/>
  <c r="I536" i="14"/>
  <c r="I532" i="14"/>
  <c r="I528" i="14"/>
  <c r="I524" i="14"/>
  <c r="I520" i="14"/>
  <c r="I516" i="14"/>
  <c r="I512" i="14"/>
  <c r="I508" i="14"/>
  <c r="I504" i="14"/>
  <c r="I500" i="14"/>
  <c r="I496" i="14"/>
  <c r="I492" i="14"/>
  <c r="I488" i="14"/>
  <c r="I484" i="14"/>
  <c r="I480" i="14"/>
  <c r="I476" i="14"/>
  <c r="I472" i="14"/>
  <c r="I468" i="14"/>
  <c r="I464" i="14"/>
  <c r="I460" i="14"/>
  <c r="I456" i="14"/>
  <c r="I452" i="14"/>
  <c r="I448" i="14"/>
  <c r="I444" i="14"/>
  <c r="I440" i="14"/>
  <c r="I436" i="14"/>
  <c r="I432" i="14"/>
  <c r="I428" i="14"/>
  <c r="I424" i="14"/>
  <c r="I420" i="14"/>
  <c r="I416" i="14"/>
  <c r="I412" i="14"/>
  <c r="I408" i="14"/>
  <c r="I404" i="14"/>
  <c r="I400" i="14"/>
  <c r="I396" i="14"/>
  <c r="I392" i="14"/>
  <c r="I388" i="14"/>
  <c r="I384" i="14"/>
  <c r="I380" i="14"/>
  <c r="I376" i="14"/>
  <c r="I372" i="14"/>
  <c r="I368" i="14"/>
  <c r="I364" i="14"/>
  <c r="I360" i="14"/>
  <c r="I356" i="14"/>
  <c r="I352" i="14"/>
  <c r="I348" i="14"/>
  <c r="I344" i="14"/>
  <c r="I340" i="14"/>
  <c r="I336" i="14"/>
  <c r="I332" i="14"/>
  <c r="I328" i="14"/>
  <c r="I324" i="14"/>
  <c r="I320" i="14"/>
  <c r="I316" i="14"/>
  <c r="I312" i="14"/>
  <c r="I308" i="14"/>
  <c r="I304" i="14"/>
  <c r="I300" i="14"/>
  <c r="I296" i="14"/>
  <c r="I292" i="14"/>
  <c r="I288" i="14"/>
  <c r="I284" i="14"/>
  <c r="I280" i="14"/>
  <c r="I276" i="14"/>
  <c r="I272" i="14"/>
  <c r="I268" i="14"/>
  <c r="I264" i="14"/>
  <c r="I260" i="14"/>
  <c r="I256" i="14"/>
  <c r="I252" i="14"/>
  <c r="I248" i="14"/>
  <c r="I244" i="14"/>
  <c r="I240" i="14"/>
  <c r="I236" i="14"/>
  <c r="I232" i="14"/>
  <c r="I228" i="14"/>
  <c r="I224" i="14"/>
  <c r="I220" i="14"/>
  <c r="I216" i="14"/>
  <c r="I212" i="14"/>
  <c r="I208" i="14"/>
  <c r="I204" i="14"/>
  <c r="I200" i="14"/>
  <c r="I196" i="14"/>
  <c r="I192" i="14"/>
  <c r="I188" i="14"/>
  <c r="I184" i="14"/>
  <c r="I180" i="14"/>
  <c r="I176" i="14"/>
  <c r="I172" i="14"/>
  <c r="I168" i="14"/>
  <c r="I164" i="14"/>
  <c r="I160" i="14"/>
  <c r="I156" i="14"/>
  <c r="I152" i="14"/>
  <c r="I148" i="14"/>
  <c r="I144" i="14"/>
  <c r="I140" i="14"/>
  <c r="I136" i="14"/>
  <c r="I132" i="14"/>
  <c r="I128" i="14"/>
  <c r="I124" i="14"/>
  <c r="I120" i="14"/>
  <c r="I116" i="14"/>
  <c r="I112" i="14"/>
  <c r="I108" i="14"/>
  <c r="I104" i="14"/>
  <c r="I100" i="14"/>
  <c r="I96" i="14"/>
  <c r="I92" i="14"/>
  <c r="I88" i="14"/>
  <c r="I84" i="14"/>
  <c r="I80" i="14"/>
  <c r="I76" i="14"/>
  <c r="I72" i="14"/>
  <c r="I68" i="14"/>
  <c r="I64" i="14"/>
  <c r="I60" i="14"/>
  <c r="I56" i="14"/>
  <c r="I52" i="14"/>
  <c r="I48" i="14"/>
  <c r="I44" i="14"/>
  <c r="I40" i="14"/>
  <c r="I36" i="14"/>
  <c r="I32" i="14"/>
  <c r="I28" i="14"/>
  <c r="I24" i="14"/>
  <c r="I20" i="14"/>
  <c r="I16" i="14"/>
  <c r="I12" i="14"/>
  <c r="I8" i="14"/>
  <c r="I4" i="14"/>
  <c r="I1" i="14"/>
  <c r="I999" i="14"/>
  <c r="I995" i="14"/>
  <c r="I991" i="14"/>
  <c r="I987" i="14"/>
  <c r="I983" i="14"/>
  <c r="I979" i="14"/>
  <c r="I975" i="14"/>
  <c r="I971" i="14"/>
  <c r="I967" i="14"/>
  <c r="I963" i="14"/>
  <c r="I959" i="14"/>
  <c r="I955" i="14"/>
  <c r="I951" i="14"/>
  <c r="I947" i="14"/>
  <c r="I943" i="14"/>
  <c r="I939" i="14"/>
  <c r="I935" i="14"/>
  <c r="I931" i="14"/>
  <c r="I927" i="14"/>
  <c r="I923" i="14"/>
  <c r="I919" i="14"/>
  <c r="I915" i="14"/>
  <c r="I911" i="14"/>
  <c r="I907" i="14"/>
  <c r="I903" i="14"/>
  <c r="I899" i="14"/>
  <c r="I895" i="14"/>
  <c r="I891" i="14"/>
  <c r="I887" i="14"/>
  <c r="I883" i="14"/>
  <c r="I879" i="14"/>
  <c r="I875" i="14"/>
  <c r="I871" i="14"/>
  <c r="I867" i="14"/>
  <c r="I863" i="14"/>
  <c r="I859" i="14"/>
  <c r="I855" i="14"/>
  <c r="I851" i="14"/>
  <c r="I847" i="14"/>
  <c r="I843" i="14"/>
  <c r="I839" i="14"/>
  <c r="I835" i="14"/>
  <c r="I831" i="14"/>
  <c r="I827" i="14"/>
  <c r="I823" i="14"/>
  <c r="I819" i="14"/>
  <c r="I815" i="14"/>
  <c r="I811" i="14"/>
  <c r="I807" i="14"/>
  <c r="I803" i="14"/>
  <c r="I799" i="14"/>
  <c r="I795" i="14"/>
  <c r="I791" i="14"/>
  <c r="I787" i="14"/>
  <c r="I783" i="14"/>
  <c r="I779" i="14"/>
  <c r="I775" i="14"/>
  <c r="I771" i="14"/>
  <c r="I767" i="14"/>
  <c r="I763" i="14"/>
  <c r="I759" i="14"/>
  <c r="I755" i="14"/>
  <c r="I751" i="14"/>
  <c r="I747" i="14"/>
  <c r="I743" i="14"/>
  <c r="I739" i="14"/>
  <c r="I735" i="14"/>
  <c r="I731" i="14"/>
  <c r="I727" i="14"/>
  <c r="I723" i="14"/>
  <c r="I719" i="14"/>
  <c r="I715" i="14"/>
  <c r="I711" i="14"/>
  <c r="I707" i="14"/>
  <c r="I703" i="14"/>
  <c r="I699" i="14"/>
  <c r="I695" i="14"/>
  <c r="I691" i="14"/>
  <c r="I687" i="14"/>
  <c r="I683" i="14"/>
  <c r="I679" i="14"/>
  <c r="I675" i="14"/>
  <c r="I671" i="14"/>
  <c r="I667" i="14"/>
  <c r="I663" i="14"/>
  <c r="I659" i="14"/>
  <c r="I655" i="14"/>
  <c r="I651" i="14"/>
  <c r="I647" i="14"/>
  <c r="I643" i="14"/>
  <c r="I639" i="14"/>
  <c r="I635" i="14"/>
  <c r="I631" i="14"/>
  <c r="I627" i="14"/>
  <c r="I623" i="14"/>
  <c r="I619" i="14"/>
  <c r="I615" i="14"/>
  <c r="I611" i="14"/>
  <c r="I607" i="14"/>
  <c r="I603" i="14"/>
  <c r="I599" i="14"/>
  <c r="I595" i="14"/>
  <c r="I591" i="14"/>
  <c r="I587" i="14"/>
  <c r="I583" i="14"/>
  <c r="I579" i="14"/>
  <c r="I575" i="14"/>
  <c r="I571" i="14"/>
  <c r="I567" i="14"/>
  <c r="I563" i="14"/>
  <c r="I559" i="14"/>
  <c r="I555" i="14"/>
  <c r="I551" i="14"/>
  <c r="I547" i="14"/>
  <c r="I543" i="14"/>
  <c r="I539" i="14"/>
  <c r="I535" i="14"/>
  <c r="I531" i="14"/>
  <c r="I527" i="14"/>
  <c r="I523" i="14"/>
  <c r="I519" i="14"/>
  <c r="I515" i="14"/>
  <c r="I511" i="14"/>
  <c r="I507" i="14"/>
  <c r="I503" i="14"/>
  <c r="I499" i="14"/>
  <c r="I495" i="14"/>
  <c r="I491" i="14"/>
  <c r="I487" i="14"/>
  <c r="I483" i="14"/>
  <c r="I479" i="14"/>
  <c r="I475" i="14"/>
  <c r="I471" i="14"/>
  <c r="I467" i="14"/>
  <c r="I463" i="14"/>
  <c r="I459" i="14"/>
  <c r="I455" i="14"/>
  <c r="I451" i="14"/>
  <c r="I447" i="14"/>
  <c r="I443" i="14"/>
  <c r="I439" i="14"/>
  <c r="I435" i="14"/>
  <c r="I431" i="14"/>
  <c r="I427" i="14"/>
  <c r="I423" i="14"/>
  <c r="I419" i="14"/>
  <c r="I415" i="14"/>
  <c r="I411" i="14"/>
  <c r="I407" i="14"/>
  <c r="I403" i="14"/>
  <c r="I399" i="14"/>
  <c r="I395" i="14"/>
  <c r="I391" i="14"/>
  <c r="I387" i="14"/>
  <c r="I383" i="14"/>
  <c r="I379" i="14"/>
  <c r="I375" i="14"/>
  <c r="I371" i="14"/>
  <c r="I367" i="14"/>
  <c r="I363" i="14"/>
  <c r="I359" i="14"/>
  <c r="I355" i="14"/>
  <c r="I351" i="14"/>
  <c r="I347" i="14"/>
  <c r="I343" i="14"/>
  <c r="I339" i="14"/>
  <c r="I335" i="14"/>
  <c r="I331" i="14"/>
  <c r="I327" i="14"/>
  <c r="I323" i="14"/>
  <c r="I319" i="14"/>
  <c r="I315" i="14"/>
  <c r="I311" i="14"/>
  <c r="I307" i="14"/>
  <c r="I303" i="14"/>
  <c r="I299" i="14"/>
  <c r="I295" i="14"/>
  <c r="I291" i="14"/>
  <c r="I287" i="14"/>
  <c r="I283" i="14"/>
  <c r="I279" i="14"/>
  <c r="I275" i="14"/>
  <c r="I271" i="14"/>
  <c r="I267" i="14"/>
  <c r="I263" i="14"/>
  <c r="I259" i="14"/>
  <c r="I255" i="14"/>
  <c r="I251" i="14"/>
  <c r="I247" i="14"/>
  <c r="I243" i="14"/>
  <c r="I239" i="14"/>
  <c r="I235" i="14"/>
  <c r="I231" i="14"/>
  <c r="I227" i="14"/>
  <c r="I223" i="14"/>
  <c r="I219" i="14"/>
  <c r="I215" i="14"/>
  <c r="I211" i="14"/>
  <c r="I207" i="14"/>
  <c r="I203" i="14"/>
  <c r="I199" i="14"/>
  <c r="I195" i="14"/>
  <c r="I191" i="14"/>
  <c r="I187" i="14"/>
  <c r="I183" i="14"/>
  <c r="I179" i="14"/>
  <c r="I175" i="14"/>
  <c r="I171" i="14"/>
  <c r="I167" i="14"/>
  <c r="I163" i="14"/>
  <c r="I159" i="14"/>
  <c r="I155" i="14"/>
  <c r="I151" i="14"/>
  <c r="I147" i="14"/>
  <c r="I143" i="14"/>
  <c r="I139" i="14"/>
  <c r="I135" i="14"/>
  <c r="I131" i="14"/>
  <c r="I127" i="14"/>
  <c r="I123" i="14"/>
  <c r="I119" i="14"/>
  <c r="I115" i="14"/>
  <c r="I111" i="14"/>
  <c r="I107" i="14"/>
  <c r="I103" i="14"/>
  <c r="I99" i="14"/>
  <c r="I95" i="14"/>
  <c r="I91" i="14"/>
  <c r="I87" i="14"/>
  <c r="I83" i="14"/>
  <c r="I79" i="14"/>
  <c r="I75" i="14"/>
  <c r="I71" i="14"/>
  <c r="I67" i="14"/>
  <c r="I63" i="14"/>
  <c r="I59" i="14"/>
  <c r="I55" i="14"/>
  <c r="I51" i="14"/>
  <c r="I47" i="14"/>
  <c r="I43" i="14"/>
  <c r="I39" i="14"/>
  <c r="I35" i="14"/>
  <c r="I31" i="14"/>
  <c r="I27" i="14"/>
  <c r="I23" i="14"/>
  <c r="I19" i="14"/>
  <c r="I15" i="14"/>
  <c r="I11" i="14"/>
  <c r="I7" i="14"/>
  <c r="I3" i="14"/>
  <c r="I993" i="14"/>
  <c r="I985" i="14"/>
  <c r="I977" i="14"/>
  <c r="I969" i="14"/>
  <c r="I961" i="14"/>
  <c r="I953" i="14"/>
  <c r="I945" i="14"/>
  <c r="I937" i="14"/>
  <c r="I929" i="14"/>
  <c r="I921" i="14"/>
  <c r="I913" i="14"/>
  <c r="I905" i="14"/>
  <c r="I897" i="14"/>
  <c r="I889" i="14"/>
  <c r="I881" i="14"/>
  <c r="I873" i="14"/>
  <c r="I865" i="14"/>
  <c r="I857" i="14"/>
  <c r="I849" i="14"/>
  <c r="I841" i="14"/>
  <c r="I833" i="14"/>
  <c r="I825" i="14"/>
  <c r="I817" i="14"/>
  <c r="I809" i="14"/>
  <c r="I801" i="14"/>
  <c r="I793" i="14"/>
  <c r="I785" i="14"/>
  <c r="I777" i="14"/>
  <c r="I769" i="14"/>
  <c r="I761" i="14"/>
  <c r="I753" i="14"/>
  <c r="I745" i="14"/>
  <c r="I737" i="14"/>
  <c r="I729" i="14"/>
  <c r="I721" i="14"/>
  <c r="I713" i="14"/>
  <c r="I705" i="14"/>
  <c r="I697" i="14"/>
  <c r="I689" i="14"/>
  <c r="I681" i="14"/>
  <c r="I673" i="14"/>
  <c r="I665" i="14"/>
  <c r="I657" i="14"/>
  <c r="I649" i="14"/>
  <c r="I641" i="14"/>
  <c r="I633" i="14"/>
  <c r="I625" i="14"/>
  <c r="I617" i="14"/>
  <c r="I609" i="14"/>
  <c r="I601" i="14"/>
  <c r="I593" i="14"/>
  <c r="I585" i="14"/>
  <c r="I577" i="14"/>
  <c r="I569" i="14"/>
  <c r="I561" i="14"/>
  <c r="I553" i="14"/>
  <c r="I545" i="14"/>
  <c r="I537" i="14"/>
  <c r="I529" i="14"/>
  <c r="I521" i="14"/>
  <c r="I513" i="14"/>
  <c r="I505" i="14"/>
  <c r="I497" i="14"/>
  <c r="I489" i="14"/>
  <c r="I481" i="14"/>
  <c r="I473" i="14"/>
  <c r="I465" i="14"/>
  <c r="I457" i="14"/>
  <c r="I449" i="14"/>
  <c r="I441" i="14"/>
  <c r="I433" i="14"/>
  <c r="I425" i="14"/>
  <c r="I417" i="14"/>
  <c r="I409" i="14"/>
  <c r="I401" i="14"/>
  <c r="I393" i="14"/>
  <c r="I385" i="14"/>
  <c r="I377" i="14"/>
  <c r="I369" i="14"/>
  <c r="I361" i="14"/>
  <c r="I353" i="14"/>
  <c r="I345" i="14"/>
  <c r="I337" i="14"/>
  <c r="I329" i="14"/>
  <c r="I321" i="14"/>
  <c r="I313" i="14"/>
  <c r="I305" i="14"/>
  <c r="I297" i="14"/>
  <c r="I289" i="14"/>
  <c r="I281" i="14"/>
  <c r="I273" i="14"/>
  <c r="I265" i="14"/>
  <c r="I257" i="14"/>
  <c r="I249" i="14"/>
  <c r="I241" i="14"/>
  <c r="I233" i="14"/>
  <c r="I225" i="14"/>
  <c r="I217" i="14"/>
  <c r="I209" i="14"/>
  <c r="I201" i="14"/>
  <c r="I193" i="14"/>
  <c r="I185" i="14"/>
  <c r="I177" i="14"/>
  <c r="I169" i="14"/>
  <c r="I161" i="14"/>
  <c r="I153" i="14"/>
  <c r="I145" i="14"/>
  <c r="I137" i="14"/>
  <c r="I129" i="14"/>
  <c r="I121" i="14"/>
  <c r="I113" i="14"/>
  <c r="I105" i="14"/>
  <c r="I97" i="14"/>
  <c r="I89" i="14"/>
  <c r="I81" i="14"/>
  <c r="I73" i="14"/>
  <c r="I65" i="14"/>
  <c r="I57" i="14"/>
  <c r="I49" i="14"/>
  <c r="I41" i="14"/>
  <c r="I33" i="14"/>
  <c r="I25" i="14"/>
  <c r="I17" i="14"/>
  <c r="I9" i="14"/>
  <c r="I997" i="14"/>
  <c r="I989" i="14"/>
  <c r="I981" i="14"/>
  <c r="I973" i="14"/>
  <c r="I965" i="14"/>
  <c r="I957" i="14"/>
  <c r="I949" i="14"/>
  <c r="I941" i="14"/>
  <c r="I933" i="14"/>
  <c r="I925" i="14"/>
  <c r="I917" i="14"/>
  <c r="I909" i="14"/>
  <c r="I901" i="14"/>
  <c r="I893" i="14"/>
  <c r="I885" i="14"/>
  <c r="I877" i="14"/>
  <c r="I869" i="14"/>
  <c r="I861" i="14"/>
  <c r="I853" i="14"/>
  <c r="I845" i="14"/>
  <c r="I837" i="14"/>
  <c r="I829" i="14"/>
  <c r="I821" i="14"/>
  <c r="I813" i="14"/>
  <c r="I805" i="14"/>
  <c r="I797" i="14"/>
  <c r="I789" i="14"/>
  <c r="I781" i="14"/>
  <c r="I773" i="14"/>
  <c r="I765" i="14"/>
  <c r="I757" i="14"/>
  <c r="I749" i="14"/>
  <c r="I741" i="14"/>
  <c r="I733" i="14"/>
  <c r="I725" i="14"/>
  <c r="I717" i="14"/>
  <c r="I709" i="14"/>
  <c r="I701" i="14"/>
  <c r="I693" i="14"/>
  <c r="I685" i="14"/>
  <c r="I677" i="14"/>
  <c r="I669" i="14"/>
  <c r="I661" i="14"/>
  <c r="I653" i="14"/>
  <c r="I645" i="14"/>
  <c r="I637" i="14"/>
  <c r="I629" i="14"/>
  <c r="I621" i="14"/>
  <c r="I613" i="14"/>
  <c r="I605" i="14"/>
  <c r="I597" i="14"/>
  <c r="I589" i="14"/>
  <c r="I581" i="14"/>
  <c r="I573" i="14"/>
  <c r="I565" i="14"/>
  <c r="I557" i="14"/>
  <c r="I549" i="14"/>
  <c r="I541" i="14"/>
  <c r="I533" i="14"/>
  <c r="I525" i="14"/>
  <c r="I517" i="14"/>
  <c r="I509" i="14"/>
  <c r="I501" i="14"/>
  <c r="I493" i="14"/>
  <c r="I485" i="14"/>
  <c r="I477" i="14"/>
  <c r="I469" i="14"/>
  <c r="I461" i="14"/>
  <c r="I453" i="14"/>
  <c r="I445" i="14"/>
  <c r="I437" i="14"/>
  <c r="I429" i="14"/>
  <c r="I421" i="14"/>
  <c r="I413" i="14"/>
  <c r="I405" i="14"/>
  <c r="I397" i="14"/>
  <c r="I389" i="14"/>
  <c r="I381" i="14"/>
  <c r="I373" i="14"/>
  <c r="I365" i="14"/>
  <c r="I357" i="14"/>
  <c r="I349" i="14"/>
  <c r="I341" i="14"/>
  <c r="I333" i="14"/>
  <c r="I325" i="14"/>
  <c r="I317" i="14"/>
  <c r="I309" i="14"/>
  <c r="I301" i="14"/>
  <c r="I293" i="14"/>
  <c r="I285" i="14"/>
  <c r="I277" i="14"/>
  <c r="I269" i="14"/>
  <c r="I261" i="14"/>
  <c r="I253" i="14"/>
  <c r="I245" i="14"/>
  <c r="I237" i="14"/>
  <c r="I229" i="14"/>
  <c r="I221" i="14"/>
  <c r="I213" i="14"/>
  <c r="I205" i="14"/>
  <c r="I197" i="14"/>
  <c r="I189" i="14"/>
  <c r="I181" i="14"/>
  <c r="I173" i="14"/>
  <c r="I165" i="14"/>
  <c r="I157" i="14"/>
  <c r="I149" i="14"/>
  <c r="I141" i="14"/>
  <c r="I133" i="14"/>
  <c r="I125" i="14"/>
  <c r="I117" i="14"/>
  <c r="I109" i="14"/>
  <c r="I101" i="14"/>
  <c r="I93" i="14"/>
  <c r="I85" i="14"/>
  <c r="I77" i="14"/>
  <c r="I69" i="14"/>
  <c r="I61" i="14"/>
  <c r="I53" i="14"/>
  <c r="I45" i="14"/>
  <c r="I37" i="14"/>
  <c r="I29" i="14"/>
  <c r="I21" i="14"/>
  <c r="I13" i="14"/>
  <c r="I5" i="14"/>
  <c r="I998" i="14"/>
  <c r="I982" i="14"/>
  <c r="I966" i="14"/>
  <c r="I950" i="14"/>
  <c r="I934" i="14"/>
  <c r="I918" i="14"/>
  <c r="I902" i="14"/>
  <c r="I886" i="14"/>
  <c r="I870" i="14"/>
  <c r="I854" i="14"/>
  <c r="I838" i="14"/>
  <c r="I822" i="14"/>
  <c r="I806" i="14"/>
  <c r="I790" i="14"/>
  <c r="I774" i="14"/>
  <c r="I758" i="14"/>
  <c r="I742" i="14"/>
  <c r="I726" i="14"/>
  <c r="I710" i="14"/>
  <c r="I694" i="14"/>
  <c r="I678" i="14"/>
  <c r="I662" i="14"/>
  <c r="I646" i="14"/>
  <c r="I630" i="14"/>
  <c r="I614" i="14"/>
  <c r="I598" i="14"/>
  <c r="I582" i="14"/>
  <c r="I566" i="14"/>
  <c r="I550" i="14"/>
  <c r="I534" i="14"/>
  <c r="I518" i="14"/>
  <c r="I502" i="14"/>
  <c r="I486" i="14"/>
  <c r="I470" i="14"/>
  <c r="I454" i="14"/>
  <c r="I438" i="14"/>
  <c r="I422" i="14"/>
  <c r="I406" i="14"/>
  <c r="I390" i="14"/>
  <c r="I374" i="14"/>
  <c r="I358" i="14"/>
  <c r="I342" i="14"/>
  <c r="I326" i="14"/>
  <c r="I310" i="14"/>
  <c r="I294" i="14"/>
  <c r="I278" i="14"/>
  <c r="I262" i="14"/>
  <c r="I246" i="14"/>
  <c r="I230" i="14"/>
  <c r="I214" i="14"/>
  <c r="I198" i="14"/>
  <c r="I182" i="14"/>
  <c r="I166" i="14"/>
  <c r="I150" i="14"/>
  <c r="I134" i="14"/>
  <c r="I118" i="14"/>
  <c r="I102" i="14"/>
  <c r="I86" i="14"/>
  <c r="I70" i="14"/>
  <c r="I54" i="14"/>
  <c r="I38" i="14"/>
  <c r="I22" i="14"/>
  <c r="I6" i="14"/>
  <c r="I990" i="14"/>
  <c r="I974" i="14"/>
  <c r="I958" i="14"/>
  <c r="I942" i="14"/>
  <c r="I926" i="14"/>
  <c r="I910" i="14"/>
  <c r="I894" i="14"/>
  <c r="I878" i="14"/>
  <c r="I862" i="14"/>
  <c r="I846" i="14"/>
  <c r="I830" i="14"/>
  <c r="I814" i="14"/>
  <c r="I798" i="14"/>
  <c r="I782" i="14"/>
  <c r="I766" i="14"/>
  <c r="I750" i="14"/>
  <c r="I734" i="14"/>
  <c r="I718" i="14"/>
  <c r="I702" i="14"/>
  <c r="I686" i="14"/>
  <c r="I670" i="14"/>
  <c r="I654" i="14"/>
  <c r="I638" i="14"/>
  <c r="I622" i="14"/>
  <c r="I606" i="14"/>
  <c r="I590" i="14"/>
  <c r="I574" i="14"/>
  <c r="I558" i="14"/>
  <c r="I542" i="14"/>
  <c r="I526" i="14"/>
  <c r="I510" i="14"/>
  <c r="I494" i="14"/>
  <c r="I478" i="14"/>
  <c r="I462" i="14"/>
  <c r="I446" i="14"/>
  <c r="I430" i="14"/>
  <c r="I414" i="14"/>
  <c r="I398" i="14"/>
  <c r="I382" i="14"/>
  <c r="I366" i="14"/>
  <c r="I350" i="14"/>
  <c r="I334" i="14"/>
  <c r="I318" i="14"/>
  <c r="I302" i="14"/>
  <c r="I286" i="14"/>
  <c r="I270" i="14"/>
  <c r="I254" i="14"/>
  <c r="I238" i="14"/>
  <c r="I222" i="14"/>
  <c r="I206" i="14"/>
  <c r="I190" i="14"/>
  <c r="I174" i="14"/>
  <c r="I158" i="14"/>
  <c r="I142" i="14"/>
  <c r="I126" i="14"/>
  <c r="I110" i="14"/>
  <c r="I94" i="14"/>
  <c r="I78" i="14"/>
  <c r="I62" i="14"/>
  <c r="I46" i="14"/>
  <c r="I30" i="14"/>
  <c r="I14" i="14"/>
  <c r="I970" i="14"/>
  <c r="I938" i="14"/>
  <c r="I906" i="14"/>
  <c r="I874" i="14"/>
  <c r="I842" i="14"/>
  <c r="I810" i="14"/>
  <c r="I778" i="14"/>
  <c r="I746" i="14"/>
  <c r="I714" i="14"/>
  <c r="I682" i="14"/>
  <c r="I650" i="14"/>
  <c r="I618" i="14"/>
  <c r="I586" i="14"/>
  <c r="I554" i="14"/>
  <c r="I522" i="14"/>
  <c r="I490" i="14"/>
  <c r="I458" i="14"/>
  <c r="I426" i="14"/>
  <c r="I394" i="14"/>
  <c r="I362" i="14"/>
  <c r="I330" i="14"/>
  <c r="I298" i="14"/>
  <c r="I266" i="14"/>
  <c r="I234" i="14"/>
  <c r="I202" i="14"/>
  <c r="I170" i="14"/>
  <c r="I138" i="14"/>
  <c r="I106" i="14"/>
  <c r="I74" i="14"/>
  <c r="I42" i="14"/>
  <c r="I10" i="14"/>
  <c r="I986" i="14"/>
  <c r="I954" i="14"/>
  <c r="I922" i="14"/>
  <c r="I890" i="14"/>
  <c r="I858" i="14"/>
  <c r="I826" i="14"/>
  <c r="I794" i="14"/>
  <c r="I762" i="14"/>
  <c r="I730" i="14"/>
  <c r="I698" i="14"/>
  <c r="I666" i="14"/>
  <c r="I634" i="14"/>
  <c r="I602" i="14"/>
  <c r="I570" i="14"/>
  <c r="I538" i="14"/>
  <c r="I506" i="14"/>
  <c r="I474" i="14"/>
  <c r="I442" i="14"/>
  <c r="I410" i="14"/>
  <c r="I378" i="14"/>
  <c r="I346" i="14"/>
  <c r="I314" i="14"/>
  <c r="I282" i="14"/>
  <c r="I250" i="14"/>
  <c r="I218" i="14"/>
  <c r="I186" i="14"/>
  <c r="I154" i="14"/>
  <c r="I122" i="14"/>
  <c r="I90" i="14"/>
  <c r="I58" i="14"/>
  <c r="I26" i="14"/>
  <c r="I994" i="14"/>
  <c r="I930" i="14"/>
  <c r="I866" i="14"/>
  <c r="I802" i="14"/>
  <c r="I738" i="14"/>
  <c r="I674" i="14"/>
  <c r="I610" i="14"/>
  <c r="I546" i="14"/>
  <c r="I482" i="14"/>
  <c r="I418" i="14"/>
  <c r="I354" i="14"/>
  <c r="I290" i="14"/>
  <c r="I226" i="14"/>
  <c r="I162" i="14"/>
  <c r="I98" i="14"/>
  <c r="I34" i="14"/>
  <c r="I962" i="14"/>
  <c r="I898" i="14"/>
  <c r="I834" i="14"/>
  <c r="I770" i="14"/>
  <c r="I706" i="14"/>
  <c r="I642" i="14"/>
  <c r="I578" i="14"/>
  <c r="I514" i="14"/>
  <c r="I450" i="14"/>
  <c r="I386" i="14"/>
  <c r="I322" i="14"/>
  <c r="I258" i="14"/>
  <c r="I194" i="14"/>
  <c r="I130" i="14"/>
  <c r="I66" i="14"/>
  <c r="I2" i="14"/>
  <c r="I946" i="14"/>
  <c r="I882" i="14"/>
  <c r="I818" i="14"/>
  <c r="I754" i="14"/>
  <c r="I690" i="14"/>
  <c r="I626" i="14"/>
  <c r="I562" i="14"/>
  <c r="I498" i="14"/>
  <c r="I434" i="14"/>
  <c r="I370" i="14"/>
  <c r="I306" i="14"/>
  <c r="I242" i="14"/>
  <c r="I178" i="14"/>
  <c r="I114" i="14"/>
  <c r="I50" i="14"/>
  <c r="I850" i="14"/>
  <c r="I594" i="14"/>
  <c r="I338" i="14"/>
  <c r="I82" i="14"/>
  <c r="I914" i="14"/>
  <c r="I658" i="14"/>
  <c r="I402" i="14"/>
  <c r="I146" i="14"/>
  <c r="I786" i="14"/>
  <c r="I530" i="14"/>
  <c r="I274" i="14"/>
  <c r="I18" i="14"/>
  <c r="I978" i="14"/>
  <c r="I722" i="14"/>
  <c r="I466" i="14"/>
  <c r="I210" i="14"/>
  <c r="I997" i="18"/>
  <c r="I993" i="18"/>
  <c r="I989" i="18"/>
  <c r="I985" i="18"/>
  <c r="I981" i="18"/>
  <c r="I977" i="18"/>
  <c r="I973" i="18"/>
  <c r="I969" i="18"/>
  <c r="I965" i="18"/>
  <c r="I961" i="18"/>
  <c r="I957" i="18"/>
  <c r="I953" i="18"/>
  <c r="I949" i="18"/>
  <c r="I945" i="18"/>
  <c r="I941" i="18"/>
  <c r="I937" i="18"/>
  <c r="I933" i="18"/>
  <c r="I929" i="18"/>
  <c r="I925" i="18"/>
  <c r="I921" i="18"/>
  <c r="I917" i="18"/>
  <c r="I913" i="18"/>
  <c r="I909" i="18"/>
  <c r="I905" i="18"/>
  <c r="I901" i="18"/>
  <c r="I897" i="18"/>
  <c r="I893" i="18"/>
  <c r="I889" i="18"/>
  <c r="I885" i="18"/>
  <c r="I881" i="18"/>
  <c r="I877" i="18"/>
  <c r="I873" i="18"/>
  <c r="I869" i="18"/>
  <c r="I865" i="18"/>
  <c r="I861" i="18"/>
  <c r="I857" i="18"/>
  <c r="I853" i="18"/>
  <c r="I849" i="18"/>
  <c r="I845" i="18"/>
  <c r="I841" i="18"/>
  <c r="I837" i="18"/>
  <c r="I833" i="18"/>
  <c r="I829" i="18"/>
  <c r="I825" i="18"/>
  <c r="I821" i="18"/>
  <c r="I817" i="18"/>
  <c r="I813" i="18"/>
  <c r="I809" i="18"/>
  <c r="I805" i="18"/>
  <c r="I801" i="18"/>
  <c r="I797" i="18"/>
  <c r="I793" i="18"/>
  <c r="I789" i="18"/>
  <c r="I785" i="18"/>
  <c r="I781" i="18"/>
  <c r="I777" i="18"/>
  <c r="I773" i="18"/>
  <c r="I769" i="18"/>
  <c r="I765" i="18"/>
  <c r="I761" i="18"/>
  <c r="I757" i="18"/>
  <c r="I753" i="18"/>
  <c r="I749" i="18"/>
  <c r="I745" i="18"/>
  <c r="I741" i="18"/>
  <c r="I737" i="18"/>
  <c r="I733" i="18"/>
  <c r="I729" i="18"/>
  <c r="I725" i="18"/>
  <c r="I721" i="18"/>
  <c r="I717" i="18"/>
  <c r="I713" i="18"/>
  <c r="I709" i="18"/>
  <c r="I705" i="18"/>
  <c r="I701" i="18"/>
  <c r="I697" i="18"/>
  <c r="I693" i="18"/>
  <c r="I689" i="18"/>
  <c r="I685" i="18"/>
  <c r="I681" i="18"/>
  <c r="I677" i="18"/>
  <c r="I673" i="18"/>
  <c r="I669" i="18"/>
  <c r="I665" i="18"/>
  <c r="I661" i="18"/>
  <c r="I657" i="18"/>
  <c r="I653" i="18"/>
  <c r="I649" i="18"/>
  <c r="I645" i="18"/>
  <c r="I641" i="18"/>
  <c r="I637" i="18"/>
  <c r="I633" i="18"/>
  <c r="I629" i="18"/>
  <c r="I625" i="18"/>
  <c r="I621" i="18"/>
  <c r="I617" i="18"/>
  <c r="I613" i="18"/>
  <c r="I609" i="18"/>
  <c r="I605" i="18"/>
  <c r="I601" i="18"/>
  <c r="I597" i="18"/>
  <c r="I593" i="18"/>
  <c r="I589" i="18"/>
  <c r="I585" i="18"/>
  <c r="I581" i="18"/>
  <c r="I577" i="18"/>
  <c r="I573" i="18"/>
  <c r="I569" i="18"/>
  <c r="I565" i="18"/>
  <c r="I561" i="18"/>
  <c r="I557" i="18"/>
  <c r="I553" i="18"/>
  <c r="I549" i="18"/>
  <c r="I545" i="18"/>
  <c r="I541" i="18"/>
  <c r="I537" i="18"/>
  <c r="I533" i="18"/>
  <c r="I529" i="18"/>
  <c r="I525" i="18"/>
  <c r="I521" i="18"/>
  <c r="I517" i="18"/>
  <c r="I513" i="18"/>
  <c r="I509" i="18"/>
  <c r="I505" i="18"/>
  <c r="I501" i="18"/>
  <c r="I497" i="18"/>
  <c r="I493" i="18"/>
  <c r="I489" i="18"/>
  <c r="I485" i="18"/>
  <c r="I481" i="18"/>
  <c r="I477" i="18"/>
  <c r="I473" i="18"/>
  <c r="I469" i="18"/>
  <c r="I465" i="18"/>
  <c r="I461" i="18"/>
  <c r="I457" i="18"/>
  <c r="I453" i="18"/>
  <c r="I449" i="18"/>
  <c r="I445" i="18"/>
  <c r="I441" i="18"/>
  <c r="I437" i="18"/>
  <c r="I433" i="18"/>
  <c r="I429" i="18"/>
  <c r="I425" i="18"/>
  <c r="I421" i="18"/>
  <c r="I417" i="18"/>
  <c r="I413" i="18"/>
  <c r="I409" i="18"/>
  <c r="I405" i="18"/>
  <c r="I401" i="18"/>
  <c r="I397" i="18"/>
  <c r="I393" i="18"/>
  <c r="I389" i="18"/>
  <c r="I385" i="18"/>
  <c r="I381" i="18"/>
  <c r="I377" i="18"/>
  <c r="I373" i="18"/>
  <c r="I369" i="18"/>
  <c r="I365" i="18"/>
  <c r="I361" i="18"/>
  <c r="I357" i="18"/>
  <c r="I353" i="18"/>
  <c r="I349" i="18"/>
  <c r="I345" i="18"/>
  <c r="I341" i="18"/>
  <c r="I337" i="18"/>
  <c r="I333" i="18"/>
  <c r="I329" i="18"/>
  <c r="I325" i="18"/>
  <c r="I321" i="18"/>
  <c r="I317" i="18"/>
  <c r="I313" i="18"/>
  <c r="I309" i="18"/>
  <c r="I305" i="18"/>
  <c r="I301" i="18"/>
  <c r="I297" i="18"/>
  <c r="I293" i="18"/>
  <c r="I289" i="18"/>
  <c r="I285" i="18"/>
  <c r="I281" i="18"/>
  <c r="I277" i="18"/>
  <c r="I273" i="18"/>
  <c r="I269" i="18"/>
  <c r="I265" i="18"/>
  <c r="I261" i="18"/>
  <c r="I257" i="18"/>
  <c r="I253" i="18"/>
  <c r="I249" i="18"/>
  <c r="I245" i="18"/>
  <c r="I241" i="18"/>
  <c r="I237" i="18"/>
  <c r="I233" i="18"/>
  <c r="I229" i="18"/>
  <c r="I225" i="18"/>
  <c r="I221" i="18"/>
  <c r="I217" i="18"/>
  <c r="I213" i="18"/>
  <c r="I209" i="18"/>
  <c r="I205" i="18"/>
  <c r="I201" i="18"/>
  <c r="I197" i="18"/>
  <c r="I193" i="18"/>
  <c r="I189" i="18"/>
  <c r="I185" i="18"/>
  <c r="I181" i="18"/>
  <c r="I177" i="18"/>
  <c r="I173" i="18"/>
  <c r="I169" i="18"/>
  <c r="I165" i="18"/>
  <c r="I161" i="18"/>
  <c r="I157" i="18"/>
  <c r="I153" i="18"/>
  <c r="I149" i="18"/>
  <c r="I145" i="18"/>
  <c r="I141" i="18"/>
  <c r="I137" i="18"/>
  <c r="I133" i="18"/>
  <c r="I129" i="18"/>
  <c r="I125" i="18"/>
  <c r="I121" i="18"/>
  <c r="I117" i="18"/>
  <c r="I113" i="18"/>
  <c r="I109" i="18"/>
  <c r="I105" i="18"/>
  <c r="I101" i="18"/>
  <c r="I97" i="18"/>
  <c r="I93" i="18"/>
  <c r="I89" i="18"/>
  <c r="I85" i="18"/>
  <c r="I81" i="18"/>
  <c r="I77" i="18"/>
  <c r="I73" i="18"/>
  <c r="I69" i="18"/>
  <c r="I65" i="18"/>
  <c r="I61" i="18"/>
  <c r="I57" i="18"/>
  <c r="I53" i="18"/>
  <c r="I49" i="18"/>
  <c r="I45" i="18"/>
  <c r="I41" i="18"/>
  <c r="I37" i="18"/>
  <c r="I33" i="18"/>
  <c r="I29" i="18"/>
  <c r="I25" i="18"/>
  <c r="I21" i="18"/>
  <c r="I17" i="18"/>
  <c r="I13" i="18"/>
  <c r="I9" i="18"/>
  <c r="I5" i="18"/>
  <c r="I1000" i="18"/>
  <c r="I996" i="18"/>
  <c r="I992" i="18"/>
  <c r="I988" i="18"/>
  <c r="I984" i="18"/>
  <c r="I980" i="18"/>
  <c r="I976" i="18"/>
  <c r="I972" i="18"/>
  <c r="I968" i="18"/>
  <c r="I964" i="18"/>
  <c r="I960" i="18"/>
  <c r="I956" i="18"/>
  <c r="I952" i="18"/>
  <c r="I948" i="18"/>
  <c r="I944" i="18"/>
  <c r="I940" i="18"/>
  <c r="I936" i="18"/>
  <c r="I932" i="18"/>
  <c r="I928" i="18"/>
  <c r="I924" i="18"/>
  <c r="I920" i="18"/>
  <c r="I916" i="18"/>
  <c r="I912" i="18"/>
  <c r="I908" i="18"/>
  <c r="I904" i="18"/>
  <c r="I900" i="18"/>
  <c r="I896" i="18"/>
  <c r="I892" i="18"/>
  <c r="I888" i="18"/>
  <c r="I884" i="18"/>
  <c r="I880" i="18"/>
  <c r="I876" i="18"/>
  <c r="I872" i="18"/>
  <c r="I868" i="18"/>
  <c r="I864" i="18"/>
  <c r="I860" i="18"/>
  <c r="I856" i="18"/>
  <c r="I852" i="18"/>
  <c r="I848" i="18"/>
  <c r="I844" i="18"/>
  <c r="I840" i="18"/>
  <c r="I836" i="18"/>
  <c r="I832" i="18"/>
  <c r="I828" i="18"/>
  <c r="I824" i="18"/>
  <c r="I820" i="18"/>
  <c r="I816" i="18"/>
  <c r="I812" i="18"/>
  <c r="I808" i="18"/>
  <c r="I804" i="18"/>
  <c r="I800" i="18"/>
  <c r="I796" i="18"/>
  <c r="I792" i="18"/>
  <c r="I788" i="18"/>
  <c r="I784" i="18"/>
  <c r="I780" i="18"/>
  <c r="I776" i="18"/>
  <c r="I772" i="18"/>
  <c r="I768" i="18"/>
  <c r="I764" i="18"/>
  <c r="I760" i="18"/>
  <c r="I756" i="18"/>
  <c r="I752" i="18"/>
  <c r="I748" i="18"/>
  <c r="I744" i="18"/>
  <c r="I740" i="18"/>
  <c r="I736" i="18"/>
  <c r="I732" i="18"/>
  <c r="I728" i="18"/>
  <c r="I724" i="18"/>
  <c r="I720" i="18"/>
  <c r="I716" i="18"/>
  <c r="I712" i="18"/>
  <c r="I708" i="18"/>
  <c r="I704" i="18"/>
  <c r="I700" i="18"/>
  <c r="I696" i="18"/>
  <c r="I692" i="18"/>
  <c r="I688" i="18"/>
  <c r="I684" i="18"/>
  <c r="I680" i="18"/>
  <c r="I676" i="18"/>
  <c r="I672" i="18"/>
  <c r="I668" i="18"/>
  <c r="I664" i="18"/>
  <c r="I660" i="18"/>
  <c r="I656" i="18"/>
  <c r="I652" i="18"/>
  <c r="I648" i="18"/>
  <c r="I644" i="18"/>
  <c r="I640" i="18"/>
  <c r="I636" i="18"/>
  <c r="I632" i="18"/>
  <c r="I628" i="18"/>
  <c r="I624" i="18"/>
  <c r="I620" i="18"/>
  <c r="I616" i="18"/>
  <c r="I612" i="18"/>
  <c r="I608" i="18"/>
  <c r="I604" i="18"/>
  <c r="I600" i="18"/>
  <c r="I596" i="18"/>
  <c r="I592" i="18"/>
  <c r="I588" i="18"/>
  <c r="I584" i="18"/>
  <c r="I580" i="18"/>
  <c r="I576" i="18"/>
  <c r="I572" i="18"/>
  <c r="I568" i="18"/>
  <c r="I564" i="18"/>
  <c r="I560" i="18"/>
  <c r="I556" i="18"/>
  <c r="I552" i="18"/>
  <c r="I548" i="18"/>
  <c r="I544" i="18"/>
  <c r="I540" i="18"/>
  <c r="I536" i="18"/>
  <c r="I532" i="18"/>
  <c r="I528" i="18"/>
  <c r="I524" i="18"/>
  <c r="I520" i="18"/>
  <c r="I516" i="18"/>
  <c r="I512" i="18"/>
  <c r="I508" i="18"/>
  <c r="I504" i="18"/>
  <c r="I500" i="18"/>
  <c r="I496" i="18"/>
  <c r="I492" i="18"/>
  <c r="I488" i="18"/>
  <c r="I484" i="18"/>
  <c r="I480" i="18"/>
  <c r="I476" i="18"/>
  <c r="I472" i="18"/>
  <c r="I468" i="18"/>
  <c r="I464" i="18"/>
  <c r="I460" i="18"/>
  <c r="I456" i="18"/>
  <c r="I452" i="18"/>
  <c r="I448" i="18"/>
  <c r="I444" i="18"/>
  <c r="I440" i="18"/>
  <c r="I436" i="18"/>
  <c r="I432" i="18"/>
  <c r="I428" i="18"/>
  <c r="I424" i="18"/>
  <c r="I420" i="18"/>
  <c r="I416" i="18"/>
  <c r="I412" i="18"/>
  <c r="I408" i="18"/>
  <c r="I404" i="18"/>
  <c r="I400" i="18"/>
  <c r="I396" i="18"/>
  <c r="I392" i="18"/>
  <c r="I388" i="18"/>
  <c r="I384" i="18"/>
  <c r="I380" i="18"/>
  <c r="I376" i="18"/>
  <c r="I372" i="18"/>
  <c r="I368" i="18"/>
  <c r="I364" i="18"/>
  <c r="I360" i="18"/>
  <c r="I356" i="18"/>
  <c r="I352" i="18"/>
  <c r="I348" i="18"/>
  <c r="I344" i="18"/>
  <c r="I340" i="18"/>
  <c r="I336" i="18"/>
  <c r="I332" i="18"/>
  <c r="I328" i="18"/>
  <c r="I324" i="18"/>
  <c r="I320" i="18"/>
  <c r="I316" i="18"/>
  <c r="I312" i="18"/>
  <c r="I308" i="18"/>
  <c r="I304" i="18"/>
  <c r="I300" i="18"/>
  <c r="I296" i="18"/>
  <c r="I292" i="18"/>
  <c r="I288" i="18"/>
  <c r="I284" i="18"/>
  <c r="I280" i="18"/>
  <c r="I276" i="18"/>
  <c r="I272" i="18"/>
  <c r="I268" i="18"/>
  <c r="I264" i="18"/>
  <c r="I260" i="18"/>
  <c r="I256" i="18"/>
  <c r="I252" i="18"/>
  <c r="I248" i="18"/>
  <c r="I244" i="18"/>
  <c r="I240" i="18"/>
  <c r="I236" i="18"/>
  <c r="I232" i="18"/>
  <c r="I228" i="18"/>
  <c r="I224" i="18"/>
  <c r="I220" i="18"/>
  <c r="I216" i="18"/>
  <c r="I212" i="18"/>
  <c r="I208" i="18"/>
  <c r="I204" i="18"/>
  <c r="I200" i="18"/>
  <c r="I196" i="18"/>
  <c r="I192" i="18"/>
  <c r="I188" i="18"/>
  <c r="I184" i="18"/>
  <c r="I180" i="18"/>
  <c r="I176" i="18"/>
  <c r="I172" i="18"/>
  <c r="I168" i="18"/>
  <c r="I164" i="18"/>
  <c r="I160" i="18"/>
  <c r="I156" i="18"/>
  <c r="I152" i="18"/>
  <c r="I148" i="18"/>
  <c r="I144" i="18"/>
  <c r="I140" i="18"/>
  <c r="I136" i="18"/>
  <c r="I132" i="18"/>
  <c r="I128" i="18"/>
  <c r="I124" i="18"/>
  <c r="I120" i="18"/>
  <c r="I116" i="18"/>
  <c r="I112" i="18"/>
  <c r="I108" i="18"/>
  <c r="I104" i="18"/>
  <c r="I100" i="18"/>
  <c r="I96" i="18"/>
  <c r="I92" i="18"/>
  <c r="I88" i="18"/>
  <c r="I84" i="18"/>
  <c r="I80" i="18"/>
  <c r="I76" i="18"/>
  <c r="I72" i="18"/>
  <c r="I68" i="18"/>
  <c r="I64" i="18"/>
  <c r="I60" i="18"/>
  <c r="I56" i="18"/>
  <c r="I52" i="18"/>
  <c r="I48" i="18"/>
  <c r="I44" i="18"/>
  <c r="I40" i="18"/>
  <c r="I36" i="18"/>
  <c r="I32" i="18"/>
  <c r="I28" i="18"/>
  <c r="I24" i="18"/>
  <c r="I20" i="18"/>
  <c r="I16" i="18"/>
  <c r="I12" i="18"/>
  <c r="I8" i="18"/>
  <c r="I4" i="18"/>
  <c r="I1" i="18"/>
  <c r="I998" i="18"/>
  <c r="I990" i="18"/>
  <c r="I982" i="18"/>
  <c r="I974" i="18"/>
  <c r="I966" i="18"/>
  <c r="I958" i="18"/>
  <c r="I950" i="18"/>
  <c r="I942" i="18"/>
  <c r="I934" i="18"/>
  <c r="I926" i="18"/>
  <c r="I918" i="18"/>
  <c r="I910" i="18"/>
  <c r="I902" i="18"/>
  <c r="I894" i="18"/>
  <c r="I886" i="18"/>
  <c r="I878" i="18"/>
  <c r="I870" i="18"/>
  <c r="I862" i="18"/>
  <c r="I854" i="18"/>
  <c r="I846" i="18"/>
  <c r="I838" i="18"/>
  <c r="I830" i="18"/>
  <c r="I822" i="18"/>
  <c r="I814" i="18"/>
  <c r="I806" i="18"/>
  <c r="I798" i="18"/>
  <c r="I790" i="18"/>
  <c r="I782" i="18"/>
  <c r="I774" i="18"/>
  <c r="I766" i="18"/>
  <c r="I758" i="18"/>
  <c r="I750" i="18"/>
  <c r="I742" i="18"/>
  <c r="I734" i="18"/>
  <c r="I726" i="18"/>
  <c r="I718" i="18"/>
  <c r="I710" i="18"/>
  <c r="I702" i="18"/>
  <c r="I694" i="18"/>
  <c r="I686" i="18"/>
  <c r="I678" i="18"/>
  <c r="I670" i="18"/>
  <c r="I662" i="18"/>
  <c r="I654" i="18"/>
  <c r="I646" i="18"/>
  <c r="I638" i="18"/>
  <c r="I630" i="18"/>
  <c r="I622" i="18"/>
  <c r="I614" i="18"/>
  <c r="I606" i="18"/>
  <c r="I598" i="18"/>
  <c r="I590" i="18"/>
  <c r="I582" i="18"/>
  <c r="I574" i="18"/>
  <c r="I566" i="18"/>
  <c r="I558" i="18"/>
  <c r="I550" i="18"/>
  <c r="I542" i="18"/>
  <c r="I534" i="18"/>
  <c r="I526" i="18"/>
  <c r="I518" i="18"/>
  <c r="I510" i="18"/>
  <c r="I502" i="18"/>
  <c r="I494" i="18"/>
  <c r="I486" i="18"/>
  <c r="I478" i="18"/>
  <c r="I470" i="18"/>
  <c r="I462" i="18"/>
  <c r="I454" i="18"/>
  <c r="I446" i="18"/>
  <c r="I438" i="18"/>
  <c r="I430" i="18"/>
  <c r="I422" i="18"/>
  <c r="I414" i="18"/>
  <c r="I406" i="18"/>
  <c r="I398" i="18"/>
  <c r="I390" i="18"/>
  <c r="I382" i="18"/>
  <c r="I374" i="18"/>
  <c r="I366" i="18"/>
  <c r="I358" i="18"/>
  <c r="I350" i="18"/>
  <c r="I342" i="18"/>
  <c r="I334" i="18"/>
  <c r="I326" i="18"/>
  <c r="I318" i="18"/>
  <c r="I310" i="18"/>
  <c r="I302" i="18"/>
  <c r="I294" i="18"/>
  <c r="I286" i="18"/>
  <c r="I278" i="18"/>
  <c r="I270" i="18"/>
  <c r="I262" i="18"/>
  <c r="I254" i="18"/>
  <c r="I246" i="18"/>
  <c r="I238" i="18"/>
  <c r="I230" i="18"/>
  <c r="I222" i="18"/>
  <c r="I214" i="18"/>
  <c r="I206" i="18"/>
  <c r="I198" i="18"/>
  <c r="I190" i="18"/>
  <c r="I182" i="18"/>
  <c r="I174" i="18"/>
  <c r="I166" i="18"/>
  <c r="I158" i="18"/>
  <c r="I150" i="18"/>
  <c r="I142" i="18"/>
  <c r="I134" i="18"/>
  <c r="I126" i="18"/>
  <c r="I118" i="18"/>
  <c r="I110" i="18"/>
  <c r="I102" i="18"/>
  <c r="I94" i="18"/>
  <c r="I86" i="18"/>
  <c r="I78" i="18"/>
  <c r="I70" i="18"/>
  <c r="I62" i="18"/>
  <c r="I54" i="18"/>
  <c r="I46" i="18"/>
  <c r="I38" i="18"/>
  <c r="I30" i="18"/>
  <c r="I22" i="18"/>
  <c r="I14" i="18"/>
  <c r="I6" i="18"/>
  <c r="I994" i="18"/>
  <c r="I986" i="18"/>
  <c r="I978" i="18"/>
  <c r="I970" i="18"/>
  <c r="I962" i="18"/>
  <c r="I954" i="18"/>
  <c r="I946" i="18"/>
  <c r="I938" i="18"/>
  <c r="I930" i="18"/>
  <c r="I922" i="18"/>
  <c r="I914" i="18"/>
  <c r="I906" i="18"/>
  <c r="I898" i="18"/>
  <c r="I890" i="18"/>
  <c r="I882" i="18"/>
  <c r="I874" i="18"/>
  <c r="I866" i="18"/>
  <c r="I858" i="18"/>
  <c r="I850" i="18"/>
  <c r="I842" i="18"/>
  <c r="I834" i="18"/>
  <c r="I826" i="18"/>
  <c r="I818" i="18"/>
  <c r="I810" i="18"/>
  <c r="I802" i="18"/>
  <c r="I794" i="18"/>
  <c r="I786" i="18"/>
  <c r="I778" i="18"/>
  <c r="I770" i="18"/>
  <c r="I762" i="18"/>
  <c r="I754" i="18"/>
  <c r="I746" i="18"/>
  <c r="I738" i="18"/>
  <c r="I730" i="18"/>
  <c r="I722" i="18"/>
  <c r="I714" i="18"/>
  <c r="I706" i="18"/>
  <c r="I698" i="18"/>
  <c r="I690" i="18"/>
  <c r="I682" i="18"/>
  <c r="I674" i="18"/>
  <c r="I666" i="18"/>
  <c r="I658" i="18"/>
  <c r="I650" i="18"/>
  <c r="I642" i="18"/>
  <c r="I634" i="18"/>
  <c r="I626" i="18"/>
  <c r="I618" i="18"/>
  <c r="I610" i="18"/>
  <c r="I602" i="18"/>
  <c r="I594" i="18"/>
  <c r="I586" i="18"/>
  <c r="I578" i="18"/>
  <c r="I570" i="18"/>
  <c r="I562" i="18"/>
  <c r="I554" i="18"/>
  <c r="I546" i="18"/>
  <c r="I538" i="18"/>
  <c r="I530" i="18"/>
  <c r="I522" i="18"/>
  <c r="I514" i="18"/>
  <c r="I506" i="18"/>
  <c r="I498" i="18"/>
  <c r="I490" i="18"/>
  <c r="I482" i="18"/>
  <c r="I474" i="18"/>
  <c r="I466" i="18"/>
  <c r="I458" i="18"/>
  <c r="I450" i="18"/>
  <c r="I442" i="18"/>
  <c r="I434" i="18"/>
  <c r="I426" i="18"/>
  <c r="I418" i="18"/>
  <c r="I410" i="18"/>
  <c r="I402" i="18"/>
  <c r="I394" i="18"/>
  <c r="I386" i="18"/>
  <c r="I378" i="18"/>
  <c r="I370" i="18"/>
  <c r="I362" i="18"/>
  <c r="I354" i="18"/>
  <c r="I346" i="18"/>
  <c r="I338" i="18"/>
  <c r="I330" i="18"/>
  <c r="I322" i="18"/>
  <c r="I314" i="18"/>
  <c r="I306" i="18"/>
  <c r="I298" i="18"/>
  <c r="I290" i="18"/>
  <c r="I282" i="18"/>
  <c r="I274" i="18"/>
  <c r="I266" i="18"/>
  <c r="I258" i="18"/>
  <c r="I250" i="18"/>
  <c r="I242" i="18"/>
  <c r="I234" i="18"/>
  <c r="I226" i="18"/>
  <c r="I218" i="18"/>
  <c r="I210" i="18"/>
  <c r="I202" i="18"/>
  <c r="I194" i="18"/>
  <c r="I186" i="18"/>
  <c r="I178" i="18"/>
  <c r="I170" i="18"/>
  <c r="I162" i="18"/>
  <c r="I154" i="18"/>
  <c r="I146" i="18"/>
  <c r="I138" i="18"/>
  <c r="I130" i="18"/>
  <c r="I122" i="18"/>
  <c r="I114" i="18"/>
  <c r="I106" i="18"/>
  <c r="I98" i="18"/>
  <c r="I90" i="18"/>
  <c r="I82" i="18"/>
  <c r="I74" i="18"/>
  <c r="I66" i="18"/>
  <c r="I58" i="18"/>
  <c r="I50" i="18"/>
  <c r="I42" i="18"/>
  <c r="I34" i="18"/>
  <c r="I26" i="18"/>
  <c r="I18" i="18"/>
  <c r="I10" i="18"/>
  <c r="I2" i="18"/>
  <c r="I995" i="18"/>
  <c r="I979" i="18"/>
  <c r="I963" i="18"/>
  <c r="I947" i="18"/>
  <c r="I931" i="18"/>
  <c r="I915" i="18"/>
  <c r="I899" i="18"/>
  <c r="I883" i="18"/>
  <c r="I867" i="18"/>
  <c r="I851" i="18"/>
  <c r="I835" i="18"/>
  <c r="I819" i="18"/>
  <c r="I803" i="18"/>
  <c r="I787" i="18"/>
  <c r="I771" i="18"/>
  <c r="I755" i="18"/>
  <c r="I739" i="18"/>
  <c r="I723" i="18"/>
  <c r="I707" i="18"/>
  <c r="I691" i="18"/>
  <c r="I675" i="18"/>
  <c r="I659" i="18"/>
  <c r="I643" i="18"/>
  <c r="I627" i="18"/>
  <c r="I611" i="18"/>
  <c r="I595" i="18"/>
  <c r="I579" i="18"/>
  <c r="I563" i="18"/>
  <c r="I547" i="18"/>
  <c r="I531" i="18"/>
  <c r="I515" i="18"/>
  <c r="I499" i="18"/>
  <c r="I483" i="18"/>
  <c r="I467" i="18"/>
  <c r="I451" i="18"/>
  <c r="I435" i="18"/>
  <c r="I419" i="18"/>
  <c r="I403" i="18"/>
  <c r="I387" i="18"/>
  <c r="I371" i="18"/>
  <c r="I355" i="18"/>
  <c r="I339" i="18"/>
  <c r="I323" i="18"/>
  <c r="I307" i="18"/>
  <c r="I291" i="18"/>
  <c r="I275" i="18"/>
  <c r="I259" i="18"/>
  <c r="I243" i="18"/>
  <c r="I227" i="18"/>
  <c r="I211" i="18"/>
  <c r="I195" i="18"/>
  <c r="I179" i="18"/>
  <c r="I163" i="18"/>
  <c r="I147" i="18"/>
  <c r="I131" i="18"/>
  <c r="I115" i="18"/>
  <c r="I99" i="18"/>
  <c r="I83" i="18"/>
  <c r="I67" i="18"/>
  <c r="I51" i="18"/>
  <c r="I35" i="18"/>
  <c r="I19" i="18"/>
  <c r="I3" i="18"/>
  <c r="I987" i="18"/>
  <c r="I971" i="18"/>
  <c r="I955" i="18"/>
  <c r="I939" i="18"/>
  <c r="I923" i="18"/>
  <c r="I907" i="18"/>
  <c r="I891" i="18"/>
  <c r="I875" i="18"/>
  <c r="I859" i="18"/>
  <c r="I843" i="18"/>
  <c r="I827" i="18"/>
  <c r="I811" i="18"/>
  <c r="I795" i="18"/>
  <c r="I779" i="18"/>
  <c r="I763" i="18"/>
  <c r="I747" i="18"/>
  <c r="I731" i="18"/>
  <c r="I715" i="18"/>
  <c r="I699" i="18"/>
  <c r="I683" i="18"/>
  <c r="I667" i="18"/>
  <c r="I651" i="18"/>
  <c r="I635" i="18"/>
  <c r="I619" i="18"/>
  <c r="I603" i="18"/>
  <c r="I587" i="18"/>
  <c r="I571" i="18"/>
  <c r="I555" i="18"/>
  <c r="I539" i="18"/>
  <c r="I523" i="18"/>
  <c r="I507" i="18"/>
  <c r="I491" i="18"/>
  <c r="I475" i="18"/>
  <c r="I459" i="18"/>
  <c r="I443" i="18"/>
  <c r="I427" i="18"/>
  <c r="I411" i="18"/>
  <c r="I395" i="18"/>
  <c r="I379" i="18"/>
  <c r="I363" i="18"/>
  <c r="I347" i="18"/>
  <c r="I331" i="18"/>
  <c r="I315" i="18"/>
  <c r="I299" i="18"/>
  <c r="I283" i="18"/>
  <c r="I267" i="18"/>
  <c r="I251" i="18"/>
  <c r="I235" i="18"/>
  <c r="I219" i="18"/>
  <c r="I203" i="18"/>
  <c r="I187" i="18"/>
  <c r="I171" i="18"/>
  <c r="I155" i="18"/>
  <c r="I139" i="18"/>
  <c r="I123" i="18"/>
  <c r="I107" i="18"/>
  <c r="I91" i="18"/>
  <c r="I75" i="18"/>
  <c r="I59" i="18"/>
  <c r="I43" i="18"/>
  <c r="I27" i="18"/>
  <c r="I11" i="18"/>
  <c r="I983" i="18"/>
  <c r="I951" i="18"/>
  <c r="I919" i="18"/>
  <c r="I887" i="18"/>
  <c r="I855" i="18"/>
  <c r="I823" i="18"/>
  <c r="I791" i="18"/>
  <c r="I759" i="18"/>
  <c r="I727" i="18"/>
  <c r="I695" i="18"/>
  <c r="I663" i="18"/>
  <c r="I631" i="18"/>
  <c r="I599" i="18"/>
  <c r="I567" i="18"/>
  <c r="I535" i="18"/>
  <c r="I503" i="18"/>
  <c r="I471" i="18"/>
  <c r="I439" i="18"/>
  <c r="I407" i="18"/>
  <c r="I375" i="18"/>
  <c r="I343" i="18"/>
  <c r="I311" i="18"/>
  <c r="I279" i="18"/>
  <c r="I247" i="18"/>
  <c r="I215" i="18"/>
  <c r="I183" i="18"/>
  <c r="I151" i="18"/>
  <c r="I119" i="18"/>
  <c r="I87" i="18"/>
  <c r="I55" i="18"/>
  <c r="I23" i="18"/>
  <c r="I999" i="18"/>
  <c r="I967" i="18"/>
  <c r="I935" i="18"/>
  <c r="I903" i="18"/>
  <c r="I871" i="18"/>
  <c r="I839" i="18"/>
  <c r="I807" i="18"/>
  <c r="I775" i="18"/>
  <c r="I743" i="18"/>
  <c r="I711" i="18"/>
  <c r="I679" i="18"/>
  <c r="I647" i="18"/>
  <c r="I615" i="18"/>
  <c r="I583" i="18"/>
  <c r="I551" i="18"/>
  <c r="I519" i="18"/>
  <c r="I487" i="18"/>
  <c r="I455" i="18"/>
  <c r="I423" i="18"/>
  <c r="I391" i="18"/>
  <c r="I359" i="18"/>
  <c r="I327" i="18"/>
  <c r="I295" i="18"/>
  <c r="I263" i="18"/>
  <c r="I231" i="18"/>
  <c r="I199" i="18"/>
  <c r="I167" i="18"/>
  <c r="I135" i="18"/>
  <c r="I103" i="18"/>
  <c r="I71" i="18"/>
  <c r="I39" i="18"/>
  <c r="I7" i="18"/>
  <c r="I991" i="18"/>
  <c r="I927" i="18"/>
  <c r="I863" i="18"/>
  <c r="I799" i="18"/>
  <c r="I735" i="18"/>
  <c r="I671" i="18"/>
  <c r="I607" i="18"/>
  <c r="I543" i="18"/>
  <c r="I479" i="18"/>
  <c r="I415" i="18"/>
  <c r="I351" i="18"/>
  <c r="I287" i="18"/>
  <c r="I223" i="18"/>
  <c r="I159" i="18"/>
  <c r="I95" i="18"/>
  <c r="I31" i="18"/>
  <c r="I959" i="18"/>
  <c r="I895" i="18"/>
  <c r="I831" i="18"/>
  <c r="I767" i="18"/>
  <c r="I703" i="18"/>
  <c r="I639" i="18"/>
  <c r="I575" i="18"/>
  <c r="I511" i="18"/>
  <c r="I447" i="18"/>
  <c r="I383" i="18"/>
  <c r="I319" i="18"/>
  <c r="I255" i="18"/>
  <c r="I191" i="18"/>
  <c r="I127" i="18"/>
  <c r="I63" i="18"/>
  <c r="I943" i="18"/>
  <c r="I879" i="18"/>
  <c r="I815" i="18"/>
  <c r="I751" i="18"/>
  <c r="I687" i="18"/>
  <c r="I623" i="18"/>
  <c r="I559" i="18"/>
  <c r="I495" i="18"/>
  <c r="I431" i="18"/>
  <c r="I367" i="18"/>
  <c r="I303" i="18"/>
  <c r="I239" i="18"/>
  <c r="I175" i="18"/>
  <c r="I111" i="18"/>
  <c r="I47" i="18"/>
  <c r="I783" i="18"/>
  <c r="I527" i="18"/>
  <c r="I271" i="18"/>
  <c r="I15" i="18"/>
  <c r="I847" i="18"/>
  <c r="I591" i="18"/>
  <c r="I335" i="18"/>
  <c r="I79" i="18"/>
  <c r="I975" i="18"/>
  <c r="I719" i="18"/>
  <c r="I463" i="18"/>
  <c r="I207" i="18"/>
  <c r="I911" i="18"/>
  <c r="I655" i="18"/>
  <c r="I399" i="18"/>
  <c r="I143" i="18"/>
  <c r="I999" i="24"/>
  <c r="I995" i="24"/>
  <c r="I991" i="24"/>
  <c r="I987" i="24"/>
  <c r="I983" i="24"/>
  <c r="I979" i="24"/>
  <c r="I975" i="24"/>
  <c r="I971" i="24"/>
  <c r="I967" i="24"/>
  <c r="I963" i="24"/>
  <c r="I959" i="24"/>
  <c r="I955" i="24"/>
  <c r="I951" i="24"/>
  <c r="I947" i="24"/>
  <c r="I943" i="24"/>
  <c r="I939" i="24"/>
  <c r="I935" i="24"/>
  <c r="I931" i="24"/>
  <c r="I927" i="24"/>
  <c r="I923" i="24"/>
  <c r="I919" i="24"/>
  <c r="I915" i="24"/>
  <c r="I911" i="24"/>
  <c r="I907" i="24"/>
  <c r="I903" i="24"/>
  <c r="I899" i="24"/>
  <c r="I895" i="24"/>
  <c r="I891" i="24"/>
  <c r="I887" i="24"/>
  <c r="I883" i="24"/>
  <c r="I879" i="24"/>
  <c r="I875" i="24"/>
  <c r="I871" i="24"/>
  <c r="I867" i="24"/>
  <c r="I863" i="24"/>
  <c r="I859" i="24"/>
  <c r="I855" i="24"/>
  <c r="I851" i="24"/>
  <c r="I847" i="24"/>
  <c r="I843" i="24"/>
  <c r="I839" i="24"/>
  <c r="I835" i="24"/>
  <c r="I831" i="24"/>
  <c r="I827" i="24"/>
  <c r="I823" i="24"/>
  <c r="I819" i="24"/>
  <c r="I815" i="24"/>
  <c r="I811" i="24"/>
  <c r="I807" i="24"/>
  <c r="I803" i="24"/>
  <c r="I799" i="24"/>
  <c r="I795" i="24"/>
  <c r="I791" i="24"/>
  <c r="I787" i="24"/>
  <c r="I783" i="24"/>
  <c r="I779" i="24"/>
  <c r="I775" i="24"/>
  <c r="I771" i="24"/>
  <c r="I767" i="24"/>
  <c r="I763" i="24"/>
  <c r="I759" i="24"/>
  <c r="I755" i="24"/>
  <c r="I751" i="24"/>
  <c r="I747" i="24"/>
  <c r="I743" i="24"/>
  <c r="I739" i="24"/>
  <c r="I735" i="24"/>
  <c r="I731" i="24"/>
  <c r="I727" i="24"/>
  <c r="I723" i="24"/>
  <c r="I719" i="24"/>
  <c r="I715" i="24"/>
  <c r="I711" i="24"/>
  <c r="I707" i="24"/>
  <c r="I703" i="24"/>
  <c r="I699" i="24"/>
  <c r="I695" i="24"/>
  <c r="I691" i="24"/>
  <c r="I687" i="24"/>
  <c r="I683" i="24"/>
  <c r="I679" i="24"/>
  <c r="I675" i="24"/>
  <c r="I671" i="24"/>
  <c r="I667" i="24"/>
  <c r="I663" i="24"/>
  <c r="I659" i="24"/>
  <c r="I655" i="24"/>
  <c r="I651" i="24"/>
  <c r="I647" i="24"/>
  <c r="I643" i="24"/>
  <c r="I639" i="24"/>
  <c r="I635" i="24"/>
  <c r="I631" i="24"/>
  <c r="I627" i="24"/>
  <c r="I623" i="24"/>
  <c r="I619" i="24"/>
  <c r="I615" i="24"/>
  <c r="I611" i="24"/>
  <c r="I607" i="24"/>
  <c r="I603" i="24"/>
  <c r="I599" i="24"/>
  <c r="I595" i="24"/>
  <c r="I591" i="24"/>
  <c r="I587" i="24"/>
  <c r="I583" i="24"/>
  <c r="I579" i="24"/>
  <c r="I575" i="24"/>
  <c r="I571" i="24"/>
  <c r="I567" i="24"/>
  <c r="I563" i="24"/>
  <c r="I559" i="24"/>
  <c r="I555" i="24"/>
  <c r="I551" i="24"/>
  <c r="I547" i="24"/>
  <c r="I543" i="24"/>
  <c r="I539" i="24"/>
  <c r="I535" i="24"/>
  <c r="I531" i="24"/>
  <c r="I527" i="24"/>
  <c r="I523" i="24"/>
  <c r="I519" i="24"/>
  <c r="I515" i="24"/>
  <c r="I511" i="24"/>
  <c r="I507" i="24"/>
  <c r="I503" i="24"/>
  <c r="I499" i="24"/>
  <c r="I495" i="24"/>
  <c r="I491" i="24"/>
  <c r="I487" i="24"/>
  <c r="I483" i="24"/>
  <c r="I479" i="24"/>
  <c r="I475" i="24"/>
  <c r="I471" i="24"/>
  <c r="I467" i="24"/>
  <c r="I463" i="24"/>
  <c r="I459" i="24"/>
  <c r="I455" i="24"/>
  <c r="I451" i="24"/>
  <c r="I447" i="24"/>
  <c r="I443" i="24"/>
  <c r="I439" i="24"/>
  <c r="I435" i="24"/>
  <c r="I431" i="24"/>
  <c r="I427" i="24"/>
  <c r="I423" i="24"/>
  <c r="I419" i="24"/>
  <c r="I415" i="24"/>
  <c r="I411" i="24"/>
  <c r="I407" i="24"/>
  <c r="I403" i="24"/>
  <c r="I399" i="24"/>
  <c r="I395" i="24"/>
  <c r="I391" i="24"/>
  <c r="I387" i="24"/>
  <c r="I383" i="24"/>
  <c r="I379" i="24"/>
  <c r="I375" i="24"/>
  <c r="I371" i="24"/>
  <c r="I367" i="24"/>
  <c r="I363" i="24"/>
  <c r="I359" i="24"/>
  <c r="I355" i="24"/>
  <c r="I351" i="24"/>
  <c r="I347" i="24"/>
  <c r="I343" i="24"/>
  <c r="I339" i="24"/>
  <c r="I335" i="24"/>
  <c r="I331" i="24"/>
  <c r="I327" i="24"/>
  <c r="I323" i="24"/>
  <c r="I319" i="24"/>
  <c r="I315" i="24"/>
  <c r="I311" i="24"/>
  <c r="I307" i="24"/>
  <c r="I303" i="24"/>
  <c r="I299" i="24"/>
  <c r="I295" i="24"/>
  <c r="I291" i="24"/>
  <c r="I287" i="24"/>
  <c r="I283" i="24"/>
  <c r="I279" i="24"/>
  <c r="I275" i="24"/>
  <c r="I271" i="24"/>
  <c r="I267" i="24"/>
  <c r="I263" i="24"/>
  <c r="I259" i="24"/>
  <c r="I255" i="24"/>
  <c r="I251" i="24"/>
  <c r="I247" i="24"/>
  <c r="I243" i="24"/>
  <c r="I239" i="24"/>
  <c r="I235" i="24"/>
  <c r="I231" i="24"/>
  <c r="I227" i="24"/>
  <c r="I223" i="24"/>
  <c r="I219" i="24"/>
  <c r="I215" i="24"/>
  <c r="I211" i="24"/>
  <c r="I207" i="24"/>
  <c r="I203" i="24"/>
  <c r="I199" i="24"/>
  <c r="I195" i="24"/>
  <c r="I191" i="24"/>
  <c r="I187" i="24"/>
  <c r="I183" i="24"/>
  <c r="I179" i="24"/>
  <c r="I175" i="24"/>
  <c r="I171" i="24"/>
  <c r="I167" i="24"/>
  <c r="I163" i="24"/>
  <c r="I159" i="24"/>
  <c r="I155" i="24"/>
  <c r="I151" i="24"/>
  <c r="I147" i="24"/>
  <c r="I143" i="24"/>
  <c r="I139" i="24"/>
  <c r="I135" i="24"/>
  <c r="I131" i="24"/>
  <c r="I127" i="24"/>
  <c r="I123" i="24"/>
  <c r="I119" i="24"/>
  <c r="I115" i="24"/>
  <c r="I111" i="24"/>
  <c r="I107" i="24"/>
  <c r="I103" i="24"/>
  <c r="I99" i="24"/>
  <c r="I95" i="24"/>
  <c r="I91" i="24"/>
  <c r="I87" i="24"/>
  <c r="I83" i="24"/>
  <c r="I79" i="24"/>
  <c r="I75" i="24"/>
  <c r="I71" i="24"/>
  <c r="I67" i="24"/>
  <c r="I63" i="24"/>
  <c r="I59" i="24"/>
  <c r="I55" i="24"/>
  <c r="I51" i="24"/>
  <c r="I47" i="24"/>
  <c r="I43" i="24"/>
  <c r="I39" i="24"/>
  <c r="I35" i="24"/>
  <c r="I31" i="24"/>
  <c r="I27" i="24"/>
  <c r="I23" i="24"/>
  <c r="I19" i="24"/>
  <c r="I15" i="24"/>
  <c r="I11" i="24"/>
  <c r="I7" i="24"/>
  <c r="I3" i="24"/>
  <c r="I997" i="24"/>
  <c r="I993" i="24"/>
  <c r="I989" i="24"/>
  <c r="I985" i="24"/>
  <c r="I981" i="24"/>
  <c r="I977" i="24"/>
  <c r="I973" i="24"/>
  <c r="I969" i="24"/>
  <c r="I965" i="24"/>
  <c r="I961" i="24"/>
  <c r="I957" i="24"/>
  <c r="I953" i="24"/>
  <c r="I949" i="24"/>
  <c r="I945" i="24"/>
  <c r="I941" i="24"/>
  <c r="I937" i="24"/>
  <c r="I933" i="24"/>
  <c r="I929" i="24"/>
  <c r="I925" i="24"/>
  <c r="I921" i="24"/>
  <c r="I917" i="24"/>
  <c r="I913" i="24"/>
  <c r="I909" i="24"/>
  <c r="I905" i="24"/>
  <c r="I901" i="24"/>
  <c r="I897" i="24"/>
  <c r="I893" i="24"/>
  <c r="I889" i="24"/>
  <c r="I885" i="24"/>
  <c r="I881" i="24"/>
  <c r="I877" i="24"/>
  <c r="I873" i="24"/>
  <c r="I869" i="24"/>
  <c r="I865" i="24"/>
  <c r="I861" i="24"/>
  <c r="I857" i="24"/>
  <c r="I853" i="24"/>
  <c r="I849" i="24"/>
  <c r="I845" i="24"/>
  <c r="I841" i="24"/>
  <c r="I837" i="24"/>
  <c r="I833" i="24"/>
  <c r="I829" i="24"/>
  <c r="I825" i="24"/>
  <c r="I821" i="24"/>
  <c r="I817" i="24"/>
  <c r="I813" i="24"/>
  <c r="I809" i="24"/>
  <c r="I805" i="24"/>
  <c r="I801" i="24"/>
  <c r="I797" i="24"/>
  <c r="I793" i="24"/>
  <c r="I789" i="24"/>
  <c r="I785" i="24"/>
  <c r="I781" i="24"/>
  <c r="I777" i="24"/>
  <c r="I773" i="24"/>
  <c r="I769" i="24"/>
  <c r="I765" i="24"/>
  <c r="I761" i="24"/>
  <c r="I757" i="24"/>
  <c r="I753" i="24"/>
  <c r="I749" i="24"/>
  <c r="I745" i="24"/>
  <c r="I741" i="24"/>
  <c r="I737" i="24"/>
  <c r="I733" i="24"/>
  <c r="I729" i="24"/>
  <c r="I725" i="24"/>
  <c r="I721" i="24"/>
  <c r="I717" i="24"/>
  <c r="I713" i="24"/>
  <c r="I709" i="24"/>
  <c r="I705" i="24"/>
  <c r="I701" i="24"/>
  <c r="I697" i="24"/>
  <c r="I693" i="24"/>
  <c r="I689" i="24"/>
  <c r="I685" i="24"/>
  <c r="I681" i="24"/>
  <c r="I677" i="24"/>
  <c r="I673" i="24"/>
  <c r="I669" i="24"/>
  <c r="I665" i="24"/>
  <c r="I661" i="24"/>
  <c r="I657" i="24"/>
  <c r="I653" i="24"/>
  <c r="I649" i="24"/>
  <c r="I645" i="24"/>
  <c r="I641" i="24"/>
  <c r="I637" i="24"/>
  <c r="I633" i="24"/>
  <c r="I629" i="24"/>
  <c r="I625" i="24"/>
  <c r="I621" i="24"/>
  <c r="I617" i="24"/>
  <c r="I613" i="24"/>
  <c r="I609" i="24"/>
  <c r="I605" i="24"/>
  <c r="I601" i="24"/>
  <c r="I597" i="24"/>
  <c r="I593" i="24"/>
  <c r="I589" i="24"/>
  <c r="I585" i="24"/>
  <c r="I581" i="24"/>
  <c r="I577" i="24"/>
  <c r="I573" i="24"/>
  <c r="I569" i="24"/>
  <c r="I565" i="24"/>
  <c r="I561" i="24"/>
  <c r="I557" i="24"/>
  <c r="I553" i="24"/>
  <c r="I549" i="24"/>
  <c r="I545" i="24"/>
  <c r="I541" i="24"/>
  <c r="I537" i="24"/>
  <c r="I533" i="24"/>
  <c r="I529" i="24"/>
  <c r="I525" i="24"/>
  <c r="I521" i="24"/>
  <c r="I517" i="24"/>
  <c r="I513" i="24"/>
  <c r="I509" i="24"/>
  <c r="I505" i="24"/>
  <c r="I501" i="24"/>
  <c r="I497" i="24"/>
  <c r="I493" i="24"/>
  <c r="I489" i="24"/>
  <c r="I485" i="24"/>
  <c r="I481" i="24"/>
  <c r="I477" i="24"/>
  <c r="I473" i="24"/>
  <c r="I469" i="24"/>
  <c r="I465" i="24"/>
  <c r="I461" i="24"/>
  <c r="I457" i="24"/>
  <c r="I453" i="24"/>
  <c r="I449" i="24"/>
  <c r="I445" i="24"/>
  <c r="I441" i="24"/>
  <c r="I437" i="24"/>
  <c r="I433" i="24"/>
  <c r="I429" i="24"/>
  <c r="I425" i="24"/>
  <c r="I421" i="24"/>
  <c r="I417" i="24"/>
  <c r="I413" i="24"/>
  <c r="I409" i="24"/>
  <c r="I405" i="24"/>
  <c r="I401" i="24"/>
  <c r="I397" i="24"/>
  <c r="I393" i="24"/>
  <c r="I389" i="24"/>
  <c r="I385" i="24"/>
  <c r="I381" i="24"/>
  <c r="I377" i="24"/>
  <c r="I373" i="24"/>
  <c r="I369" i="24"/>
  <c r="I365" i="24"/>
  <c r="I361" i="24"/>
  <c r="I357" i="24"/>
  <c r="I353" i="24"/>
  <c r="I349" i="24"/>
  <c r="I345" i="24"/>
  <c r="I341" i="24"/>
  <c r="I337" i="24"/>
  <c r="I333" i="24"/>
  <c r="I329" i="24"/>
  <c r="I325" i="24"/>
  <c r="I321" i="24"/>
  <c r="I317" i="24"/>
  <c r="I313" i="24"/>
  <c r="I309" i="24"/>
  <c r="I305" i="24"/>
  <c r="I301" i="24"/>
  <c r="I297" i="24"/>
  <c r="I293" i="24"/>
  <c r="I289" i="24"/>
  <c r="I285" i="24"/>
  <c r="I281" i="24"/>
  <c r="I277" i="24"/>
  <c r="I273" i="24"/>
  <c r="I269" i="24"/>
  <c r="I265" i="24"/>
  <c r="I261" i="24"/>
  <c r="I257" i="24"/>
  <c r="I253" i="24"/>
  <c r="I249" i="24"/>
  <c r="I245" i="24"/>
  <c r="I241" i="24"/>
  <c r="I237" i="24"/>
  <c r="I233" i="24"/>
  <c r="I229" i="24"/>
  <c r="I225" i="24"/>
  <c r="I221" i="24"/>
  <c r="I217" i="24"/>
  <c r="I213" i="24"/>
  <c r="I209" i="24"/>
  <c r="I205" i="24"/>
  <c r="I201" i="24"/>
  <c r="I197" i="24"/>
  <c r="I193" i="24"/>
  <c r="I189" i="24"/>
  <c r="I185" i="24"/>
  <c r="I181" i="24"/>
  <c r="I177" i="24"/>
  <c r="I173" i="24"/>
  <c r="I169" i="24"/>
  <c r="I165" i="24"/>
  <c r="I161" i="24"/>
  <c r="I157" i="24"/>
  <c r="I153" i="24"/>
  <c r="I149" i="24"/>
  <c r="I145" i="24"/>
  <c r="I141" i="24"/>
  <c r="I137" i="24"/>
  <c r="I133" i="24"/>
  <c r="I129" i="24"/>
  <c r="I125" i="24"/>
  <c r="I121" i="24"/>
  <c r="I117" i="24"/>
  <c r="I113" i="24"/>
  <c r="I109" i="24"/>
  <c r="I105" i="24"/>
  <c r="I101" i="24"/>
  <c r="I97" i="24"/>
  <c r="I93" i="24"/>
  <c r="I89" i="24"/>
  <c r="I85" i="24"/>
  <c r="I81" i="24"/>
  <c r="I77" i="24"/>
  <c r="I73" i="24"/>
  <c r="I69" i="24"/>
  <c r="I65" i="24"/>
  <c r="I61" i="24"/>
  <c r="I57" i="24"/>
  <c r="I53" i="24"/>
  <c r="I49" i="24"/>
  <c r="I45" i="24"/>
  <c r="I41" i="24"/>
  <c r="I37" i="24"/>
  <c r="I33" i="24"/>
  <c r="I29" i="24"/>
  <c r="I25" i="24"/>
  <c r="I21" i="24"/>
  <c r="I17" i="24"/>
  <c r="I13" i="24"/>
  <c r="I9" i="24"/>
  <c r="I5" i="24"/>
  <c r="I1000" i="24"/>
  <c r="I992" i="24"/>
  <c r="I984" i="24"/>
  <c r="I976" i="24"/>
  <c r="I968" i="24"/>
  <c r="I960" i="24"/>
  <c r="I952" i="24"/>
  <c r="I944" i="24"/>
  <c r="I936" i="24"/>
  <c r="I928" i="24"/>
  <c r="I920" i="24"/>
  <c r="I912" i="24"/>
  <c r="I904" i="24"/>
  <c r="I896" i="24"/>
  <c r="I888" i="24"/>
  <c r="I880" i="24"/>
  <c r="I872" i="24"/>
  <c r="I864" i="24"/>
  <c r="I856" i="24"/>
  <c r="I848" i="24"/>
  <c r="I840" i="24"/>
  <c r="I832" i="24"/>
  <c r="I824" i="24"/>
  <c r="I816" i="24"/>
  <c r="I808" i="24"/>
  <c r="I800" i="24"/>
  <c r="I792" i="24"/>
  <c r="I784" i="24"/>
  <c r="I776" i="24"/>
  <c r="I768" i="24"/>
  <c r="I760" i="24"/>
  <c r="I752" i="24"/>
  <c r="I744" i="24"/>
  <c r="I736" i="24"/>
  <c r="I728" i="24"/>
  <c r="I720" i="24"/>
  <c r="I712" i="24"/>
  <c r="I704" i="24"/>
  <c r="I696" i="24"/>
  <c r="I688" i="24"/>
  <c r="I680" i="24"/>
  <c r="I672" i="24"/>
  <c r="I664" i="24"/>
  <c r="I656" i="24"/>
  <c r="I648" i="24"/>
  <c r="I640" i="24"/>
  <c r="I632" i="24"/>
  <c r="I624" i="24"/>
  <c r="I616" i="24"/>
  <c r="I608" i="24"/>
  <c r="I600" i="24"/>
  <c r="I592" i="24"/>
  <c r="I584" i="24"/>
  <c r="I576" i="24"/>
  <c r="I568" i="24"/>
  <c r="I560" i="24"/>
  <c r="I552" i="24"/>
  <c r="I544" i="24"/>
  <c r="I536" i="24"/>
  <c r="I528" i="24"/>
  <c r="I520" i="24"/>
  <c r="I512" i="24"/>
  <c r="I504" i="24"/>
  <c r="I496" i="24"/>
  <c r="I488" i="24"/>
  <c r="I480" i="24"/>
  <c r="I472" i="24"/>
  <c r="I464" i="24"/>
  <c r="I456" i="24"/>
  <c r="I448" i="24"/>
  <c r="I440" i="24"/>
  <c r="I432" i="24"/>
  <c r="I424" i="24"/>
  <c r="I416" i="24"/>
  <c r="I408" i="24"/>
  <c r="I400" i="24"/>
  <c r="I392" i="24"/>
  <c r="I384" i="24"/>
  <c r="I376" i="24"/>
  <c r="I368" i="24"/>
  <c r="I360" i="24"/>
  <c r="I352" i="24"/>
  <c r="I344" i="24"/>
  <c r="I336" i="24"/>
  <c r="I328" i="24"/>
  <c r="I320" i="24"/>
  <c r="I312" i="24"/>
  <c r="I304" i="24"/>
  <c r="I296" i="24"/>
  <c r="I288" i="24"/>
  <c r="I280" i="24"/>
  <c r="I272" i="24"/>
  <c r="I264" i="24"/>
  <c r="I256" i="24"/>
  <c r="I248" i="24"/>
  <c r="I240" i="24"/>
  <c r="I232" i="24"/>
  <c r="I224" i="24"/>
  <c r="I216" i="24"/>
  <c r="I208" i="24"/>
  <c r="I200" i="24"/>
  <c r="I192" i="24"/>
  <c r="I184" i="24"/>
  <c r="I176" i="24"/>
  <c r="I168" i="24"/>
  <c r="I160" i="24"/>
  <c r="I152" i="24"/>
  <c r="I144" i="24"/>
  <c r="I136" i="24"/>
  <c r="I128" i="24"/>
  <c r="I120" i="24"/>
  <c r="I112" i="24"/>
  <c r="I104" i="24"/>
  <c r="I96" i="24"/>
  <c r="I88" i="24"/>
  <c r="I80" i="24"/>
  <c r="I72" i="24"/>
  <c r="I64" i="24"/>
  <c r="I56" i="24"/>
  <c r="I48" i="24"/>
  <c r="I40" i="24"/>
  <c r="I32" i="24"/>
  <c r="I24" i="24"/>
  <c r="I16" i="24"/>
  <c r="I8" i="24"/>
  <c r="I1" i="24"/>
  <c r="I998" i="24"/>
  <c r="I990" i="24"/>
  <c r="I982" i="24"/>
  <c r="I974" i="24"/>
  <c r="I966" i="24"/>
  <c r="I958" i="24"/>
  <c r="I950" i="24"/>
  <c r="I942" i="24"/>
  <c r="I934" i="24"/>
  <c r="I926" i="24"/>
  <c r="I918" i="24"/>
  <c r="I910" i="24"/>
  <c r="I902" i="24"/>
  <c r="I894" i="24"/>
  <c r="I886" i="24"/>
  <c r="I878" i="24"/>
  <c r="I870" i="24"/>
  <c r="I862" i="24"/>
  <c r="I854" i="24"/>
  <c r="I846" i="24"/>
  <c r="I838" i="24"/>
  <c r="I830" i="24"/>
  <c r="I822" i="24"/>
  <c r="I814" i="24"/>
  <c r="I806" i="24"/>
  <c r="I798" i="24"/>
  <c r="I790" i="24"/>
  <c r="I782" i="24"/>
  <c r="I774" i="24"/>
  <c r="I766" i="24"/>
  <c r="I758" i="24"/>
  <c r="I750" i="24"/>
  <c r="I742" i="24"/>
  <c r="I734" i="24"/>
  <c r="I726" i="24"/>
  <c r="I718" i="24"/>
  <c r="I710" i="24"/>
  <c r="I702" i="24"/>
  <c r="I694" i="24"/>
  <c r="I686" i="24"/>
  <c r="I678" i="24"/>
  <c r="I670" i="24"/>
  <c r="I662" i="24"/>
  <c r="I654" i="24"/>
  <c r="I646" i="24"/>
  <c r="I638" i="24"/>
  <c r="I630" i="24"/>
  <c r="I622" i="24"/>
  <c r="I614" i="24"/>
  <c r="I606" i="24"/>
  <c r="I598" i="24"/>
  <c r="I590" i="24"/>
  <c r="I582" i="24"/>
  <c r="I574" i="24"/>
  <c r="I566" i="24"/>
  <c r="I558" i="24"/>
  <c r="I550" i="24"/>
  <c r="I542" i="24"/>
  <c r="I534" i="24"/>
  <c r="I526" i="24"/>
  <c r="I518" i="24"/>
  <c r="I510" i="24"/>
  <c r="I502" i="24"/>
  <c r="I494" i="24"/>
  <c r="I486" i="24"/>
  <c r="I478" i="24"/>
  <c r="I470" i="24"/>
  <c r="I462" i="24"/>
  <c r="I454" i="24"/>
  <c r="I446" i="24"/>
  <c r="I438" i="24"/>
  <c r="I430" i="24"/>
  <c r="I422" i="24"/>
  <c r="I414" i="24"/>
  <c r="I406" i="24"/>
  <c r="I398" i="24"/>
  <c r="I390" i="24"/>
  <c r="I382" i="24"/>
  <c r="I374" i="24"/>
  <c r="I366" i="24"/>
  <c r="I358" i="24"/>
  <c r="I350" i="24"/>
  <c r="I342" i="24"/>
  <c r="I334" i="24"/>
  <c r="I326" i="24"/>
  <c r="I318" i="24"/>
  <c r="I310" i="24"/>
  <c r="I302" i="24"/>
  <c r="I294" i="24"/>
  <c r="I286" i="24"/>
  <c r="I278" i="24"/>
  <c r="I270" i="24"/>
  <c r="I262" i="24"/>
  <c r="I254" i="24"/>
  <c r="I246" i="24"/>
  <c r="I238" i="24"/>
  <c r="I230" i="24"/>
  <c r="I222" i="24"/>
  <c r="I214" i="24"/>
  <c r="I206" i="24"/>
  <c r="I198" i="24"/>
  <c r="I190" i="24"/>
  <c r="I182" i="24"/>
  <c r="I174" i="24"/>
  <c r="I166" i="24"/>
  <c r="I158" i="24"/>
  <c r="I150" i="24"/>
  <c r="I142" i="24"/>
  <c r="I134" i="24"/>
  <c r="I126" i="24"/>
  <c r="I118" i="24"/>
  <c r="I110" i="24"/>
  <c r="I102" i="24"/>
  <c r="I94" i="24"/>
  <c r="I86" i="24"/>
  <c r="I78" i="24"/>
  <c r="I70" i="24"/>
  <c r="I62" i="24"/>
  <c r="I54" i="24"/>
  <c r="I46" i="24"/>
  <c r="I38" i="24"/>
  <c r="I30" i="24"/>
  <c r="I22" i="24"/>
  <c r="I14" i="24"/>
  <c r="I6" i="24"/>
  <c r="I988" i="24"/>
  <c r="I972" i="24"/>
  <c r="I956" i="24"/>
  <c r="I940" i="24"/>
  <c r="I924" i="24"/>
  <c r="I908" i="24"/>
  <c r="I892" i="24"/>
  <c r="I876" i="24"/>
  <c r="I860" i="24"/>
  <c r="I844" i="24"/>
  <c r="I828" i="24"/>
  <c r="I812" i="24"/>
  <c r="I796" i="24"/>
  <c r="I780" i="24"/>
  <c r="I764" i="24"/>
  <c r="I748" i="24"/>
  <c r="I732" i="24"/>
  <c r="I716" i="24"/>
  <c r="I700" i="24"/>
  <c r="I684" i="24"/>
  <c r="I668" i="24"/>
  <c r="I652" i="24"/>
  <c r="I636" i="24"/>
  <c r="I620" i="24"/>
  <c r="I604" i="24"/>
  <c r="I588" i="24"/>
  <c r="I572" i="24"/>
  <c r="I556" i="24"/>
  <c r="I540" i="24"/>
  <c r="I524" i="24"/>
  <c r="I508" i="24"/>
  <c r="I492" i="24"/>
  <c r="I476" i="24"/>
  <c r="I460" i="24"/>
  <c r="I444" i="24"/>
  <c r="I428" i="24"/>
  <c r="I412" i="24"/>
  <c r="I396" i="24"/>
  <c r="I380" i="24"/>
  <c r="I364" i="24"/>
  <c r="I348" i="24"/>
  <c r="I332" i="24"/>
  <c r="I316" i="24"/>
  <c r="I300" i="24"/>
  <c r="I284" i="24"/>
  <c r="I268" i="24"/>
  <c r="I252" i="24"/>
  <c r="I236" i="24"/>
  <c r="I220" i="24"/>
  <c r="I204" i="24"/>
  <c r="I188" i="24"/>
  <c r="I172" i="24"/>
  <c r="I156" i="24"/>
  <c r="I140" i="24"/>
  <c r="I124" i="24"/>
  <c r="I108" i="24"/>
  <c r="I92" i="24"/>
  <c r="I76" i="24"/>
  <c r="I60" i="24"/>
  <c r="I44" i="24"/>
  <c r="I28" i="24"/>
  <c r="I12" i="24"/>
  <c r="I986" i="24"/>
  <c r="I970" i="24"/>
  <c r="I954" i="24"/>
  <c r="I938" i="24"/>
  <c r="I922" i="24"/>
  <c r="I906" i="24"/>
  <c r="I890" i="24"/>
  <c r="I874" i="24"/>
  <c r="I858" i="24"/>
  <c r="I842" i="24"/>
  <c r="I826" i="24"/>
  <c r="I810" i="24"/>
  <c r="I794" i="24"/>
  <c r="I778" i="24"/>
  <c r="I762" i="24"/>
  <c r="I746" i="24"/>
  <c r="I730" i="24"/>
  <c r="I714" i="24"/>
  <c r="I698" i="24"/>
  <c r="I682" i="24"/>
  <c r="I666" i="24"/>
  <c r="I650" i="24"/>
  <c r="I634" i="24"/>
  <c r="I618" i="24"/>
  <c r="I602" i="24"/>
  <c r="I586" i="24"/>
  <c r="I570" i="24"/>
  <c r="I554" i="24"/>
  <c r="I538" i="24"/>
  <c r="I522" i="24"/>
  <c r="I506" i="24"/>
  <c r="I490" i="24"/>
  <c r="I474" i="24"/>
  <c r="I458" i="24"/>
  <c r="I442" i="24"/>
  <c r="I426" i="24"/>
  <c r="I410" i="24"/>
  <c r="I394" i="24"/>
  <c r="I378" i="24"/>
  <c r="I362" i="24"/>
  <c r="I346" i="24"/>
  <c r="I330" i="24"/>
  <c r="I314" i="24"/>
  <c r="I298" i="24"/>
  <c r="I282" i="24"/>
  <c r="I266" i="24"/>
  <c r="I250" i="24"/>
  <c r="I234" i="24"/>
  <c r="I218" i="24"/>
  <c r="I202" i="24"/>
  <c r="I186" i="24"/>
  <c r="I170" i="24"/>
  <c r="I154" i="24"/>
  <c r="I138" i="24"/>
  <c r="I122" i="24"/>
  <c r="I106" i="24"/>
  <c r="I90" i="24"/>
  <c r="I74" i="24"/>
  <c r="I58" i="24"/>
  <c r="I42" i="24"/>
  <c r="I26" i="24"/>
  <c r="I10" i="24"/>
  <c r="I994" i="24"/>
  <c r="I962" i="24"/>
  <c r="I930" i="24"/>
  <c r="I898" i="24"/>
  <c r="I866" i="24"/>
  <c r="I834" i="24"/>
  <c r="I802" i="24"/>
  <c r="I770" i="24"/>
  <c r="I738" i="24"/>
  <c r="I706" i="24"/>
  <c r="I674" i="24"/>
  <c r="I642" i="24"/>
  <c r="I610" i="24"/>
  <c r="I578" i="24"/>
  <c r="I546" i="24"/>
  <c r="I514" i="24"/>
  <c r="I482" i="24"/>
  <c r="I450" i="24"/>
  <c r="I418" i="24"/>
  <c r="I386" i="24"/>
  <c r="I354" i="24"/>
  <c r="I322" i="24"/>
  <c r="I290" i="24"/>
  <c r="I258" i="24"/>
  <c r="I226" i="24"/>
  <c r="I194" i="24"/>
  <c r="I162" i="24"/>
  <c r="I130" i="24"/>
  <c r="I98" i="24"/>
  <c r="I66" i="24"/>
  <c r="I34" i="24"/>
  <c r="I2" i="24"/>
  <c r="I978" i="24"/>
  <c r="I946" i="24"/>
  <c r="I914" i="24"/>
  <c r="I882" i="24"/>
  <c r="I850" i="24"/>
  <c r="I818" i="24"/>
  <c r="I786" i="24"/>
  <c r="I754" i="24"/>
  <c r="I722" i="24"/>
  <c r="I690" i="24"/>
  <c r="I658" i="24"/>
  <c r="I626" i="24"/>
  <c r="I594" i="24"/>
  <c r="I562" i="24"/>
  <c r="I530" i="24"/>
  <c r="I498" i="24"/>
  <c r="I466" i="24"/>
  <c r="I434" i="24"/>
  <c r="I402" i="24"/>
  <c r="I370" i="24"/>
  <c r="I338" i="24"/>
  <c r="I306" i="24"/>
  <c r="I274" i="24"/>
  <c r="I242" i="24"/>
  <c r="I210" i="24"/>
  <c r="I178" i="24"/>
  <c r="I146" i="24"/>
  <c r="I114" i="24"/>
  <c r="I82" i="24"/>
  <c r="I50" i="24"/>
  <c r="I18" i="24"/>
  <c r="I948" i="24"/>
  <c r="I884" i="24"/>
  <c r="I820" i="24"/>
  <c r="I756" i="24"/>
  <c r="I692" i="24"/>
  <c r="I628" i="24"/>
  <c r="I564" i="24"/>
  <c r="I500" i="24"/>
  <c r="I436" i="24"/>
  <c r="I372" i="24"/>
  <c r="I308" i="24"/>
  <c r="I244" i="24"/>
  <c r="I180" i="24"/>
  <c r="I116" i="24"/>
  <c r="I52" i="24"/>
  <c r="I980" i="24"/>
  <c r="I916" i="24"/>
  <c r="I852" i="24"/>
  <c r="I788" i="24"/>
  <c r="I724" i="24"/>
  <c r="I660" i="24"/>
  <c r="I596" i="24"/>
  <c r="I532" i="24"/>
  <c r="I468" i="24"/>
  <c r="I404" i="24"/>
  <c r="I340" i="24"/>
  <c r="I276" i="24"/>
  <c r="I212" i="24"/>
  <c r="I148" i="24"/>
  <c r="I84" i="24"/>
  <c r="I20" i="24"/>
  <c r="I900" i="24"/>
  <c r="I772" i="24"/>
  <c r="I644" i="24"/>
  <c r="I516" i="24"/>
  <c r="I388" i="24"/>
  <c r="I260" i="24"/>
  <c r="I132" i="24"/>
  <c r="I4" i="24"/>
  <c r="I964" i="24"/>
  <c r="I836" i="24"/>
  <c r="I708" i="24"/>
  <c r="I580" i="24"/>
  <c r="I452" i="24"/>
  <c r="I324" i="24"/>
  <c r="I196" i="24"/>
  <c r="I68" i="24"/>
  <c r="I804" i="24"/>
  <c r="I548" i="24"/>
  <c r="I292" i="24"/>
  <c r="I36" i="24"/>
  <c r="I932" i="24"/>
  <c r="I676" i="24"/>
  <c r="I420" i="24"/>
  <c r="I164" i="24"/>
  <c r="I868" i="24"/>
  <c r="I612" i="24"/>
  <c r="I356" i="24"/>
  <c r="I100" i="24"/>
  <c r="I484" i="24"/>
  <c r="I740" i="24"/>
  <c r="I228" i="24"/>
  <c r="I996" i="24"/>
  <c r="I998" i="6"/>
  <c r="I994" i="6"/>
  <c r="I990" i="6"/>
  <c r="I986" i="6"/>
  <c r="I982" i="6"/>
  <c r="I978" i="6"/>
  <c r="I974" i="6"/>
  <c r="I970" i="6"/>
  <c r="I966" i="6"/>
  <c r="I962" i="6"/>
  <c r="I958" i="6"/>
  <c r="I954" i="6"/>
  <c r="I950" i="6"/>
  <c r="I946" i="6"/>
  <c r="I942" i="6"/>
  <c r="I938" i="6"/>
  <c r="I934" i="6"/>
  <c r="I930" i="6"/>
  <c r="I926" i="6"/>
  <c r="I922" i="6"/>
  <c r="I918" i="6"/>
  <c r="I914" i="6"/>
  <c r="I910" i="6"/>
  <c r="I906" i="6"/>
  <c r="I902" i="6"/>
  <c r="I898" i="6"/>
  <c r="I894" i="6"/>
  <c r="I890" i="6"/>
  <c r="I886" i="6"/>
  <c r="I882" i="6"/>
  <c r="I878" i="6"/>
  <c r="I874" i="6"/>
  <c r="I870" i="6"/>
  <c r="I866" i="6"/>
  <c r="I862" i="6"/>
  <c r="I858" i="6"/>
  <c r="I854" i="6"/>
  <c r="I850" i="6"/>
  <c r="I846" i="6"/>
  <c r="I842" i="6"/>
  <c r="I838" i="6"/>
  <c r="I834" i="6"/>
  <c r="I830" i="6"/>
  <c r="I826" i="6"/>
  <c r="I822" i="6"/>
  <c r="I818" i="6"/>
  <c r="I814" i="6"/>
  <c r="I810" i="6"/>
  <c r="I806" i="6"/>
  <c r="I802" i="6"/>
  <c r="I798" i="6"/>
  <c r="I794" i="6"/>
  <c r="I790" i="6"/>
  <c r="I786" i="6"/>
  <c r="I782" i="6"/>
  <c r="I778" i="6"/>
  <c r="I774" i="6"/>
  <c r="I770" i="6"/>
  <c r="I766" i="6"/>
  <c r="I762" i="6"/>
  <c r="I758" i="6"/>
  <c r="I754" i="6"/>
  <c r="I750" i="6"/>
  <c r="I746" i="6"/>
  <c r="I742" i="6"/>
  <c r="I738" i="6"/>
  <c r="I734" i="6"/>
  <c r="I730" i="6"/>
  <c r="I726" i="6"/>
  <c r="I722" i="6"/>
  <c r="I718" i="6"/>
  <c r="I714" i="6"/>
  <c r="I710" i="6"/>
  <c r="I706" i="6"/>
  <c r="I702" i="6"/>
  <c r="I698" i="6"/>
  <c r="I694" i="6"/>
  <c r="I690" i="6"/>
  <c r="I686" i="6"/>
  <c r="I682" i="6"/>
  <c r="I678" i="6"/>
  <c r="I674" i="6"/>
  <c r="I670" i="6"/>
  <c r="I666" i="6"/>
  <c r="I662" i="6"/>
  <c r="I658" i="6"/>
  <c r="I654" i="6"/>
  <c r="I650" i="6"/>
  <c r="I646" i="6"/>
  <c r="I642" i="6"/>
  <c r="I638" i="6"/>
  <c r="I634" i="6"/>
  <c r="I630" i="6"/>
  <c r="I626" i="6"/>
  <c r="I622" i="6"/>
  <c r="I618" i="6"/>
  <c r="I614" i="6"/>
  <c r="I610" i="6"/>
  <c r="I606" i="6"/>
  <c r="I602" i="6"/>
  <c r="I598" i="6"/>
  <c r="I594" i="6"/>
  <c r="I590" i="6"/>
  <c r="I586" i="6"/>
  <c r="I582" i="6"/>
  <c r="I578" i="6"/>
  <c r="I574" i="6"/>
  <c r="I570" i="6"/>
  <c r="I566" i="6"/>
  <c r="I562" i="6"/>
  <c r="I558" i="6"/>
  <c r="I554" i="6"/>
  <c r="I550" i="6"/>
  <c r="I546" i="6"/>
  <c r="I542" i="6"/>
  <c r="I538" i="6"/>
  <c r="I534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I414" i="6"/>
  <c r="I410" i="6"/>
  <c r="I406" i="6"/>
  <c r="I402" i="6"/>
  <c r="I398" i="6"/>
  <c r="I394" i="6"/>
  <c r="I390" i="6"/>
  <c r="I386" i="6"/>
  <c r="I382" i="6"/>
  <c r="I378" i="6"/>
  <c r="I374" i="6"/>
  <c r="I370" i="6"/>
  <c r="I366" i="6"/>
  <c r="I362" i="6"/>
  <c r="I358" i="6"/>
  <c r="I354" i="6"/>
  <c r="I350" i="6"/>
  <c r="I346" i="6"/>
  <c r="I342" i="6"/>
  <c r="I338" i="6"/>
  <c r="I334" i="6"/>
  <c r="I330" i="6"/>
  <c r="I326" i="6"/>
  <c r="I322" i="6"/>
  <c r="I318" i="6"/>
  <c r="I314" i="6"/>
  <c r="I310" i="6"/>
  <c r="I306" i="6"/>
  <c r="I302" i="6"/>
  <c r="I298" i="6"/>
  <c r="I294" i="6"/>
  <c r="I290" i="6"/>
  <c r="I286" i="6"/>
  <c r="I282" i="6"/>
  <c r="I278" i="6"/>
  <c r="I274" i="6"/>
  <c r="I270" i="6"/>
  <c r="I266" i="6"/>
  <c r="I262" i="6"/>
  <c r="I258" i="6"/>
  <c r="I254" i="6"/>
  <c r="I250" i="6"/>
  <c r="I246" i="6"/>
  <c r="I242" i="6"/>
  <c r="I238" i="6"/>
  <c r="I234" i="6"/>
  <c r="I230" i="6"/>
  <c r="I226" i="6"/>
  <c r="I222" i="6"/>
  <c r="I218" i="6"/>
  <c r="I214" i="6"/>
  <c r="I210" i="6"/>
  <c r="I206" i="6"/>
  <c r="I202" i="6"/>
  <c r="I198" i="6"/>
  <c r="I194" i="6"/>
  <c r="I190" i="6"/>
  <c r="I186" i="6"/>
  <c r="I182" i="6"/>
  <c r="I178" i="6"/>
  <c r="I174" i="6"/>
  <c r="I170" i="6"/>
  <c r="I166" i="6"/>
  <c r="I162" i="6"/>
  <c r="I158" i="6"/>
  <c r="I154" i="6"/>
  <c r="I150" i="6"/>
  <c r="I146" i="6"/>
  <c r="I142" i="6"/>
  <c r="I138" i="6"/>
  <c r="I134" i="6"/>
  <c r="I130" i="6"/>
  <c r="I126" i="6"/>
  <c r="I122" i="6"/>
  <c r="I118" i="6"/>
  <c r="I114" i="6"/>
  <c r="I110" i="6"/>
  <c r="I106" i="6"/>
  <c r="I102" i="6"/>
  <c r="I98" i="6"/>
  <c r="I94" i="6"/>
  <c r="I90" i="6"/>
  <c r="I86" i="6"/>
  <c r="I82" i="6"/>
  <c r="I78" i="6"/>
  <c r="I74" i="6"/>
  <c r="I70" i="6"/>
  <c r="I66" i="6"/>
  <c r="I62" i="6"/>
  <c r="I58" i="6"/>
  <c r="I54" i="6"/>
  <c r="I50" i="6"/>
  <c r="I46" i="6"/>
  <c r="I42" i="6"/>
  <c r="I38" i="6"/>
  <c r="I34" i="6"/>
  <c r="I30" i="6"/>
  <c r="I26" i="6"/>
  <c r="I22" i="6"/>
  <c r="I18" i="6"/>
  <c r="I14" i="6"/>
  <c r="I10" i="6"/>
  <c r="I6" i="6"/>
  <c r="I2" i="6"/>
  <c r="I1000" i="6"/>
  <c r="I996" i="6"/>
  <c r="I992" i="6"/>
  <c r="I988" i="6"/>
  <c r="I984" i="6"/>
  <c r="I980" i="6"/>
  <c r="I976" i="6"/>
  <c r="I972" i="6"/>
  <c r="I968" i="6"/>
  <c r="I964" i="6"/>
  <c r="I960" i="6"/>
  <c r="I956" i="6"/>
  <c r="I952" i="6"/>
  <c r="I948" i="6"/>
  <c r="I944" i="6"/>
  <c r="I940" i="6"/>
  <c r="I936" i="6"/>
  <c r="I932" i="6"/>
  <c r="I928" i="6"/>
  <c r="I924" i="6"/>
  <c r="I920" i="6"/>
  <c r="I916" i="6"/>
  <c r="I912" i="6"/>
  <c r="I908" i="6"/>
  <c r="I904" i="6"/>
  <c r="I900" i="6"/>
  <c r="I896" i="6"/>
  <c r="I892" i="6"/>
  <c r="I888" i="6"/>
  <c r="I884" i="6"/>
  <c r="I880" i="6"/>
  <c r="I876" i="6"/>
  <c r="I872" i="6"/>
  <c r="I868" i="6"/>
  <c r="I864" i="6"/>
  <c r="I860" i="6"/>
  <c r="I856" i="6"/>
  <c r="I852" i="6"/>
  <c r="I848" i="6"/>
  <c r="I844" i="6"/>
  <c r="I840" i="6"/>
  <c r="I836" i="6"/>
  <c r="I832" i="6"/>
  <c r="I828" i="6"/>
  <c r="I824" i="6"/>
  <c r="I820" i="6"/>
  <c r="I816" i="6"/>
  <c r="I812" i="6"/>
  <c r="I808" i="6"/>
  <c r="I804" i="6"/>
  <c r="I800" i="6"/>
  <c r="I796" i="6"/>
  <c r="I792" i="6"/>
  <c r="I788" i="6"/>
  <c r="I784" i="6"/>
  <c r="I780" i="6"/>
  <c r="I776" i="6"/>
  <c r="I772" i="6"/>
  <c r="I768" i="6"/>
  <c r="I764" i="6"/>
  <c r="I760" i="6"/>
  <c r="I756" i="6"/>
  <c r="I752" i="6"/>
  <c r="I748" i="6"/>
  <c r="I744" i="6"/>
  <c r="I740" i="6"/>
  <c r="I736" i="6"/>
  <c r="I732" i="6"/>
  <c r="I728" i="6"/>
  <c r="I724" i="6"/>
  <c r="I720" i="6"/>
  <c r="I716" i="6"/>
  <c r="I712" i="6"/>
  <c r="I708" i="6"/>
  <c r="I704" i="6"/>
  <c r="I700" i="6"/>
  <c r="I696" i="6"/>
  <c r="I692" i="6"/>
  <c r="I688" i="6"/>
  <c r="I684" i="6"/>
  <c r="I680" i="6"/>
  <c r="I676" i="6"/>
  <c r="I672" i="6"/>
  <c r="I668" i="6"/>
  <c r="I664" i="6"/>
  <c r="I660" i="6"/>
  <c r="I656" i="6"/>
  <c r="I652" i="6"/>
  <c r="I648" i="6"/>
  <c r="I644" i="6"/>
  <c r="I640" i="6"/>
  <c r="I636" i="6"/>
  <c r="I632" i="6"/>
  <c r="I628" i="6"/>
  <c r="I624" i="6"/>
  <c r="I620" i="6"/>
  <c r="I616" i="6"/>
  <c r="I612" i="6"/>
  <c r="I608" i="6"/>
  <c r="I604" i="6"/>
  <c r="I600" i="6"/>
  <c r="I596" i="6"/>
  <c r="I592" i="6"/>
  <c r="I588" i="6"/>
  <c r="I584" i="6"/>
  <c r="I580" i="6"/>
  <c r="I576" i="6"/>
  <c r="I572" i="6"/>
  <c r="I568" i="6"/>
  <c r="I564" i="6"/>
  <c r="I560" i="6"/>
  <c r="I556" i="6"/>
  <c r="I552" i="6"/>
  <c r="I548" i="6"/>
  <c r="I544" i="6"/>
  <c r="I540" i="6"/>
  <c r="I536" i="6"/>
  <c r="I532" i="6"/>
  <c r="I528" i="6"/>
  <c r="I524" i="6"/>
  <c r="I520" i="6"/>
  <c r="I516" i="6"/>
  <c r="I512" i="6"/>
  <c r="I508" i="6"/>
  <c r="I504" i="6"/>
  <c r="I500" i="6"/>
  <c r="I496" i="6"/>
  <c r="I492" i="6"/>
  <c r="I488" i="6"/>
  <c r="I484" i="6"/>
  <c r="I480" i="6"/>
  <c r="I476" i="6"/>
  <c r="I472" i="6"/>
  <c r="I468" i="6"/>
  <c r="I464" i="6"/>
  <c r="I460" i="6"/>
  <c r="I456" i="6"/>
  <c r="I452" i="6"/>
  <c r="I448" i="6"/>
  <c r="I444" i="6"/>
  <c r="I440" i="6"/>
  <c r="I436" i="6"/>
  <c r="I432" i="6"/>
  <c r="I428" i="6"/>
  <c r="I424" i="6"/>
  <c r="I420" i="6"/>
  <c r="I416" i="6"/>
  <c r="I412" i="6"/>
  <c r="I408" i="6"/>
  <c r="I404" i="6"/>
  <c r="I400" i="6"/>
  <c r="I396" i="6"/>
  <c r="I392" i="6"/>
  <c r="I388" i="6"/>
  <c r="I384" i="6"/>
  <c r="I380" i="6"/>
  <c r="I376" i="6"/>
  <c r="I372" i="6"/>
  <c r="I368" i="6"/>
  <c r="I364" i="6"/>
  <c r="I360" i="6"/>
  <c r="I356" i="6"/>
  <c r="I352" i="6"/>
  <c r="I348" i="6"/>
  <c r="I344" i="6"/>
  <c r="I340" i="6"/>
  <c r="I336" i="6"/>
  <c r="I332" i="6"/>
  <c r="I328" i="6"/>
  <c r="I324" i="6"/>
  <c r="I320" i="6"/>
  <c r="I316" i="6"/>
  <c r="I312" i="6"/>
  <c r="I308" i="6"/>
  <c r="I304" i="6"/>
  <c r="I300" i="6"/>
  <c r="I296" i="6"/>
  <c r="I292" i="6"/>
  <c r="I288" i="6"/>
  <c r="I284" i="6"/>
  <c r="I280" i="6"/>
  <c r="I276" i="6"/>
  <c r="I272" i="6"/>
  <c r="I268" i="6"/>
  <c r="I264" i="6"/>
  <c r="I260" i="6"/>
  <c r="I256" i="6"/>
  <c r="I252" i="6"/>
  <c r="I248" i="6"/>
  <c r="I244" i="6"/>
  <c r="I240" i="6"/>
  <c r="I236" i="6"/>
  <c r="I232" i="6"/>
  <c r="I228" i="6"/>
  <c r="I224" i="6"/>
  <c r="I220" i="6"/>
  <c r="I216" i="6"/>
  <c r="I212" i="6"/>
  <c r="I208" i="6"/>
  <c r="I204" i="6"/>
  <c r="I200" i="6"/>
  <c r="I196" i="6"/>
  <c r="I192" i="6"/>
  <c r="I188" i="6"/>
  <c r="I184" i="6"/>
  <c r="I180" i="6"/>
  <c r="I176" i="6"/>
  <c r="I172" i="6"/>
  <c r="I168" i="6"/>
  <c r="I164" i="6"/>
  <c r="I160" i="6"/>
  <c r="I156" i="6"/>
  <c r="I152" i="6"/>
  <c r="I148" i="6"/>
  <c r="I144" i="6"/>
  <c r="I140" i="6"/>
  <c r="I136" i="6"/>
  <c r="I132" i="6"/>
  <c r="I128" i="6"/>
  <c r="I124" i="6"/>
  <c r="I120" i="6"/>
  <c r="I116" i="6"/>
  <c r="I112" i="6"/>
  <c r="I108" i="6"/>
  <c r="I104" i="6"/>
  <c r="I100" i="6"/>
  <c r="I96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6" i="6"/>
  <c r="I32" i="6"/>
  <c r="I28" i="6"/>
  <c r="I24" i="6"/>
  <c r="I20" i="6"/>
  <c r="I16" i="6"/>
  <c r="I12" i="6"/>
  <c r="I8" i="6"/>
  <c r="I4" i="6"/>
  <c r="I1" i="6"/>
  <c r="I995" i="6"/>
  <c r="I987" i="6"/>
  <c r="I979" i="6"/>
  <c r="I971" i="6"/>
  <c r="I963" i="6"/>
  <c r="I955" i="6"/>
  <c r="I947" i="6"/>
  <c r="I939" i="6"/>
  <c r="I931" i="6"/>
  <c r="I923" i="6"/>
  <c r="I915" i="6"/>
  <c r="I907" i="6"/>
  <c r="I899" i="6"/>
  <c r="I891" i="6"/>
  <c r="I883" i="6"/>
  <c r="I875" i="6"/>
  <c r="I867" i="6"/>
  <c r="I859" i="6"/>
  <c r="I851" i="6"/>
  <c r="I843" i="6"/>
  <c r="I835" i="6"/>
  <c r="I827" i="6"/>
  <c r="I819" i="6"/>
  <c r="I811" i="6"/>
  <c r="I803" i="6"/>
  <c r="I795" i="6"/>
  <c r="I787" i="6"/>
  <c r="I779" i="6"/>
  <c r="I771" i="6"/>
  <c r="I763" i="6"/>
  <c r="I755" i="6"/>
  <c r="I747" i="6"/>
  <c r="I739" i="6"/>
  <c r="I731" i="6"/>
  <c r="I723" i="6"/>
  <c r="I715" i="6"/>
  <c r="I707" i="6"/>
  <c r="I699" i="6"/>
  <c r="I691" i="6"/>
  <c r="I683" i="6"/>
  <c r="I675" i="6"/>
  <c r="I667" i="6"/>
  <c r="I659" i="6"/>
  <c r="I651" i="6"/>
  <c r="I643" i="6"/>
  <c r="I635" i="6"/>
  <c r="I627" i="6"/>
  <c r="I619" i="6"/>
  <c r="I611" i="6"/>
  <c r="I603" i="6"/>
  <c r="I595" i="6"/>
  <c r="I587" i="6"/>
  <c r="I579" i="6"/>
  <c r="I571" i="6"/>
  <c r="I563" i="6"/>
  <c r="I555" i="6"/>
  <c r="I547" i="6"/>
  <c r="I539" i="6"/>
  <c r="I531" i="6"/>
  <c r="I523" i="6"/>
  <c r="I515" i="6"/>
  <c r="I507" i="6"/>
  <c r="I499" i="6"/>
  <c r="I491" i="6"/>
  <c r="I483" i="6"/>
  <c r="I475" i="6"/>
  <c r="I467" i="6"/>
  <c r="I459" i="6"/>
  <c r="I451" i="6"/>
  <c r="I443" i="6"/>
  <c r="I435" i="6"/>
  <c r="I427" i="6"/>
  <c r="I419" i="6"/>
  <c r="I411" i="6"/>
  <c r="I403" i="6"/>
  <c r="I395" i="6"/>
  <c r="I387" i="6"/>
  <c r="I379" i="6"/>
  <c r="I371" i="6"/>
  <c r="I363" i="6"/>
  <c r="I355" i="6"/>
  <c r="I347" i="6"/>
  <c r="I339" i="6"/>
  <c r="I331" i="6"/>
  <c r="I323" i="6"/>
  <c r="I315" i="6"/>
  <c r="I307" i="6"/>
  <c r="I299" i="6"/>
  <c r="I291" i="6"/>
  <c r="I283" i="6"/>
  <c r="I275" i="6"/>
  <c r="I267" i="6"/>
  <c r="I259" i="6"/>
  <c r="I251" i="6"/>
  <c r="I243" i="6"/>
  <c r="I235" i="6"/>
  <c r="I227" i="6"/>
  <c r="I219" i="6"/>
  <c r="I211" i="6"/>
  <c r="I203" i="6"/>
  <c r="I195" i="6"/>
  <c r="I187" i="6"/>
  <c r="I179" i="6"/>
  <c r="I171" i="6"/>
  <c r="I163" i="6"/>
  <c r="I155" i="6"/>
  <c r="I147" i="6"/>
  <c r="I139" i="6"/>
  <c r="I131" i="6"/>
  <c r="I123" i="6"/>
  <c r="I115" i="6"/>
  <c r="I107" i="6"/>
  <c r="I99" i="6"/>
  <c r="I91" i="6"/>
  <c r="I83" i="6"/>
  <c r="I75" i="6"/>
  <c r="I67" i="6"/>
  <c r="I59" i="6"/>
  <c r="I51" i="6"/>
  <c r="I43" i="6"/>
  <c r="I35" i="6"/>
  <c r="I27" i="6"/>
  <c r="I19" i="6"/>
  <c r="I11" i="6"/>
  <c r="I3" i="6"/>
  <c r="I999" i="6"/>
  <c r="I991" i="6"/>
  <c r="I983" i="6"/>
  <c r="I975" i="6"/>
  <c r="I967" i="6"/>
  <c r="I959" i="6"/>
  <c r="I951" i="6"/>
  <c r="I943" i="6"/>
  <c r="I935" i="6"/>
  <c r="I927" i="6"/>
  <c r="I919" i="6"/>
  <c r="I911" i="6"/>
  <c r="I903" i="6"/>
  <c r="I895" i="6"/>
  <c r="I887" i="6"/>
  <c r="I879" i="6"/>
  <c r="I871" i="6"/>
  <c r="I863" i="6"/>
  <c r="I855" i="6"/>
  <c r="I847" i="6"/>
  <c r="I839" i="6"/>
  <c r="I831" i="6"/>
  <c r="I823" i="6"/>
  <c r="I815" i="6"/>
  <c r="I807" i="6"/>
  <c r="I799" i="6"/>
  <c r="I791" i="6"/>
  <c r="I783" i="6"/>
  <c r="I775" i="6"/>
  <c r="I767" i="6"/>
  <c r="I759" i="6"/>
  <c r="I751" i="6"/>
  <c r="I743" i="6"/>
  <c r="I735" i="6"/>
  <c r="I727" i="6"/>
  <c r="I719" i="6"/>
  <c r="I711" i="6"/>
  <c r="I703" i="6"/>
  <c r="I695" i="6"/>
  <c r="I687" i="6"/>
  <c r="I679" i="6"/>
  <c r="I671" i="6"/>
  <c r="I663" i="6"/>
  <c r="I655" i="6"/>
  <c r="I647" i="6"/>
  <c r="I639" i="6"/>
  <c r="I631" i="6"/>
  <c r="I623" i="6"/>
  <c r="I615" i="6"/>
  <c r="I607" i="6"/>
  <c r="I599" i="6"/>
  <c r="I591" i="6"/>
  <c r="I583" i="6"/>
  <c r="I575" i="6"/>
  <c r="I567" i="6"/>
  <c r="I559" i="6"/>
  <c r="I551" i="6"/>
  <c r="I543" i="6"/>
  <c r="I535" i="6"/>
  <c r="I527" i="6"/>
  <c r="I519" i="6"/>
  <c r="I511" i="6"/>
  <c r="I503" i="6"/>
  <c r="I495" i="6"/>
  <c r="I487" i="6"/>
  <c r="I479" i="6"/>
  <c r="I471" i="6"/>
  <c r="I463" i="6"/>
  <c r="I455" i="6"/>
  <c r="I447" i="6"/>
  <c r="I439" i="6"/>
  <c r="I431" i="6"/>
  <c r="I423" i="6"/>
  <c r="I415" i="6"/>
  <c r="I407" i="6"/>
  <c r="I399" i="6"/>
  <c r="I391" i="6"/>
  <c r="I383" i="6"/>
  <c r="I375" i="6"/>
  <c r="I367" i="6"/>
  <c r="I359" i="6"/>
  <c r="I351" i="6"/>
  <c r="I343" i="6"/>
  <c r="I335" i="6"/>
  <c r="I327" i="6"/>
  <c r="I319" i="6"/>
  <c r="I311" i="6"/>
  <c r="I303" i="6"/>
  <c r="I295" i="6"/>
  <c r="I287" i="6"/>
  <c r="I279" i="6"/>
  <c r="I271" i="6"/>
  <c r="I263" i="6"/>
  <c r="I255" i="6"/>
  <c r="I247" i="6"/>
  <c r="I239" i="6"/>
  <c r="I231" i="6"/>
  <c r="I223" i="6"/>
  <c r="I215" i="6"/>
  <c r="I207" i="6"/>
  <c r="I199" i="6"/>
  <c r="I191" i="6"/>
  <c r="I183" i="6"/>
  <c r="I175" i="6"/>
  <c r="I167" i="6"/>
  <c r="I159" i="6"/>
  <c r="I151" i="6"/>
  <c r="I143" i="6"/>
  <c r="I135" i="6"/>
  <c r="I127" i="6"/>
  <c r="I119" i="6"/>
  <c r="I111" i="6"/>
  <c r="I103" i="6"/>
  <c r="I95" i="6"/>
  <c r="I87" i="6"/>
  <c r="I79" i="6"/>
  <c r="I71" i="6"/>
  <c r="I63" i="6"/>
  <c r="I55" i="6"/>
  <c r="I47" i="6"/>
  <c r="I39" i="6"/>
  <c r="I31" i="6"/>
  <c r="I23" i="6"/>
  <c r="I15" i="6"/>
  <c r="I7" i="6"/>
  <c r="I993" i="6"/>
  <c r="I977" i="6"/>
  <c r="I961" i="6"/>
  <c r="I945" i="6"/>
  <c r="I929" i="6"/>
  <c r="I913" i="6"/>
  <c r="I897" i="6"/>
  <c r="I881" i="6"/>
  <c r="I865" i="6"/>
  <c r="I849" i="6"/>
  <c r="I833" i="6"/>
  <c r="I817" i="6"/>
  <c r="I801" i="6"/>
  <c r="I785" i="6"/>
  <c r="I769" i="6"/>
  <c r="I753" i="6"/>
  <c r="I737" i="6"/>
  <c r="I721" i="6"/>
  <c r="I705" i="6"/>
  <c r="I689" i="6"/>
  <c r="I673" i="6"/>
  <c r="I657" i="6"/>
  <c r="I641" i="6"/>
  <c r="I625" i="6"/>
  <c r="I609" i="6"/>
  <c r="I593" i="6"/>
  <c r="I577" i="6"/>
  <c r="I561" i="6"/>
  <c r="I545" i="6"/>
  <c r="I529" i="6"/>
  <c r="I513" i="6"/>
  <c r="I497" i="6"/>
  <c r="I481" i="6"/>
  <c r="I465" i="6"/>
  <c r="I449" i="6"/>
  <c r="I433" i="6"/>
  <c r="I417" i="6"/>
  <c r="I401" i="6"/>
  <c r="I385" i="6"/>
  <c r="I369" i="6"/>
  <c r="I353" i="6"/>
  <c r="I337" i="6"/>
  <c r="I321" i="6"/>
  <c r="I305" i="6"/>
  <c r="I289" i="6"/>
  <c r="I273" i="6"/>
  <c r="I257" i="6"/>
  <c r="I241" i="6"/>
  <c r="I225" i="6"/>
  <c r="I209" i="6"/>
  <c r="I193" i="6"/>
  <c r="I177" i="6"/>
  <c r="I161" i="6"/>
  <c r="I145" i="6"/>
  <c r="I129" i="6"/>
  <c r="I113" i="6"/>
  <c r="I97" i="6"/>
  <c r="I81" i="6"/>
  <c r="I65" i="6"/>
  <c r="I49" i="6"/>
  <c r="I33" i="6"/>
  <c r="I17" i="6"/>
  <c r="I985" i="6"/>
  <c r="I969" i="6"/>
  <c r="I953" i="6"/>
  <c r="I937" i="6"/>
  <c r="I921" i="6"/>
  <c r="I905" i="6"/>
  <c r="I889" i="6"/>
  <c r="I873" i="6"/>
  <c r="I857" i="6"/>
  <c r="I841" i="6"/>
  <c r="I825" i="6"/>
  <c r="I809" i="6"/>
  <c r="I793" i="6"/>
  <c r="I777" i="6"/>
  <c r="I761" i="6"/>
  <c r="I745" i="6"/>
  <c r="I729" i="6"/>
  <c r="I713" i="6"/>
  <c r="I697" i="6"/>
  <c r="I681" i="6"/>
  <c r="I665" i="6"/>
  <c r="I649" i="6"/>
  <c r="I633" i="6"/>
  <c r="I617" i="6"/>
  <c r="I601" i="6"/>
  <c r="I585" i="6"/>
  <c r="I569" i="6"/>
  <c r="I553" i="6"/>
  <c r="I537" i="6"/>
  <c r="I521" i="6"/>
  <c r="I505" i="6"/>
  <c r="I489" i="6"/>
  <c r="I473" i="6"/>
  <c r="I457" i="6"/>
  <c r="I441" i="6"/>
  <c r="I425" i="6"/>
  <c r="I409" i="6"/>
  <c r="I393" i="6"/>
  <c r="I377" i="6"/>
  <c r="I361" i="6"/>
  <c r="I345" i="6"/>
  <c r="I329" i="6"/>
  <c r="I313" i="6"/>
  <c r="I297" i="6"/>
  <c r="I281" i="6"/>
  <c r="I265" i="6"/>
  <c r="I249" i="6"/>
  <c r="I233" i="6"/>
  <c r="I217" i="6"/>
  <c r="I201" i="6"/>
  <c r="I185" i="6"/>
  <c r="I169" i="6"/>
  <c r="I153" i="6"/>
  <c r="I137" i="6"/>
  <c r="I121" i="6"/>
  <c r="I105" i="6"/>
  <c r="I89" i="6"/>
  <c r="I73" i="6"/>
  <c r="I57" i="6"/>
  <c r="I41" i="6"/>
  <c r="I25" i="6"/>
  <c r="I9" i="6"/>
  <c r="I997" i="6"/>
  <c r="I981" i="6"/>
  <c r="I965" i="6"/>
  <c r="I949" i="6"/>
  <c r="I933" i="6"/>
  <c r="I917" i="6"/>
  <c r="I901" i="6"/>
  <c r="I885" i="6"/>
  <c r="I869" i="6"/>
  <c r="I853" i="6"/>
  <c r="I837" i="6"/>
  <c r="I821" i="6"/>
  <c r="I805" i="6"/>
  <c r="I789" i="6"/>
  <c r="I773" i="6"/>
  <c r="I757" i="6"/>
  <c r="I741" i="6"/>
  <c r="I725" i="6"/>
  <c r="I709" i="6"/>
  <c r="I693" i="6"/>
  <c r="I677" i="6"/>
  <c r="I661" i="6"/>
  <c r="I645" i="6"/>
  <c r="I629" i="6"/>
  <c r="I613" i="6"/>
  <c r="I597" i="6"/>
  <c r="I581" i="6"/>
  <c r="I565" i="6"/>
  <c r="I549" i="6"/>
  <c r="I533" i="6"/>
  <c r="I517" i="6"/>
  <c r="I501" i="6"/>
  <c r="I485" i="6"/>
  <c r="I469" i="6"/>
  <c r="I453" i="6"/>
  <c r="I437" i="6"/>
  <c r="I421" i="6"/>
  <c r="I405" i="6"/>
  <c r="I389" i="6"/>
  <c r="I373" i="6"/>
  <c r="I357" i="6"/>
  <c r="I341" i="6"/>
  <c r="I325" i="6"/>
  <c r="I309" i="6"/>
  <c r="I293" i="6"/>
  <c r="I277" i="6"/>
  <c r="I261" i="6"/>
  <c r="I245" i="6"/>
  <c r="I229" i="6"/>
  <c r="I213" i="6"/>
  <c r="I197" i="6"/>
  <c r="I181" i="6"/>
  <c r="I165" i="6"/>
  <c r="I149" i="6"/>
  <c r="I133" i="6"/>
  <c r="I117" i="6"/>
  <c r="I101" i="6"/>
  <c r="I85" i="6"/>
  <c r="I69" i="6"/>
  <c r="I53" i="6"/>
  <c r="I37" i="6"/>
  <c r="I21" i="6"/>
  <c r="I5" i="6"/>
  <c r="I941" i="6"/>
  <c r="I877" i="6"/>
  <c r="I813" i="6"/>
  <c r="I749" i="6"/>
  <c r="I685" i="6"/>
  <c r="I621" i="6"/>
  <c r="I557" i="6"/>
  <c r="I493" i="6"/>
  <c r="I429" i="6"/>
  <c r="I365" i="6"/>
  <c r="I301" i="6"/>
  <c r="I237" i="6"/>
  <c r="I173" i="6"/>
  <c r="I109" i="6"/>
  <c r="I45" i="6"/>
  <c r="I957" i="6"/>
  <c r="I893" i="6"/>
  <c r="I829" i="6"/>
  <c r="I765" i="6"/>
  <c r="I701" i="6"/>
  <c r="I637" i="6"/>
  <c r="I573" i="6"/>
  <c r="I509" i="6"/>
  <c r="I445" i="6"/>
  <c r="I381" i="6"/>
  <c r="I317" i="6"/>
  <c r="I253" i="6"/>
  <c r="I189" i="6"/>
  <c r="I125" i="6"/>
  <c r="I61" i="6"/>
  <c r="I989" i="6"/>
  <c r="I925" i="6"/>
  <c r="I861" i="6"/>
  <c r="I797" i="6"/>
  <c r="I733" i="6"/>
  <c r="I669" i="6"/>
  <c r="I605" i="6"/>
  <c r="I541" i="6"/>
  <c r="I477" i="6"/>
  <c r="I413" i="6"/>
  <c r="I349" i="6"/>
  <c r="I285" i="6"/>
  <c r="I221" i="6"/>
  <c r="I157" i="6"/>
  <c r="I93" i="6"/>
  <c r="I29" i="6"/>
  <c r="I973" i="6"/>
  <c r="I909" i="6"/>
  <c r="I845" i="6"/>
  <c r="I781" i="6"/>
  <c r="I717" i="6"/>
  <c r="I653" i="6"/>
  <c r="I589" i="6"/>
  <c r="I525" i="6"/>
  <c r="I461" i="6"/>
  <c r="I397" i="6"/>
  <c r="I333" i="6"/>
  <c r="I269" i="6"/>
  <c r="I205" i="6"/>
  <c r="I141" i="6"/>
  <c r="I77" i="6"/>
  <c r="I13" i="6"/>
  <c r="I997" i="7"/>
  <c r="I993" i="7"/>
  <c r="I989" i="7"/>
  <c r="I985" i="7"/>
  <c r="I981" i="7"/>
  <c r="I977" i="7"/>
  <c r="I973" i="7"/>
  <c r="I969" i="7"/>
  <c r="I965" i="7"/>
  <c r="I961" i="7"/>
  <c r="I957" i="7"/>
  <c r="I953" i="7"/>
  <c r="I949" i="7"/>
  <c r="I945" i="7"/>
  <c r="I941" i="7"/>
  <c r="I937" i="7"/>
  <c r="I933" i="7"/>
  <c r="I929" i="7"/>
  <c r="I925" i="7"/>
  <c r="I921" i="7"/>
  <c r="I917" i="7"/>
  <c r="I913" i="7"/>
  <c r="I909" i="7"/>
  <c r="I905" i="7"/>
  <c r="I901" i="7"/>
  <c r="I897" i="7"/>
  <c r="I893" i="7"/>
  <c r="I889" i="7"/>
  <c r="I885" i="7"/>
  <c r="I881" i="7"/>
  <c r="I877" i="7"/>
  <c r="I873" i="7"/>
  <c r="I869" i="7"/>
  <c r="I865" i="7"/>
  <c r="I861" i="7"/>
  <c r="I857" i="7"/>
  <c r="I853" i="7"/>
  <c r="I849" i="7"/>
  <c r="I845" i="7"/>
  <c r="I841" i="7"/>
  <c r="I837" i="7"/>
  <c r="I833" i="7"/>
  <c r="I829" i="7"/>
  <c r="I825" i="7"/>
  <c r="I821" i="7"/>
  <c r="I817" i="7"/>
  <c r="I813" i="7"/>
  <c r="I809" i="7"/>
  <c r="I805" i="7"/>
  <c r="I801" i="7"/>
  <c r="I797" i="7"/>
  <c r="I793" i="7"/>
  <c r="I789" i="7"/>
  <c r="I785" i="7"/>
  <c r="I781" i="7"/>
  <c r="I777" i="7"/>
  <c r="I773" i="7"/>
  <c r="I769" i="7"/>
  <c r="I765" i="7"/>
  <c r="I761" i="7"/>
  <c r="I757" i="7"/>
  <c r="I753" i="7"/>
  <c r="I749" i="7"/>
  <c r="I745" i="7"/>
  <c r="I741" i="7"/>
  <c r="I737" i="7"/>
  <c r="I733" i="7"/>
  <c r="I729" i="7"/>
  <c r="I725" i="7"/>
  <c r="I721" i="7"/>
  <c r="I717" i="7"/>
  <c r="I713" i="7"/>
  <c r="I709" i="7"/>
  <c r="I705" i="7"/>
  <c r="I701" i="7"/>
  <c r="I697" i="7"/>
  <c r="I693" i="7"/>
  <c r="I689" i="7"/>
  <c r="I685" i="7"/>
  <c r="I681" i="7"/>
  <c r="I677" i="7"/>
  <c r="I673" i="7"/>
  <c r="I669" i="7"/>
  <c r="I665" i="7"/>
  <c r="I661" i="7"/>
  <c r="I657" i="7"/>
  <c r="I653" i="7"/>
  <c r="I649" i="7"/>
  <c r="I645" i="7"/>
  <c r="I641" i="7"/>
  <c r="I637" i="7"/>
  <c r="I633" i="7"/>
  <c r="I629" i="7"/>
  <c r="I625" i="7"/>
  <c r="I621" i="7"/>
  <c r="I617" i="7"/>
  <c r="I613" i="7"/>
  <c r="I609" i="7"/>
  <c r="I605" i="7"/>
  <c r="I601" i="7"/>
  <c r="I597" i="7"/>
  <c r="I593" i="7"/>
  <c r="I589" i="7"/>
  <c r="I585" i="7"/>
  <c r="I581" i="7"/>
  <c r="I577" i="7"/>
  <c r="I573" i="7"/>
  <c r="I569" i="7"/>
  <c r="I565" i="7"/>
  <c r="I561" i="7"/>
  <c r="I557" i="7"/>
  <c r="I553" i="7"/>
  <c r="I549" i="7"/>
  <c r="I545" i="7"/>
  <c r="I541" i="7"/>
  <c r="I537" i="7"/>
  <c r="I533" i="7"/>
  <c r="I529" i="7"/>
  <c r="I525" i="7"/>
  <c r="I521" i="7"/>
  <c r="I517" i="7"/>
  <c r="I513" i="7"/>
  <c r="I509" i="7"/>
  <c r="I505" i="7"/>
  <c r="I501" i="7"/>
  <c r="I497" i="7"/>
  <c r="I493" i="7"/>
  <c r="I489" i="7"/>
  <c r="I485" i="7"/>
  <c r="I481" i="7"/>
  <c r="I477" i="7"/>
  <c r="I473" i="7"/>
  <c r="I469" i="7"/>
  <c r="I465" i="7"/>
  <c r="I461" i="7"/>
  <c r="I457" i="7"/>
  <c r="I453" i="7"/>
  <c r="I449" i="7"/>
  <c r="I445" i="7"/>
  <c r="I441" i="7"/>
  <c r="I437" i="7"/>
  <c r="I433" i="7"/>
  <c r="I429" i="7"/>
  <c r="I425" i="7"/>
  <c r="I421" i="7"/>
  <c r="I417" i="7"/>
  <c r="I413" i="7"/>
  <c r="I409" i="7"/>
  <c r="I405" i="7"/>
  <c r="I401" i="7"/>
  <c r="I397" i="7"/>
  <c r="I393" i="7"/>
  <c r="I389" i="7"/>
  <c r="I385" i="7"/>
  <c r="I381" i="7"/>
  <c r="I377" i="7"/>
  <c r="I373" i="7"/>
  <c r="I369" i="7"/>
  <c r="I365" i="7"/>
  <c r="I361" i="7"/>
  <c r="I357" i="7"/>
  <c r="I353" i="7"/>
  <c r="I349" i="7"/>
  <c r="I345" i="7"/>
  <c r="I341" i="7"/>
  <c r="I337" i="7"/>
  <c r="I333" i="7"/>
  <c r="I329" i="7"/>
  <c r="I325" i="7"/>
  <c r="I321" i="7"/>
  <c r="I317" i="7"/>
  <c r="I313" i="7"/>
  <c r="I309" i="7"/>
  <c r="I305" i="7"/>
  <c r="I301" i="7"/>
  <c r="I297" i="7"/>
  <c r="I293" i="7"/>
  <c r="I289" i="7"/>
  <c r="I285" i="7"/>
  <c r="I281" i="7"/>
  <c r="I277" i="7"/>
  <c r="I273" i="7"/>
  <c r="I269" i="7"/>
  <c r="I265" i="7"/>
  <c r="I261" i="7"/>
  <c r="I257" i="7"/>
  <c r="I253" i="7"/>
  <c r="I249" i="7"/>
  <c r="I245" i="7"/>
  <c r="I241" i="7"/>
  <c r="I237" i="7"/>
  <c r="I233" i="7"/>
  <c r="I229" i="7"/>
  <c r="I225" i="7"/>
  <c r="I221" i="7"/>
  <c r="I217" i="7"/>
  <c r="I213" i="7"/>
  <c r="I209" i="7"/>
  <c r="I205" i="7"/>
  <c r="I201" i="7"/>
  <c r="I197" i="7"/>
  <c r="I193" i="7"/>
  <c r="I189" i="7"/>
  <c r="I185" i="7"/>
  <c r="I181" i="7"/>
  <c r="I177" i="7"/>
  <c r="I173" i="7"/>
  <c r="I169" i="7"/>
  <c r="I165" i="7"/>
  <c r="I161" i="7"/>
  <c r="I157" i="7"/>
  <c r="I153" i="7"/>
  <c r="I149" i="7"/>
  <c r="I145" i="7"/>
  <c r="I141" i="7"/>
  <c r="I137" i="7"/>
  <c r="I133" i="7"/>
  <c r="I129" i="7"/>
  <c r="I125" i="7"/>
  <c r="I121" i="7"/>
  <c r="I117" i="7"/>
  <c r="I113" i="7"/>
  <c r="I109" i="7"/>
  <c r="I105" i="7"/>
  <c r="I101" i="7"/>
  <c r="I97" i="7"/>
  <c r="I93" i="7"/>
  <c r="I89" i="7"/>
  <c r="I85" i="7"/>
  <c r="I81" i="7"/>
  <c r="I77" i="7"/>
  <c r="I73" i="7"/>
  <c r="I69" i="7"/>
  <c r="I65" i="7"/>
  <c r="I61" i="7"/>
  <c r="I57" i="7"/>
  <c r="I53" i="7"/>
  <c r="I49" i="7"/>
  <c r="I45" i="7"/>
  <c r="I41" i="7"/>
  <c r="I37" i="7"/>
  <c r="I33" i="7"/>
  <c r="I29" i="7"/>
  <c r="I25" i="7"/>
  <c r="I21" i="7"/>
  <c r="I17" i="7"/>
  <c r="I13" i="7"/>
  <c r="I9" i="7"/>
  <c r="I5" i="7"/>
  <c r="I999" i="7"/>
  <c r="I995" i="7"/>
  <c r="I991" i="7"/>
  <c r="I987" i="7"/>
  <c r="I983" i="7"/>
  <c r="I979" i="7"/>
  <c r="I975" i="7"/>
  <c r="I971" i="7"/>
  <c r="I967" i="7"/>
  <c r="I963" i="7"/>
  <c r="I959" i="7"/>
  <c r="I955" i="7"/>
  <c r="I951" i="7"/>
  <c r="I947" i="7"/>
  <c r="I943" i="7"/>
  <c r="I939" i="7"/>
  <c r="I935" i="7"/>
  <c r="I931" i="7"/>
  <c r="I927" i="7"/>
  <c r="I923" i="7"/>
  <c r="I919" i="7"/>
  <c r="I915" i="7"/>
  <c r="I911" i="7"/>
  <c r="I907" i="7"/>
  <c r="I903" i="7"/>
  <c r="I899" i="7"/>
  <c r="I895" i="7"/>
  <c r="I891" i="7"/>
  <c r="I887" i="7"/>
  <c r="I883" i="7"/>
  <c r="I879" i="7"/>
  <c r="I875" i="7"/>
  <c r="I871" i="7"/>
  <c r="I867" i="7"/>
  <c r="I863" i="7"/>
  <c r="I859" i="7"/>
  <c r="I855" i="7"/>
  <c r="I851" i="7"/>
  <c r="I847" i="7"/>
  <c r="I843" i="7"/>
  <c r="I839" i="7"/>
  <c r="I835" i="7"/>
  <c r="I831" i="7"/>
  <c r="I827" i="7"/>
  <c r="I823" i="7"/>
  <c r="I819" i="7"/>
  <c r="I815" i="7"/>
  <c r="I811" i="7"/>
  <c r="I807" i="7"/>
  <c r="I803" i="7"/>
  <c r="I799" i="7"/>
  <c r="I795" i="7"/>
  <c r="I791" i="7"/>
  <c r="I787" i="7"/>
  <c r="I783" i="7"/>
  <c r="I779" i="7"/>
  <c r="I775" i="7"/>
  <c r="I771" i="7"/>
  <c r="I767" i="7"/>
  <c r="I763" i="7"/>
  <c r="I759" i="7"/>
  <c r="I755" i="7"/>
  <c r="I751" i="7"/>
  <c r="I747" i="7"/>
  <c r="I743" i="7"/>
  <c r="I739" i="7"/>
  <c r="I735" i="7"/>
  <c r="I731" i="7"/>
  <c r="I727" i="7"/>
  <c r="I723" i="7"/>
  <c r="I719" i="7"/>
  <c r="I715" i="7"/>
  <c r="I711" i="7"/>
  <c r="I707" i="7"/>
  <c r="I703" i="7"/>
  <c r="I699" i="7"/>
  <c r="I695" i="7"/>
  <c r="I691" i="7"/>
  <c r="I687" i="7"/>
  <c r="I683" i="7"/>
  <c r="I679" i="7"/>
  <c r="I675" i="7"/>
  <c r="I671" i="7"/>
  <c r="I667" i="7"/>
  <c r="I663" i="7"/>
  <c r="I659" i="7"/>
  <c r="I655" i="7"/>
  <c r="I651" i="7"/>
  <c r="I647" i="7"/>
  <c r="I643" i="7"/>
  <c r="I639" i="7"/>
  <c r="I635" i="7"/>
  <c r="I631" i="7"/>
  <c r="I627" i="7"/>
  <c r="I623" i="7"/>
  <c r="I619" i="7"/>
  <c r="I615" i="7"/>
  <c r="I611" i="7"/>
  <c r="I607" i="7"/>
  <c r="I603" i="7"/>
  <c r="I599" i="7"/>
  <c r="I595" i="7"/>
  <c r="I591" i="7"/>
  <c r="I587" i="7"/>
  <c r="I583" i="7"/>
  <c r="I579" i="7"/>
  <c r="I575" i="7"/>
  <c r="I571" i="7"/>
  <c r="I567" i="7"/>
  <c r="I563" i="7"/>
  <c r="I559" i="7"/>
  <c r="I555" i="7"/>
  <c r="I551" i="7"/>
  <c r="I547" i="7"/>
  <c r="I543" i="7"/>
  <c r="I539" i="7"/>
  <c r="I535" i="7"/>
  <c r="I531" i="7"/>
  <c r="I527" i="7"/>
  <c r="I523" i="7"/>
  <c r="I519" i="7"/>
  <c r="I515" i="7"/>
  <c r="I511" i="7"/>
  <c r="I507" i="7"/>
  <c r="I503" i="7"/>
  <c r="I499" i="7"/>
  <c r="I495" i="7"/>
  <c r="I491" i="7"/>
  <c r="I487" i="7"/>
  <c r="I483" i="7"/>
  <c r="I479" i="7"/>
  <c r="I475" i="7"/>
  <c r="I471" i="7"/>
  <c r="I467" i="7"/>
  <c r="I463" i="7"/>
  <c r="I459" i="7"/>
  <c r="I455" i="7"/>
  <c r="I451" i="7"/>
  <c r="I447" i="7"/>
  <c r="I443" i="7"/>
  <c r="I439" i="7"/>
  <c r="I435" i="7"/>
  <c r="I431" i="7"/>
  <c r="I427" i="7"/>
  <c r="I423" i="7"/>
  <c r="I419" i="7"/>
  <c r="I415" i="7"/>
  <c r="I411" i="7"/>
  <c r="I407" i="7"/>
  <c r="I403" i="7"/>
  <c r="I399" i="7"/>
  <c r="I395" i="7"/>
  <c r="I391" i="7"/>
  <c r="I387" i="7"/>
  <c r="I383" i="7"/>
  <c r="I379" i="7"/>
  <c r="I375" i="7"/>
  <c r="I371" i="7"/>
  <c r="I367" i="7"/>
  <c r="I363" i="7"/>
  <c r="I359" i="7"/>
  <c r="I355" i="7"/>
  <c r="I351" i="7"/>
  <c r="I347" i="7"/>
  <c r="I343" i="7"/>
  <c r="I339" i="7"/>
  <c r="I335" i="7"/>
  <c r="I331" i="7"/>
  <c r="I327" i="7"/>
  <c r="I323" i="7"/>
  <c r="I319" i="7"/>
  <c r="I315" i="7"/>
  <c r="I311" i="7"/>
  <c r="I307" i="7"/>
  <c r="I303" i="7"/>
  <c r="I299" i="7"/>
  <c r="I295" i="7"/>
  <c r="I291" i="7"/>
  <c r="I287" i="7"/>
  <c r="I283" i="7"/>
  <c r="I279" i="7"/>
  <c r="I275" i="7"/>
  <c r="I271" i="7"/>
  <c r="I267" i="7"/>
  <c r="I263" i="7"/>
  <c r="I259" i="7"/>
  <c r="I255" i="7"/>
  <c r="I251" i="7"/>
  <c r="I247" i="7"/>
  <c r="I243" i="7"/>
  <c r="I239" i="7"/>
  <c r="I235" i="7"/>
  <c r="I231" i="7"/>
  <c r="I227" i="7"/>
  <c r="I223" i="7"/>
  <c r="I219" i="7"/>
  <c r="I215" i="7"/>
  <c r="I211" i="7"/>
  <c r="I207" i="7"/>
  <c r="I203" i="7"/>
  <c r="I199" i="7"/>
  <c r="I195" i="7"/>
  <c r="I191" i="7"/>
  <c r="I187" i="7"/>
  <c r="I183" i="7"/>
  <c r="I179" i="7"/>
  <c r="I175" i="7"/>
  <c r="I171" i="7"/>
  <c r="I167" i="7"/>
  <c r="I163" i="7"/>
  <c r="I159" i="7"/>
  <c r="I155" i="7"/>
  <c r="I151" i="7"/>
  <c r="I147" i="7"/>
  <c r="I143" i="7"/>
  <c r="I139" i="7"/>
  <c r="I135" i="7"/>
  <c r="I131" i="7"/>
  <c r="I127" i="7"/>
  <c r="I123" i="7"/>
  <c r="I119" i="7"/>
  <c r="I115" i="7"/>
  <c r="I111" i="7"/>
  <c r="I107" i="7"/>
  <c r="I103" i="7"/>
  <c r="I99" i="7"/>
  <c r="I95" i="7"/>
  <c r="I91" i="7"/>
  <c r="I87" i="7"/>
  <c r="I83" i="7"/>
  <c r="I79" i="7"/>
  <c r="I75" i="7"/>
  <c r="I71" i="7"/>
  <c r="I67" i="7"/>
  <c r="I63" i="7"/>
  <c r="I59" i="7"/>
  <c r="I55" i="7"/>
  <c r="I51" i="7"/>
  <c r="I47" i="7"/>
  <c r="I43" i="7"/>
  <c r="I39" i="7"/>
  <c r="I35" i="7"/>
  <c r="I31" i="7"/>
  <c r="I27" i="7"/>
  <c r="I23" i="7"/>
  <c r="I19" i="7"/>
  <c r="I15" i="7"/>
  <c r="I11" i="7"/>
  <c r="I7" i="7"/>
  <c r="I3" i="7"/>
  <c r="I994" i="7"/>
  <c r="I986" i="7"/>
  <c r="I978" i="7"/>
  <c r="I970" i="7"/>
  <c r="I962" i="7"/>
  <c r="I954" i="7"/>
  <c r="I946" i="7"/>
  <c r="I938" i="7"/>
  <c r="I930" i="7"/>
  <c r="I922" i="7"/>
  <c r="I914" i="7"/>
  <c r="I906" i="7"/>
  <c r="I898" i="7"/>
  <c r="I890" i="7"/>
  <c r="I882" i="7"/>
  <c r="I874" i="7"/>
  <c r="I866" i="7"/>
  <c r="I858" i="7"/>
  <c r="I850" i="7"/>
  <c r="I842" i="7"/>
  <c r="I834" i="7"/>
  <c r="I826" i="7"/>
  <c r="I818" i="7"/>
  <c r="I810" i="7"/>
  <c r="I802" i="7"/>
  <c r="I794" i="7"/>
  <c r="I786" i="7"/>
  <c r="I778" i="7"/>
  <c r="I770" i="7"/>
  <c r="I762" i="7"/>
  <c r="I754" i="7"/>
  <c r="I746" i="7"/>
  <c r="I738" i="7"/>
  <c r="I730" i="7"/>
  <c r="I722" i="7"/>
  <c r="I714" i="7"/>
  <c r="I706" i="7"/>
  <c r="I698" i="7"/>
  <c r="I690" i="7"/>
  <c r="I682" i="7"/>
  <c r="I674" i="7"/>
  <c r="I666" i="7"/>
  <c r="I658" i="7"/>
  <c r="I650" i="7"/>
  <c r="I642" i="7"/>
  <c r="I634" i="7"/>
  <c r="I626" i="7"/>
  <c r="I618" i="7"/>
  <c r="I610" i="7"/>
  <c r="I602" i="7"/>
  <c r="I594" i="7"/>
  <c r="I586" i="7"/>
  <c r="I578" i="7"/>
  <c r="I570" i="7"/>
  <c r="I562" i="7"/>
  <c r="I554" i="7"/>
  <c r="I546" i="7"/>
  <c r="I538" i="7"/>
  <c r="I530" i="7"/>
  <c r="I522" i="7"/>
  <c r="I514" i="7"/>
  <c r="I506" i="7"/>
  <c r="I498" i="7"/>
  <c r="I490" i="7"/>
  <c r="I482" i="7"/>
  <c r="I474" i="7"/>
  <c r="I466" i="7"/>
  <c r="I458" i="7"/>
  <c r="I450" i="7"/>
  <c r="I442" i="7"/>
  <c r="I434" i="7"/>
  <c r="I426" i="7"/>
  <c r="I418" i="7"/>
  <c r="I410" i="7"/>
  <c r="I402" i="7"/>
  <c r="I394" i="7"/>
  <c r="I386" i="7"/>
  <c r="I378" i="7"/>
  <c r="I370" i="7"/>
  <c r="I362" i="7"/>
  <c r="I354" i="7"/>
  <c r="I346" i="7"/>
  <c r="I338" i="7"/>
  <c r="I330" i="7"/>
  <c r="I322" i="7"/>
  <c r="I314" i="7"/>
  <c r="I306" i="7"/>
  <c r="I298" i="7"/>
  <c r="I290" i="7"/>
  <c r="I282" i="7"/>
  <c r="I274" i="7"/>
  <c r="I266" i="7"/>
  <c r="I258" i="7"/>
  <c r="I250" i="7"/>
  <c r="I242" i="7"/>
  <c r="I234" i="7"/>
  <c r="I226" i="7"/>
  <c r="I218" i="7"/>
  <c r="I210" i="7"/>
  <c r="I202" i="7"/>
  <c r="I194" i="7"/>
  <c r="I186" i="7"/>
  <c r="I178" i="7"/>
  <c r="I170" i="7"/>
  <c r="I162" i="7"/>
  <c r="I154" i="7"/>
  <c r="I146" i="7"/>
  <c r="I138" i="7"/>
  <c r="I130" i="7"/>
  <c r="I122" i="7"/>
  <c r="I114" i="7"/>
  <c r="I106" i="7"/>
  <c r="I98" i="7"/>
  <c r="I90" i="7"/>
  <c r="I82" i="7"/>
  <c r="I74" i="7"/>
  <c r="I66" i="7"/>
  <c r="I58" i="7"/>
  <c r="I50" i="7"/>
  <c r="I42" i="7"/>
  <c r="I34" i="7"/>
  <c r="I26" i="7"/>
  <c r="I18" i="7"/>
  <c r="I10" i="7"/>
  <c r="I2" i="7"/>
  <c r="I998" i="7"/>
  <c r="I990" i="7"/>
  <c r="I982" i="7"/>
  <c r="I974" i="7"/>
  <c r="I966" i="7"/>
  <c r="I958" i="7"/>
  <c r="I950" i="7"/>
  <c r="I942" i="7"/>
  <c r="I934" i="7"/>
  <c r="I926" i="7"/>
  <c r="I918" i="7"/>
  <c r="I910" i="7"/>
  <c r="I902" i="7"/>
  <c r="I894" i="7"/>
  <c r="I886" i="7"/>
  <c r="I878" i="7"/>
  <c r="I870" i="7"/>
  <c r="I862" i="7"/>
  <c r="I854" i="7"/>
  <c r="I846" i="7"/>
  <c r="I838" i="7"/>
  <c r="I830" i="7"/>
  <c r="I822" i="7"/>
  <c r="I814" i="7"/>
  <c r="I806" i="7"/>
  <c r="I798" i="7"/>
  <c r="I790" i="7"/>
  <c r="I782" i="7"/>
  <c r="I774" i="7"/>
  <c r="I766" i="7"/>
  <c r="I758" i="7"/>
  <c r="I750" i="7"/>
  <c r="I742" i="7"/>
  <c r="I734" i="7"/>
  <c r="I726" i="7"/>
  <c r="I718" i="7"/>
  <c r="I710" i="7"/>
  <c r="I702" i="7"/>
  <c r="I694" i="7"/>
  <c r="I686" i="7"/>
  <c r="I678" i="7"/>
  <c r="I670" i="7"/>
  <c r="I662" i="7"/>
  <c r="I654" i="7"/>
  <c r="I646" i="7"/>
  <c r="I638" i="7"/>
  <c r="I630" i="7"/>
  <c r="I622" i="7"/>
  <c r="I614" i="7"/>
  <c r="I606" i="7"/>
  <c r="I598" i="7"/>
  <c r="I590" i="7"/>
  <c r="I582" i="7"/>
  <c r="I574" i="7"/>
  <c r="I566" i="7"/>
  <c r="I558" i="7"/>
  <c r="I550" i="7"/>
  <c r="I542" i="7"/>
  <c r="I534" i="7"/>
  <c r="I526" i="7"/>
  <c r="I518" i="7"/>
  <c r="I510" i="7"/>
  <c r="I502" i="7"/>
  <c r="I494" i="7"/>
  <c r="I486" i="7"/>
  <c r="I478" i="7"/>
  <c r="I470" i="7"/>
  <c r="I462" i="7"/>
  <c r="I454" i="7"/>
  <c r="I446" i="7"/>
  <c r="I438" i="7"/>
  <c r="I430" i="7"/>
  <c r="I422" i="7"/>
  <c r="I414" i="7"/>
  <c r="I406" i="7"/>
  <c r="I398" i="7"/>
  <c r="I390" i="7"/>
  <c r="I382" i="7"/>
  <c r="I374" i="7"/>
  <c r="I366" i="7"/>
  <c r="I358" i="7"/>
  <c r="I350" i="7"/>
  <c r="I342" i="7"/>
  <c r="I334" i="7"/>
  <c r="I326" i="7"/>
  <c r="I318" i="7"/>
  <c r="I310" i="7"/>
  <c r="I302" i="7"/>
  <c r="I294" i="7"/>
  <c r="I286" i="7"/>
  <c r="I278" i="7"/>
  <c r="I270" i="7"/>
  <c r="I262" i="7"/>
  <c r="I254" i="7"/>
  <c r="I246" i="7"/>
  <c r="I238" i="7"/>
  <c r="I230" i="7"/>
  <c r="I222" i="7"/>
  <c r="I214" i="7"/>
  <c r="I206" i="7"/>
  <c r="I198" i="7"/>
  <c r="I190" i="7"/>
  <c r="I182" i="7"/>
  <c r="I174" i="7"/>
  <c r="I166" i="7"/>
  <c r="I158" i="7"/>
  <c r="I150" i="7"/>
  <c r="I142" i="7"/>
  <c r="I134" i="7"/>
  <c r="I126" i="7"/>
  <c r="I118" i="7"/>
  <c r="I110" i="7"/>
  <c r="I102" i="7"/>
  <c r="I94" i="7"/>
  <c r="I86" i="7"/>
  <c r="I78" i="7"/>
  <c r="I70" i="7"/>
  <c r="I62" i="7"/>
  <c r="I54" i="7"/>
  <c r="I46" i="7"/>
  <c r="I38" i="7"/>
  <c r="I30" i="7"/>
  <c r="I22" i="7"/>
  <c r="I14" i="7"/>
  <c r="I6" i="7"/>
  <c r="I992" i="7"/>
  <c r="I976" i="7"/>
  <c r="I960" i="7"/>
  <c r="I944" i="7"/>
  <c r="I928" i="7"/>
  <c r="I912" i="7"/>
  <c r="I896" i="7"/>
  <c r="I880" i="7"/>
  <c r="I864" i="7"/>
  <c r="I848" i="7"/>
  <c r="I832" i="7"/>
  <c r="I816" i="7"/>
  <c r="I800" i="7"/>
  <c r="I784" i="7"/>
  <c r="I768" i="7"/>
  <c r="I752" i="7"/>
  <c r="I736" i="7"/>
  <c r="I720" i="7"/>
  <c r="I704" i="7"/>
  <c r="I688" i="7"/>
  <c r="I672" i="7"/>
  <c r="I656" i="7"/>
  <c r="I640" i="7"/>
  <c r="I624" i="7"/>
  <c r="I608" i="7"/>
  <c r="I592" i="7"/>
  <c r="I576" i="7"/>
  <c r="I560" i="7"/>
  <c r="I544" i="7"/>
  <c r="I528" i="7"/>
  <c r="I512" i="7"/>
  <c r="I496" i="7"/>
  <c r="I480" i="7"/>
  <c r="I464" i="7"/>
  <c r="I448" i="7"/>
  <c r="I432" i="7"/>
  <c r="I416" i="7"/>
  <c r="I400" i="7"/>
  <c r="I384" i="7"/>
  <c r="I368" i="7"/>
  <c r="I352" i="7"/>
  <c r="I336" i="7"/>
  <c r="I320" i="7"/>
  <c r="I304" i="7"/>
  <c r="I288" i="7"/>
  <c r="I272" i="7"/>
  <c r="I256" i="7"/>
  <c r="I240" i="7"/>
  <c r="I224" i="7"/>
  <c r="I208" i="7"/>
  <c r="I192" i="7"/>
  <c r="I176" i="7"/>
  <c r="I160" i="7"/>
  <c r="I144" i="7"/>
  <c r="I128" i="7"/>
  <c r="I112" i="7"/>
  <c r="I96" i="7"/>
  <c r="I80" i="7"/>
  <c r="I64" i="7"/>
  <c r="I48" i="7"/>
  <c r="I32" i="7"/>
  <c r="I16" i="7"/>
  <c r="I1" i="7"/>
  <c r="I1000" i="7"/>
  <c r="I984" i="7"/>
  <c r="I968" i="7"/>
  <c r="I952" i="7"/>
  <c r="I936" i="7"/>
  <c r="I920" i="7"/>
  <c r="I904" i="7"/>
  <c r="I888" i="7"/>
  <c r="I872" i="7"/>
  <c r="I856" i="7"/>
  <c r="I840" i="7"/>
  <c r="I824" i="7"/>
  <c r="I808" i="7"/>
  <c r="I792" i="7"/>
  <c r="I776" i="7"/>
  <c r="I760" i="7"/>
  <c r="I744" i="7"/>
  <c r="I728" i="7"/>
  <c r="I712" i="7"/>
  <c r="I696" i="7"/>
  <c r="I680" i="7"/>
  <c r="I664" i="7"/>
  <c r="I648" i="7"/>
  <c r="I632" i="7"/>
  <c r="I616" i="7"/>
  <c r="I600" i="7"/>
  <c r="I584" i="7"/>
  <c r="I568" i="7"/>
  <c r="I552" i="7"/>
  <c r="I536" i="7"/>
  <c r="I520" i="7"/>
  <c r="I504" i="7"/>
  <c r="I488" i="7"/>
  <c r="I472" i="7"/>
  <c r="I456" i="7"/>
  <c r="I440" i="7"/>
  <c r="I424" i="7"/>
  <c r="I408" i="7"/>
  <c r="I392" i="7"/>
  <c r="I376" i="7"/>
  <c r="I360" i="7"/>
  <c r="I344" i="7"/>
  <c r="I328" i="7"/>
  <c r="I312" i="7"/>
  <c r="I296" i="7"/>
  <c r="I280" i="7"/>
  <c r="I264" i="7"/>
  <c r="I248" i="7"/>
  <c r="I232" i="7"/>
  <c r="I216" i="7"/>
  <c r="I200" i="7"/>
  <c r="I184" i="7"/>
  <c r="I168" i="7"/>
  <c r="I152" i="7"/>
  <c r="I136" i="7"/>
  <c r="I120" i="7"/>
  <c r="I104" i="7"/>
  <c r="I88" i="7"/>
  <c r="I72" i="7"/>
  <c r="I56" i="7"/>
  <c r="I40" i="7"/>
  <c r="I24" i="7"/>
  <c r="I8" i="7"/>
  <c r="I996" i="7"/>
  <c r="I980" i="7"/>
  <c r="I964" i="7"/>
  <c r="I948" i="7"/>
  <c r="I932" i="7"/>
  <c r="I916" i="7"/>
  <c r="I900" i="7"/>
  <c r="I884" i="7"/>
  <c r="I868" i="7"/>
  <c r="I852" i="7"/>
  <c r="I836" i="7"/>
  <c r="I820" i="7"/>
  <c r="I804" i="7"/>
  <c r="I788" i="7"/>
  <c r="I772" i="7"/>
  <c r="I756" i="7"/>
  <c r="I740" i="7"/>
  <c r="I724" i="7"/>
  <c r="I708" i="7"/>
  <c r="I692" i="7"/>
  <c r="I676" i="7"/>
  <c r="I660" i="7"/>
  <c r="I644" i="7"/>
  <c r="I628" i="7"/>
  <c r="I612" i="7"/>
  <c r="I596" i="7"/>
  <c r="I580" i="7"/>
  <c r="I564" i="7"/>
  <c r="I548" i="7"/>
  <c r="I532" i="7"/>
  <c r="I516" i="7"/>
  <c r="I500" i="7"/>
  <c r="I484" i="7"/>
  <c r="I468" i="7"/>
  <c r="I452" i="7"/>
  <c r="I436" i="7"/>
  <c r="I420" i="7"/>
  <c r="I404" i="7"/>
  <c r="I388" i="7"/>
  <c r="I372" i="7"/>
  <c r="I356" i="7"/>
  <c r="I340" i="7"/>
  <c r="I324" i="7"/>
  <c r="I308" i="7"/>
  <c r="I292" i="7"/>
  <c r="I276" i="7"/>
  <c r="I260" i="7"/>
  <c r="I244" i="7"/>
  <c r="I228" i="7"/>
  <c r="I212" i="7"/>
  <c r="I196" i="7"/>
  <c r="I180" i="7"/>
  <c r="I164" i="7"/>
  <c r="I148" i="7"/>
  <c r="I132" i="7"/>
  <c r="I116" i="7"/>
  <c r="I100" i="7"/>
  <c r="I84" i="7"/>
  <c r="I68" i="7"/>
  <c r="I52" i="7"/>
  <c r="I36" i="7"/>
  <c r="I20" i="7"/>
  <c r="I4" i="7"/>
  <c r="I988" i="7"/>
  <c r="I924" i="7"/>
  <c r="I860" i="7"/>
  <c r="I796" i="7"/>
  <c r="I732" i="7"/>
  <c r="I668" i="7"/>
  <c r="I604" i="7"/>
  <c r="I540" i="7"/>
  <c r="I476" i="7"/>
  <c r="I412" i="7"/>
  <c r="I348" i="7"/>
  <c r="I284" i="7"/>
  <c r="I220" i="7"/>
  <c r="I156" i="7"/>
  <c r="I92" i="7"/>
  <c r="I28" i="7"/>
  <c r="I940" i="7"/>
  <c r="I876" i="7"/>
  <c r="I812" i="7"/>
  <c r="I748" i="7"/>
  <c r="I684" i="7"/>
  <c r="I620" i="7"/>
  <c r="I556" i="7"/>
  <c r="I492" i="7"/>
  <c r="I428" i="7"/>
  <c r="I364" i="7"/>
  <c r="I300" i="7"/>
  <c r="I236" i="7"/>
  <c r="I172" i="7"/>
  <c r="I108" i="7"/>
  <c r="I44" i="7"/>
  <c r="I972" i="7"/>
  <c r="I908" i="7"/>
  <c r="I844" i="7"/>
  <c r="I780" i="7"/>
  <c r="I716" i="7"/>
  <c r="I652" i="7"/>
  <c r="I588" i="7"/>
  <c r="I524" i="7"/>
  <c r="I460" i="7"/>
  <c r="I396" i="7"/>
  <c r="I332" i="7"/>
  <c r="I268" i="7"/>
  <c r="I204" i="7"/>
  <c r="I140" i="7"/>
  <c r="I76" i="7"/>
  <c r="I12" i="7"/>
  <c r="I956" i="7"/>
  <c r="I892" i="7"/>
  <c r="I828" i="7"/>
  <c r="I764" i="7"/>
  <c r="I700" i="7"/>
  <c r="I636" i="7"/>
  <c r="I572" i="7"/>
  <c r="I508" i="7"/>
  <c r="I444" i="7"/>
  <c r="I380" i="7"/>
  <c r="I316" i="7"/>
  <c r="I252" i="7"/>
  <c r="I188" i="7"/>
  <c r="I124" i="7"/>
  <c r="I60" i="7"/>
  <c r="R1004" i="3"/>
  <c r="R1000" i="3"/>
  <c r="R996" i="3"/>
  <c r="R992" i="3"/>
  <c r="R988" i="3"/>
  <c r="R984" i="3"/>
  <c r="R980" i="3"/>
  <c r="R976" i="3"/>
  <c r="R972" i="3"/>
  <c r="R968" i="3"/>
  <c r="R964" i="3"/>
  <c r="R960" i="3"/>
  <c r="R956" i="3"/>
  <c r="R952" i="3"/>
  <c r="R948" i="3"/>
  <c r="R944" i="3"/>
  <c r="R940" i="3"/>
  <c r="R936" i="3"/>
  <c r="R932" i="3"/>
  <c r="R928" i="3"/>
  <c r="R924" i="3"/>
  <c r="R920" i="3"/>
  <c r="R916" i="3"/>
  <c r="R912" i="3"/>
  <c r="R908" i="3"/>
  <c r="R904" i="3"/>
  <c r="R900" i="3"/>
  <c r="R896" i="3"/>
  <c r="R892" i="3"/>
  <c r="R888" i="3"/>
  <c r="R884" i="3"/>
  <c r="R880" i="3"/>
  <c r="R876" i="3"/>
  <c r="R872" i="3"/>
  <c r="R868" i="3"/>
  <c r="R864" i="3"/>
  <c r="R860" i="3"/>
  <c r="R856" i="3"/>
  <c r="R852" i="3"/>
  <c r="R848" i="3"/>
  <c r="R844" i="3"/>
  <c r="R840" i="3"/>
  <c r="R836" i="3"/>
  <c r="R832" i="3"/>
  <c r="R828" i="3"/>
  <c r="R824" i="3"/>
  <c r="R820" i="3"/>
  <c r="R816" i="3"/>
  <c r="R812" i="3"/>
  <c r="R808" i="3"/>
  <c r="R804" i="3"/>
  <c r="R800" i="3"/>
  <c r="R796" i="3"/>
  <c r="R792" i="3"/>
  <c r="R788" i="3"/>
  <c r="R784" i="3"/>
  <c r="R780" i="3"/>
  <c r="R776" i="3"/>
  <c r="R772" i="3"/>
  <c r="R768" i="3"/>
  <c r="R764" i="3"/>
  <c r="R760" i="3"/>
  <c r="R756" i="3"/>
  <c r="R752" i="3"/>
  <c r="R748" i="3"/>
  <c r="R744" i="3"/>
  <c r="R740" i="3"/>
  <c r="R736" i="3"/>
  <c r="R732" i="3"/>
  <c r="R728" i="3"/>
  <c r="R724" i="3"/>
  <c r="R720" i="3"/>
  <c r="R716" i="3"/>
  <c r="R712" i="3"/>
  <c r="R708" i="3"/>
  <c r="R704" i="3"/>
  <c r="R700" i="3"/>
  <c r="R696" i="3"/>
  <c r="R692" i="3"/>
  <c r="R688" i="3"/>
  <c r="R684" i="3"/>
  <c r="R680" i="3"/>
  <c r="R676" i="3"/>
  <c r="R672" i="3"/>
  <c r="R668" i="3"/>
  <c r="R664" i="3"/>
  <c r="R660" i="3"/>
  <c r="R656" i="3"/>
  <c r="R652" i="3"/>
  <c r="R648" i="3"/>
  <c r="R644" i="3"/>
  <c r="R640" i="3"/>
  <c r="R636" i="3"/>
  <c r="R632" i="3"/>
  <c r="R628" i="3"/>
  <c r="R624" i="3"/>
  <c r="R620" i="3"/>
  <c r="R616" i="3"/>
  <c r="R612" i="3"/>
  <c r="R608" i="3"/>
  <c r="R604" i="3"/>
  <c r="R600" i="3"/>
  <c r="R596" i="3"/>
  <c r="R592" i="3"/>
  <c r="R588" i="3"/>
  <c r="R584" i="3"/>
  <c r="R580" i="3"/>
  <c r="R576" i="3"/>
  <c r="R572" i="3"/>
  <c r="R568" i="3"/>
  <c r="R564" i="3"/>
  <c r="R560" i="3"/>
  <c r="R556" i="3"/>
  <c r="R552" i="3"/>
  <c r="R548" i="3"/>
  <c r="R544" i="3"/>
  <c r="R540" i="3"/>
  <c r="R536" i="3"/>
  <c r="R532" i="3"/>
  <c r="R528" i="3"/>
  <c r="R524" i="3"/>
  <c r="R520" i="3"/>
  <c r="R516" i="3"/>
  <c r="R512" i="3"/>
  <c r="R508" i="3"/>
  <c r="R504" i="3"/>
  <c r="R500" i="3"/>
  <c r="R496" i="3"/>
  <c r="R492" i="3"/>
  <c r="R488" i="3"/>
  <c r="R484" i="3"/>
  <c r="R480" i="3"/>
  <c r="R476" i="3"/>
  <c r="R472" i="3"/>
  <c r="R468" i="3"/>
  <c r="R464" i="3"/>
  <c r="R460" i="3"/>
  <c r="R456" i="3"/>
  <c r="R452" i="3"/>
  <c r="R448" i="3"/>
  <c r="R444" i="3"/>
  <c r="R440" i="3"/>
  <c r="R436" i="3"/>
  <c r="R432" i="3"/>
  <c r="R428" i="3"/>
  <c r="R424" i="3"/>
  <c r="R420" i="3"/>
  <c r="R416" i="3"/>
  <c r="R412" i="3"/>
  <c r="R408" i="3"/>
  <c r="R404" i="3"/>
  <c r="R400" i="3"/>
  <c r="R396" i="3"/>
  <c r="R392" i="3"/>
  <c r="R388" i="3"/>
  <c r="R384" i="3"/>
  <c r="R380" i="3"/>
  <c r="R376" i="3"/>
  <c r="R372" i="3"/>
  <c r="R368" i="3"/>
  <c r="R364" i="3"/>
  <c r="R360" i="3"/>
  <c r="R356" i="3"/>
  <c r="R352" i="3"/>
  <c r="R348" i="3"/>
  <c r="R344" i="3"/>
  <c r="R340" i="3"/>
  <c r="R336" i="3"/>
  <c r="R332" i="3"/>
  <c r="R328" i="3"/>
  <c r="R324" i="3"/>
  <c r="R320" i="3"/>
  <c r="R316" i="3"/>
  <c r="R312" i="3"/>
  <c r="R308" i="3"/>
  <c r="R304" i="3"/>
  <c r="R300" i="3"/>
  <c r="R296" i="3"/>
  <c r="R292" i="3"/>
  <c r="R288" i="3"/>
  <c r="R284" i="3"/>
  <c r="R280" i="3"/>
  <c r="R276" i="3"/>
  <c r="R272" i="3"/>
  <c r="R268" i="3"/>
  <c r="R264" i="3"/>
  <c r="R260" i="3"/>
  <c r="R256" i="3"/>
  <c r="R252" i="3"/>
  <c r="R248" i="3"/>
  <c r="R244" i="3"/>
  <c r="R240" i="3"/>
  <c r="R236" i="3"/>
  <c r="R232" i="3"/>
  <c r="R228" i="3"/>
  <c r="R224" i="3"/>
  <c r="R220" i="3"/>
  <c r="R216" i="3"/>
  <c r="R212" i="3"/>
  <c r="R208" i="3"/>
  <c r="R204" i="3"/>
  <c r="R200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132" i="3"/>
  <c r="R128" i="3"/>
  <c r="R124" i="3"/>
  <c r="R120" i="3"/>
  <c r="R116" i="3"/>
  <c r="R112" i="3"/>
  <c r="R108" i="3"/>
  <c r="R104" i="3"/>
  <c r="R100" i="3"/>
  <c r="R96" i="3"/>
  <c r="R92" i="3"/>
  <c r="R88" i="3"/>
  <c r="R84" i="3"/>
  <c r="R80" i="3"/>
  <c r="R76" i="3"/>
  <c r="R72" i="3"/>
  <c r="R68" i="3"/>
  <c r="R64" i="3"/>
  <c r="R60" i="3"/>
  <c r="R56" i="3"/>
  <c r="R52" i="3"/>
  <c r="R48" i="3"/>
  <c r="R44" i="3"/>
  <c r="R40" i="3"/>
  <c r="R36" i="3"/>
  <c r="R32" i="3"/>
  <c r="R28" i="3"/>
  <c r="R24" i="3"/>
  <c r="R20" i="3"/>
  <c r="R16" i="3"/>
  <c r="R12" i="3"/>
  <c r="R8" i="3"/>
  <c r="R999" i="3"/>
  <c r="R994" i="3"/>
  <c r="R989" i="3"/>
  <c r="R983" i="3"/>
  <c r="R978" i="3"/>
  <c r="R973" i="3"/>
  <c r="R967" i="3"/>
  <c r="R962" i="3"/>
  <c r="R957" i="3"/>
  <c r="R951" i="3"/>
  <c r="R946" i="3"/>
  <c r="R941" i="3"/>
  <c r="R935" i="3"/>
  <c r="R930" i="3"/>
  <c r="R925" i="3"/>
  <c r="R919" i="3"/>
  <c r="R914" i="3"/>
  <c r="R909" i="3"/>
  <c r="R903" i="3"/>
  <c r="R898" i="3"/>
  <c r="R893" i="3"/>
  <c r="R887" i="3"/>
  <c r="R882" i="3"/>
  <c r="R877" i="3"/>
  <c r="R871" i="3"/>
  <c r="R866" i="3"/>
  <c r="R861" i="3"/>
  <c r="R855" i="3"/>
  <c r="R850" i="3"/>
  <c r="R845" i="3"/>
  <c r="R839" i="3"/>
  <c r="R834" i="3"/>
  <c r="R829" i="3"/>
  <c r="R823" i="3"/>
  <c r="R818" i="3"/>
  <c r="R813" i="3"/>
  <c r="R807" i="3"/>
  <c r="R802" i="3"/>
  <c r="R797" i="3"/>
  <c r="R791" i="3"/>
  <c r="R786" i="3"/>
  <c r="R781" i="3"/>
  <c r="R775" i="3"/>
  <c r="R770" i="3"/>
  <c r="R765" i="3"/>
  <c r="R759" i="3"/>
  <c r="R754" i="3"/>
  <c r="R749" i="3"/>
  <c r="R743" i="3"/>
  <c r="R738" i="3"/>
  <c r="R733" i="3"/>
  <c r="R727" i="3"/>
  <c r="R722" i="3"/>
  <c r="R717" i="3"/>
  <c r="R711" i="3"/>
  <c r="R706" i="3"/>
  <c r="R701" i="3"/>
  <c r="R695" i="3"/>
  <c r="R690" i="3"/>
  <c r="R685" i="3"/>
  <c r="R679" i="3"/>
  <c r="R674" i="3"/>
  <c r="R669" i="3"/>
  <c r="R663" i="3"/>
  <c r="R658" i="3"/>
  <c r="R653" i="3"/>
  <c r="R647" i="3"/>
  <c r="R642" i="3"/>
  <c r="R637" i="3"/>
  <c r="R631" i="3"/>
  <c r="R626" i="3"/>
  <c r="R621" i="3"/>
  <c r="R615" i="3"/>
  <c r="R610" i="3"/>
  <c r="R605" i="3"/>
  <c r="R599" i="3"/>
  <c r="R594" i="3"/>
  <c r="R589" i="3"/>
  <c r="R583" i="3"/>
  <c r="R578" i="3"/>
  <c r="R573" i="3"/>
  <c r="R567" i="3"/>
  <c r="R562" i="3"/>
  <c r="R557" i="3"/>
  <c r="R551" i="3"/>
  <c r="R546" i="3"/>
  <c r="R541" i="3"/>
  <c r="R535" i="3"/>
  <c r="R530" i="3"/>
  <c r="R525" i="3"/>
  <c r="R519" i="3"/>
  <c r="R514" i="3"/>
  <c r="R509" i="3"/>
  <c r="R503" i="3"/>
  <c r="R498" i="3"/>
  <c r="R493" i="3"/>
  <c r="R487" i="3"/>
  <c r="R482" i="3"/>
  <c r="R477" i="3"/>
  <c r="R471" i="3"/>
  <c r="R466" i="3"/>
  <c r="R461" i="3"/>
  <c r="R455" i="3"/>
  <c r="R450" i="3"/>
  <c r="R445" i="3"/>
  <c r="R439" i="3"/>
  <c r="R434" i="3"/>
  <c r="R429" i="3"/>
  <c r="R423" i="3"/>
  <c r="R418" i="3"/>
  <c r="R413" i="3"/>
  <c r="R407" i="3"/>
  <c r="R402" i="3"/>
  <c r="R397" i="3"/>
  <c r="R391" i="3"/>
  <c r="R386" i="3"/>
  <c r="R381" i="3"/>
  <c r="R375" i="3"/>
  <c r="R370" i="3"/>
  <c r="R365" i="3"/>
  <c r="R359" i="3"/>
  <c r="R354" i="3"/>
  <c r="R349" i="3"/>
  <c r="R343" i="3"/>
  <c r="R338" i="3"/>
  <c r="R333" i="3"/>
  <c r="R327" i="3"/>
  <c r="R322" i="3"/>
  <c r="R317" i="3"/>
  <c r="R311" i="3"/>
  <c r="R306" i="3"/>
  <c r="R301" i="3"/>
  <c r="R295" i="3"/>
  <c r="R290" i="3"/>
  <c r="R285" i="3"/>
  <c r="R279" i="3"/>
  <c r="R274" i="3"/>
  <c r="R269" i="3"/>
  <c r="R263" i="3"/>
  <c r="R258" i="3"/>
  <c r="R253" i="3"/>
  <c r="R247" i="3"/>
  <c r="R242" i="3"/>
  <c r="R237" i="3"/>
  <c r="R231" i="3"/>
  <c r="R226" i="3"/>
  <c r="R221" i="3"/>
  <c r="R215" i="3"/>
  <c r="R210" i="3"/>
  <c r="R205" i="3"/>
  <c r="R199" i="3"/>
  <c r="R194" i="3"/>
  <c r="R189" i="3"/>
  <c r="R183" i="3"/>
  <c r="R178" i="3"/>
  <c r="R173" i="3"/>
  <c r="R167" i="3"/>
  <c r="R162" i="3"/>
  <c r="R157" i="3"/>
  <c r="R151" i="3"/>
  <c r="R146" i="3"/>
  <c r="R141" i="3"/>
  <c r="R135" i="3"/>
  <c r="R130" i="3"/>
  <c r="R125" i="3"/>
  <c r="R119" i="3"/>
  <c r="R114" i="3"/>
  <c r="R109" i="3"/>
  <c r="R103" i="3"/>
  <c r="R98" i="3"/>
  <c r="R93" i="3"/>
  <c r="R87" i="3"/>
  <c r="R82" i="3"/>
  <c r="R77" i="3"/>
  <c r="R71" i="3"/>
  <c r="R66" i="3"/>
  <c r="R61" i="3"/>
  <c r="R55" i="3"/>
  <c r="R50" i="3"/>
  <c r="R45" i="3"/>
  <c r="R39" i="3"/>
  <c r="R34" i="3"/>
  <c r="R29" i="3"/>
  <c r="R23" i="3"/>
  <c r="R18" i="3"/>
  <c r="R13" i="3"/>
  <c r="R7" i="3"/>
  <c r="R1002" i="3"/>
  <c r="R997" i="3"/>
  <c r="R991" i="3"/>
  <c r="R986" i="3"/>
  <c r="R981" i="3"/>
  <c r="R975" i="3"/>
  <c r="R970" i="3"/>
  <c r="R965" i="3"/>
  <c r="R959" i="3"/>
  <c r="R954" i="3"/>
  <c r="R949" i="3"/>
  <c r="R943" i="3"/>
  <c r="R938" i="3"/>
  <c r="R933" i="3"/>
  <c r="R927" i="3"/>
  <c r="R922" i="3"/>
  <c r="R917" i="3"/>
  <c r="R911" i="3"/>
  <c r="R906" i="3"/>
  <c r="R901" i="3"/>
  <c r="R895" i="3"/>
  <c r="R890" i="3"/>
  <c r="R885" i="3"/>
  <c r="R879" i="3"/>
  <c r="R874" i="3"/>
  <c r="R869" i="3"/>
  <c r="R863" i="3"/>
  <c r="R858" i="3"/>
  <c r="R853" i="3"/>
  <c r="R847" i="3"/>
  <c r="R842" i="3"/>
  <c r="R837" i="3"/>
  <c r="R831" i="3"/>
  <c r="R826" i="3"/>
  <c r="R821" i="3"/>
  <c r="R815" i="3"/>
  <c r="R810" i="3"/>
  <c r="R805" i="3"/>
  <c r="R799" i="3"/>
  <c r="R794" i="3"/>
  <c r="R789" i="3"/>
  <c r="R783" i="3"/>
  <c r="R778" i="3"/>
  <c r="R773" i="3"/>
  <c r="R767" i="3"/>
  <c r="R762" i="3"/>
  <c r="R757" i="3"/>
  <c r="R751" i="3"/>
  <c r="R746" i="3"/>
  <c r="R741" i="3"/>
  <c r="R735" i="3"/>
  <c r="R730" i="3"/>
  <c r="R725" i="3"/>
  <c r="R719" i="3"/>
  <c r="R714" i="3"/>
  <c r="R709" i="3"/>
  <c r="R703" i="3"/>
  <c r="R698" i="3"/>
  <c r="R693" i="3"/>
  <c r="R687" i="3"/>
  <c r="R682" i="3"/>
  <c r="R677" i="3"/>
  <c r="R671" i="3"/>
  <c r="R666" i="3"/>
  <c r="R661" i="3"/>
  <c r="R655" i="3"/>
  <c r="R650" i="3"/>
  <c r="R645" i="3"/>
  <c r="R639" i="3"/>
  <c r="R634" i="3"/>
  <c r="R629" i="3"/>
  <c r="R623" i="3"/>
  <c r="R618" i="3"/>
  <c r="R613" i="3"/>
  <c r="R607" i="3"/>
  <c r="R602" i="3"/>
  <c r="R597" i="3"/>
  <c r="R591" i="3"/>
  <c r="R586" i="3"/>
  <c r="R581" i="3"/>
  <c r="R575" i="3"/>
  <c r="R570" i="3"/>
  <c r="R565" i="3"/>
  <c r="R559" i="3"/>
  <c r="R554" i="3"/>
  <c r="R549" i="3"/>
  <c r="R543" i="3"/>
  <c r="R538" i="3"/>
  <c r="R533" i="3"/>
  <c r="R527" i="3"/>
  <c r="R522" i="3"/>
  <c r="R517" i="3"/>
  <c r="R511" i="3"/>
  <c r="R506" i="3"/>
  <c r="R501" i="3"/>
  <c r="R495" i="3"/>
  <c r="R490" i="3"/>
  <c r="R485" i="3"/>
  <c r="R479" i="3"/>
  <c r="R474" i="3"/>
  <c r="R469" i="3"/>
  <c r="R463" i="3"/>
  <c r="R458" i="3"/>
  <c r="R453" i="3"/>
  <c r="R447" i="3"/>
  <c r="R442" i="3"/>
  <c r="R437" i="3"/>
  <c r="R431" i="3"/>
  <c r="R426" i="3"/>
  <c r="R421" i="3"/>
  <c r="R415" i="3"/>
  <c r="R410" i="3"/>
  <c r="R405" i="3"/>
  <c r="R399" i="3"/>
  <c r="R394" i="3"/>
  <c r="R389" i="3"/>
  <c r="R383" i="3"/>
  <c r="R378" i="3"/>
  <c r="R373" i="3"/>
  <c r="R367" i="3"/>
  <c r="R362" i="3"/>
  <c r="R357" i="3"/>
  <c r="R351" i="3"/>
  <c r="R346" i="3"/>
  <c r="R341" i="3"/>
  <c r="R335" i="3"/>
  <c r="R330" i="3"/>
  <c r="R325" i="3"/>
  <c r="R319" i="3"/>
  <c r="R314" i="3"/>
  <c r="R309" i="3"/>
  <c r="R303" i="3"/>
  <c r="R298" i="3"/>
  <c r="R293" i="3"/>
  <c r="R287" i="3"/>
  <c r="R282" i="3"/>
  <c r="R277" i="3"/>
  <c r="R271" i="3"/>
  <c r="R266" i="3"/>
  <c r="R261" i="3"/>
  <c r="R255" i="3"/>
  <c r="R250" i="3"/>
  <c r="R245" i="3"/>
  <c r="R239" i="3"/>
  <c r="R234" i="3"/>
  <c r="R229" i="3"/>
  <c r="R223" i="3"/>
  <c r="R218" i="3"/>
  <c r="R213" i="3"/>
  <c r="R207" i="3"/>
  <c r="R202" i="3"/>
  <c r="R197" i="3"/>
  <c r="R191" i="3"/>
  <c r="R186" i="3"/>
  <c r="R181" i="3"/>
  <c r="R175" i="3"/>
  <c r="R170" i="3"/>
  <c r="R165" i="3"/>
  <c r="R159" i="3"/>
  <c r="R154" i="3"/>
  <c r="R149" i="3"/>
  <c r="R143" i="3"/>
  <c r="R138" i="3"/>
  <c r="R133" i="3"/>
  <c r="R127" i="3"/>
  <c r="R122" i="3"/>
  <c r="R117" i="3"/>
  <c r="R111" i="3"/>
  <c r="R106" i="3"/>
  <c r="R101" i="3"/>
  <c r="R95" i="3"/>
  <c r="R90" i="3"/>
  <c r="R85" i="3"/>
  <c r="R79" i="3"/>
  <c r="R74" i="3"/>
  <c r="R69" i="3"/>
  <c r="R63" i="3"/>
  <c r="R58" i="3"/>
  <c r="R53" i="3"/>
  <c r="R47" i="3"/>
  <c r="R42" i="3"/>
  <c r="R37" i="3"/>
  <c r="R31" i="3"/>
  <c r="R26" i="3"/>
  <c r="R21" i="3"/>
  <c r="R15" i="3"/>
  <c r="R10" i="3"/>
  <c r="R6" i="3"/>
  <c r="R1001" i="3"/>
  <c r="R995" i="3"/>
  <c r="R990" i="3"/>
  <c r="R985" i="3"/>
  <c r="R979" i="3"/>
  <c r="R974" i="3"/>
  <c r="R969" i="3"/>
  <c r="R963" i="3"/>
  <c r="R958" i="3"/>
  <c r="R953" i="3"/>
  <c r="R947" i="3"/>
  <c r="R942" i="3"/>
  <c r="R937" i="3"/>
  <c r="R931" i="3"/>
  <c r="R926" i="3"/>
  <c r="R921" i="3"/>
  <c r="R915" i="3"/>
  <c r="R910" i="3"/>
  <c r="R905" i="3"/>
  <c r="R899" i="3"/>
  <c r="R894" i="3"/>
  <c r="R889" i="3"/>
  <c r="R883" i="3"/>
  <c r="R878" i="3"/>
  <c r="R873" i="3"/>
  <c r="R867" i="3"/>
  <c r="R862" i="3"/>
  <c r="R857" i="3"/>
  <c r="R851" i="3"/>
  <c r="R846" i="3"/>
  <c r="R841" i="3"/>
  <c r="R835" i="3"/>
  <c r="R830" i="3"/>
  <c r="R825" i="3"/>
  <c r="R819" i="3"/>
  <c r="R814" i="3"/>
  <c r="R809" i="3"/>
  <c r="R803" i="3"/>
  <c r="R798" i="3"/>
  <c r="R793" i="3"/>
  <c r="R787" i="3"/>
  <c r="R782" i="3"/>
  <c r="R777" i="3"/>
  <c r="R771" i="3"/>
  <c r="R766" i="3"/>
  <c r="R761" i="3"/>
  <c r="R755" i="3"/>
  <c r="R750" i="3"/>
  <c r="R745" i="3"/>
  <c r="R739" i="3"/>
  <c r="R734" i="3"/>
  <c r="R729" i="3"/>
  <c r="R723" i="3"/>
  <c r="R718" i="3"/>
  <c r="R713" i="3"/>
  <c r="R707" i="3"/>
  <c r="R702" i="3"/>
  <c r="R697" i="3"/>
  <c r="R691" i="3"/>
  <c r="R686" i="3"/>
  <c r="R681" i="3"/>
  <c r="R675" i="3"/>
  <c r="R670" i="3"/>
  <c r="R665" i="3"/>
  <c r="R659" i="3"/>
  <c r="R654" i="3"/>
  <c r="R649" i="3"/>
  <c r="R643" i="3"/>
  <c r="R638" i="3"/>
  <c r="R633" i="3"/>
  <c r="R627" i="3"/>
  <c r="R622" i="3"/>
  <c r="R617" i="3"/>
  <c r="R611" i="3"/>
  <c r="R606" i="3"/>
  <c r="R601" i="3"/>
  <c r="R595" i="3"/>
  <c r="R590" i="3"/>
  <c r="R585" i="3"/>
  <c r="R579" i="3"/>
  <c r="R574" i="3"/>
  <c r="R569" i="3"/>
  <c r="R563" i="3"/>
  <c r="R558" i="3"/>
  <c r="R553" i="3"/>
  <c r="R547" i="3"/>
  <c r="R542" i="3"/>
  <c r="R537" i="3"/>
  <c r="R531" i="3"/>
  <c r="R526" i="3"/>
  <c r="R521" i="3"/>
  <c r="R515" i="3"/>
  <c r="R510" i="3"/>
  <c r="R505" i="3"/>
  <c r="R499" i="3"/>
  <c r="R494" i="3"/>
  <c r="R489" i="3"/>
  <c r="R483" i="3"/>
  <c r="R478" i="3"/>
  <c r="R473" i="3"/>
  <c r="R467" i="3"/>
  <c r="R462" i="3"/>
  <c r="R457" i="3"/>
  <c r="R451" i="3"/>
  <c r="R446" i="3"/>
  <c r="R441" i="3"/>
  <c r="R435" i="3"/>
  <c r="R430" i="3"/>
  <c r="R425" i="3"/>
  <c r="R419" i="3"/>
  <c r="R414" i="3"/>
  <c r="R409" i="3"/>
  <c r="R403" i="3"/>
  <c r="R398" i="3"/>
  <c r="R393" i="3"/>
  <c r="R387" i="3"/>
  <c r="R382" i="3"/>
  <c r="R377" i="3"/>
  <c r="R371" i="3"/>
  <c r="R366" i="3"/>
  <c r="R361" i="3"/>
  <c r="R355" i="3"/>
  <c r="R350" i="3"/>
  <c r="R345" i="3"/>
  <c r="R339" i="3"/>
  <c r="R334" i="3"/>
  <c r="R329" i="3"/>
  <c r="R323" i="3"/>
  <c r="R318" i="3"/>
  <c r="R313" i="3"/>
  <c r="R307" i="3"/>
  <c r="R302" i="3"/>
  <c r="R297" i="3"/>
  <c r="R291" i="3"/>
  <c r="R286" i="3"/>
  <c r="R281" i="3"/>
  <c r="R275" i="3"/>
  <c r="R270" i="3"/>
  <c r="R265" i="3"/>
  <c r="R259" i="3"/>
  <c r="R254" i="3"/>
  <c r="R249" i="3"/>
  <c r="R243" i="3"/>
  <c r="R238" i="3"/>
  <c r="R233" i="3"/>
  <c r="R227" i="3"/>
  <c r="R222" i="3"/>
  <c r="R217" i="3"/>
  <c r="R211" i="3"/>
  <c r="R206" i="3"/>
  <c r="R201" i="3"/>
  <c r="R195" i="3"/>
  <c r="R190" i="3"/>
  <c r="R185" i="3"/>
  <c r="R179" i="3"/>
  <c r="R174" i="3"/>
  <c r="R169" i="3"/>
  <c r="R163" i="3"/>
  <c r="R158" i="3"/>
  <c r="R153" i="3"/>
  <c r="R147" i="3"/>
  <c r="R142" i="3"/>
  <c r="R137" i="3"/>
  <c r="R131" i="3"/>
  <c r="R126" i="3"/>
  <c r="R121" i="3"/>
  <c r="R115" i="3"/>
  <c r="R110" i="3"/>
  <c r="R105" i="3"/>
  <c r="R99" i="3"/>
  <c r="R94" i="3"/>
  <c r="R89" i="3"/>
  <c r="R83" i="3"/>
  <c r="R78" i="3"/>
  <c r="R73" i="3"/>
  <c r="R67" i="3"/>
  <c r="R62" i="3"/>
  <c r="R57" i="3"/>
  <c r="R51" i="3"/>
  <c r="R46" i="3"/>
  <c r="R41" i="3"/>
  <c r="R35" i="3"/>
  <c r="R30" i="3"/>
  <c r="R25" i="3"/>
  <c r="R19" i="3"/>
  <c r="R14" i="3"/>
  <c r="R9" i="3"/>
  <c r="R998" i="3"/>
  <c r="R977" i="3"/>
  <c r="R955" i="3"/>
  <c r="R934" i="3"/>
  <c r="R913" i="3"/>
  <c r="R891" i="3"/>
  <c r="R870" i="3"/>
  <c r="R849" i="3"/>
  <c r="R827" i="3"/>
  <c r="R806" i="3"/>
  <c r="R785" i="3"/>
  <c r="R763" i="3"/>
  <c r="R742" i="3"/>
  <c r="R721" i="3"/>
  <c r="R699" i="3"/>
  <c r="R678" i="3"/>
  <c r="R657" i="3"/>
  <c r="R635" i="3"/>
  <c r="R614" i="3"/>
  <c r="R593" i="3"/>
  <c r="R571" i="3"/>
  <c r="R550" i="3"/>
  <c r="R529" i="3"/>
  <c r="R507" i="3"/>
  <c r="R486" i="3"/>
  <c r="R465" i="3"/>
  <c r="R443" i="3"/>
  <c r="R422" i="3"/>
  <c r="R401" i="3"/>
  <c r="R379" i="3"/>
  <c r="R358" i="3"/>
  <c r="R337" i="3"/>
  <c r="R315" i="3"/>
  <c r="R294" i="3"/>
  <c r="R273" i="3"/>
  <c r="R251" i="3"/>
  <c r="R230" i="3"/>
  <c r="R209" i="3"/>
  <c r="R187" i="3"/>
  <c r="R166" i="3"/>
  <c r="R145" i="3"/>
  <c r="R123" i="3"/>
  <c r="R102" i="3"/>
  <c r="R81" i="3"/>
  <c r="R59" i="3"/>
  <c r="R38" i="3"/>
  <c r="R17" i="3"/>
  <c r="R993" i="3"/>
  <c r="R971" i="3"/>
  <c r="R950" i="3"/>
  <c r="R929" i="3"/>
  <c r="R907" i="3"/>
  <c r="R886" i="3"/>
  <c r="R865" i="3"/>
  <c r="R843" i="3"/>
  <c r="R822" i="3"/>
  <c r="R801" i="3"/>
  <c r="R779" i="3"/>
  <c r="R758" i="3"/>
  <c r="R737" i="3"/>
  <c r="R715" i="3"/>
  <c r="R694" i="3"/>
  <c r="R673" i="3"/>
  <c r="R651" i="3"/>
  <c r="R630" i="3"/>
  <c r="R609" i="3"/>
  <c r="R587" i="3"/>
  <c r="R566" i="3"/>
  <c r="R545" i="3"/>
  <c r="R523" i="3"/>
  <c r="R502" i="3"/>
  <c r="R481" i="3"/>
  <c r="R459" i="3"/>
  <c r="R438" i="3"/>
  <c r="R417" i="3"/>
  <c r="R395" i="3"/>
  <c r="R374" i="3"/>
  <c r="R353" i="3"/>
  <c r="R331" i="3"/>
  <c r="R310" i="3"/>
  <c r="R289" i="3"/>
  <c r="R267" i="3"/>
  <c r="R246" i="3"/>
  <c r="R225" i="3"/>
  <c r="R203" i="3"/>
  <c r="R182" i="3"/>
  <c r="R161" i="3"/>
  <c r="R139" i="3"/>
  <c r="R118" i="3"/>
  <c r="R97" i="3"/>
  <c r="R75" i="3"/>
  <c r="R54" i="3"/>
  <c r="R33" i="3"/>
  <c r="R11" i="3"/>
  <c r="R1003" i="3"/>
  <c r="R982" i="3"/>
  <c r="R961" i="3"/>
  <c r="R939" i="3"/>
  <c r="R918" i="3"/>
  <c r="R897" i="3"/>
  <c r="R875" i="3"/>
  <c r="R854" i="3"/>
  <c r="R833" i="3"/>
  <c r="R790" i="3"/>
  <c r="R769" i="3"/>
  <c r="R726" i="3"/>
  <c r="R705" i="3"/>
  <c r="R662" i="3"/>
  <c r="R619" i="3"/>
  <c r="R577" i="3"/>
  <c r="R534" i="3"/>
  <c r="R491" i="3"/>
  <c r="R449" i="3"/>
  <c r="R406" i="3"/>
  <c r="R363" i="3"/>
  <c r="R321" i="3"/>
  <c r="R278" i="3"/>
  <c r="R235" i="3"/>
  <c r="R214" i="3"/>
  <c r="R171" i="3"/>
  <c r="R129" i="3"/>
  <c r="R86" i="3"/>
  <c r="R43" i="3"/>
  <c r="R987" i="3"/>
  <c r="R966" i="3"/>
  <c r="R945" i="3"/>
  <c r="R923" i="3"/>
  <c r="R902" i="3"/>
  <c r="R881" i="3"/>
  <c r="R859" i="3"/>
  <c r="R838" i="3"/>
  <c r="R817" i="3"/>
  <c r="R795" i="3"/>
  <c r="R774" i="3"/>
  <c r="R753" i="3"/>
  <c r="R731" i="3"/>
  <c r="R710" i="3"/>
  <c r="R689" i="3"/>
  <c r="R667" i="3"/>
  <c r="R646" i="3"/>
  <c r="R625" i="3"/>
  <c r="R603" i="3"/>
  <c r="R582" i="3"/>
  <c r="R561" i="3"/>
  <c r="R539" i="3"/>
  <c r="R518" i="3"/>
  <c r="R497" i="3"/>
  <c r="R475" i="3"/>
  <c r="R454" i="3"/>
  <c r="R433" i="3"/>
  <c r="R411" i="3"/>
  <c r="R390" i="3"/>
  <c r="R369" i="3"/>
  <c r="R347" i="3"/>
  <c r="R326" i="3"/>
  <c r="R305" i="3"/>
  <c r="R283" i="3"/>
  <c r="R262" i="3"/>
  <c r="R241" i="3"/>
  <c r="R219" i="3"/>
  <c r="R198" i="3"/>
  <c r="R177" i="3"/>
  <c r="R155" i="3"/>
  <c r="R134" i="3"/>
  <c r="R113" i="3"/>
  <c r="R91" i="3"/>
  <c r="R70" i="3"/>
  <c r="R49" i="3"/>
  <c r="R27" i="3"/>
  <c r="R811" i="3"/>
  <c r="R747" i="3"/>
  <c r="R683" i="3"/>
  <c r="R641" i="3"/>
  <c r="R598" i="3"/>
  <c r="R555" i="3"/>
  <c r="R513" i="3"/>
  <c r="R470" i="3"/>
  <c r="R427" i="3"/>
  <c r="R385" i="3"/>
  <c r="R342" i="3"/>
  <c r="R299" i="3"/>
  <c r="R257" i="3"/>
  <c r="R193" i="3"/>
  <c r="R150" i="3"/>
  <c r="R107" i="3"/>
  <c r="R65" i="3"/>
  <c r="R22" i="3"/>
  <c r="Q1004" i="3"/>
  <c r="Q1000" i="3"/>
  <c r="Q996" i="3"/>
  <c r="Q992" i="3"/>
  <c r="Q988" i="3"/>
  <c r="Q984" i="3"/>
  <c r="Q980" i="3"/>
  <c r="Q976" i="3"/>
  <c r="Q972" i="3"/>
  <c r="Q968" i="3"/>
  <c r="Q964" i="3"/>
  <c r="Q960" i="3"/>
  <c r="Q956" i="3"/>
  <c r="Q952" i="3"/>
  <c r="Q948" i="3"/>
  <c r="Q944" i="3"/>
  <c r="Q940" i="3"/>
  <c r="Q936" i="3"/>
  <c r="Q932" i="3"/>
  <c r="Q928" i="3"/>
  <c r="Q924" i="3"/>
  <c r="Q920" i="3"/>
  <c r="Q916" i="3"/>
  <c r="Q912" i="3"/>
  <c r="Q908" i="3"/>
  <c r="Q904" i="3"/>
  <c r="Q900" i="3"/>
  <c r="Q896" i="3"/>
  <c r="Q892" i="3"/>
  <c r="Q888" i="3"/>
  <c r="Q884" i="3"/>
  <c r="Q880" i="3"/>
  <c r="Q876" i="3"/>
  <c r="Q872" i="3"/>
  <c r="Q868" i="3"/>
  <c r="Q864" i="3"/>
  <c r="Q860" i="3"/>
  <c r="Q856" i="3"/>
  <c r="Q852" i="3"/>
  <c r="Q848" i="3"/>
  <c r="Q844" i="3"/>
  <c r="Q840" i="3"/>
  <c r="Q836" i="3"/>
  <c r="Q832" i="3"/>
  <c r="Q828" i="3"/>
  <c r="Q824" i="3"/>
  <c r="Q820" i="3"/>
  <c r="Q816" i="3"/>
  <c r="Q812" i="3"/>
  <c r="Q808" i="3"/>
  <c r="Q804" i="3"/>
  <c r="Q800" i="3"/>
  <c r="Q796" i="3"/>
  <c r="Q792" i="3"/>
  <c r="Q788" i="3"/>
  <c r="Q784" i="3"/>
  <c r="Q780" i="3"/>
  <c r="Q776" i="3"/>
  <c r="Q772" i="3"/>
  <c r="Q768" i="3"/>
  <c r="Q764" i="3"/>
  <c r="Q760" i="3"/>
  <c r="Q756" i="3"/>
  <c r="Q752" i="3"/>
  <c r="Q748" i="3"/>
  <c r="Q744" i="3"/>
  <c r="Q740" i="3"/>
  <c r="Q736" i="3"/>
  <c r="Q732" i="3"/>
  <c r="Q728" i="3"/>
  <c r="Q724" i="3"/>
  <c r="Q720" i="3"/>
  <c r="Q716" i="3"/>
  <c r="Q712" i="3"/>
  <c r="Q708" i="3"/>
  <c r="Q704" i="3"/>
  <c r="Q700" i="3"/>
  <c r="Q696" i="3"/>
  <c r="Q692" i="3"/>
  <c r="Q688" i="3"/>
  <c r="Q684" i="3"/>
  <c r="Q680" i="3"/>
  <c r="Q676" i="3"/>
  <c r="Q672" i="3"/>
  <c r="Q668" i="3"/>
  <c r="Q664" i="3"/>
  <c r="Q660" i="3"/>
  <c r="Q656" i="3"/>
  <c r="Q652" i="3"/>
  <c r="Q648" i="3"/>
  <c r="Q644" i="3"/>
  <c r="Q640" i="3"/>
  <c r="Q636" i="3"/>
  <c r="Q632" i="3"/>
  <c r="Q628" i="3"/>
  <c r="Q624" i="3"/>
  <c r="Q620" i="3"/>
  <c r="Q616" i="3"/>
  <c r="Q612" i="3"/>
  <c r="Q608" i="3"/>
  <c r="Q604" i="3"/>
  <c r="Q600" i="3"/>
  <c r="Q596" i="3"/>
  <c r="Q592" i="3"/>
  <c r="Q588" i="3"/>
  <c r="Q584" i="3"/>
  <c r="Q580" i="3"/>
  <c r="Q576" i="3"/>
  <c r="Q572" i="3"/>
  <c r="Q568" i="3"/>
  <c r="Q564" i="3"/>
  <c r="Q560" i="3"/>
  <c r="Q556" i="3"/>
  <c r="Q552" i="3"/>
  <c r="Q548" i="3"/>
  <c r="Q544" i="3"/>
  <c r="Q540" i="3"/>
  <c r="Q536" i="3"/>
  <c r="Q532" i="3"/>
  <c r="Q528" i="3"/>
  <c r="Q524" i="3"/>
  <c r="Q520" i="3"/>
  <c r="Q516" i="3"/>
  <c r="Q512" i="3"/>
  <c r="Q508" i="3"/>
  <c r="Q504" i="3"/>
  <c r="Q500" i="3"/>
  <c r="Q496" i="3"/>
  <c r="Q492" i="3"/>
  <c r="Q488" i="3"/>
  <c r="Q484" i="3"/>
  <c r="Q480" i="3"/>
  <c r="Q476" i="3"/>
  <c r="Q472" i="3"/>
  <c r="Q468" i="3"/>
  <c r="Q464" i="3"/>
  <c r="Q460" i="3"/>
  <c r="Q456" i="3"/>
  <c r="Q452" i="3"/>
  <c r="Q448" i="3"/>
  <c r="Q444" i="3"/>
  <c r="Q440" i="3"/>
  <c r="Q436" i="3"/>
  <c r="Q432" i="3"/>
  <c r="Q428" i="3"/>
  <c r="Q424" i="3"/>
  <c r="Q420" i="3"/>
  <c r="Q416" i="3"/>
  <c r="Q412" i="3"/>
  <c r="Q408" i="3"/>
  <c r="Q404" i="3"/>
  <c r="Q400" i="3"/>
  <c r="Q396" i="3"/>
  <c r="Q392" i="3"/>
  <c r="Q388" i="3"/>
  <c r="Q384" i="3"/>
  <c r="Q380" i="3"/>
  <c r="Q376" i="3"/>
  <c r="Q372" i="3"/>
  <c r="Q368" i="3"/>
  <c r="Q364" i="3"/>
  <c r="Q360" i="3"/>
  <c r="Q356" i="3"/>
  <c r="Q352" i="3"/>
  <c r="Q348" i="3"/>
  <c r="Q344" i="3"/>
  <c r="Q340" i="3"/>
  <c r="Q336" i="3"/>
  <c r="Q332" i="3"/>
  <c r="Q328" i="3"/>
  <c r="Q324" i="3"/>
  <c r="Q320" i="3"/>
  <c r="Q316" i="3"/>
  <c r="Q312" i="3"/>
  <c r="Q308" i="3"/>
  <c r="Q304" i="3"/>
  <c r="Q300" i="3"/>
  <c r="Q296" i="3"/>
  <c r="Q292" i="3"/>
  <c r="Q288" i="3"/>
  <c r="Q284" i="3"/>
  <c r="Q280" i="3"/>
  <c r="Q276" i="3"/>
  <c r="Q272" i="3"/>
  <c r="Q268" i="3"/>
  <c r="Q264" i="3"/>
  <c r="Q260" i="3"/>
  <c r="Q256" i="3"/>
  <c r="Q252" i="3"/>
  <c r="Q248" i="3"/>
  <c r="Q244" i="3"/>
  <c r="Q240" i="3"/>
  <c r="Q236" i="3"/>
  <c r="Q232" i="3"/>
  <c r="Q228" i="3"/>
  <c r="Q224" i="3"/>
  <c r="Q220" i="3"/>
  <c r="Q216" i="3"/>
  <c r="Q212" i="3"/>
  <c r="Q208" i="3"/>
  <c r="Q204" i="3"/>
  <c r="Q200" i="3"/>
  <c r="Q196" i="3"/>
  <c r="Q192" i="3"/>
  <c r="Q188" i="3"/>
  <c r="Q184" i="3"/>
  <c r="Q180" i="3"/>
  <c r="Q176" i="3"/>
  <c r="Q172" i="3"/>
  <c r="Q168" i="3"/>
  <c r="Q164" i="3"/>
  <c r="Q160" i="3"/>
  <c r="Q156" i="3"/>
  <c r="Q152" i="3"/>
  <c r="Q148" i="3"/>
  <c r="Q144" i="3"/>
  <c r="Q140" i="3"/>
  <c r="Q136" i="3"/>
  <c r="Q132" i="3"/>
  <c r="Q128" i="3"/>
  <c r="Q124" i="3"/>
  <c r="Q120" i="3"/>
  <c r="Q116" i="3"/>
  <c r="Q112" i="3"/>
  <c r="Q108" i="3"/>
  <c r="Q104" i="3"/>
  <c r="Q100" i="3"/>
  <c r="Q96" i="3"/>
  <c r="Q92" i="3"/>
  <c r="Q88" i="3"/>
  <c r="Q84" i="3"/>
  <c r="Q80" i="3"/>
  <c r="Q76" i="3"/>
  <c r="Q72" i="3"/>
  <c r="Q68" i="3"/>
  <c r="Q64" i="3"/>
  <c r="Q60" i="3"/>
  <c r="Q56" i="3"/>
  <c r="Q52" i="3"/>
  <c r="Q48" i="3"/>
  <c r="Q44" i="3"/>
  <c r="Q40" i="3"/>
  <c r="Q36" i="3"/>
  <c r="Q32" i="3"/>
  <c r="Q28" i="3"/>
  <c r="Q24" i="3"/>
  <c r="Q20" i="3"/>
  <c r="Q16" i="3"/>
  <c r="Q12" i="3"/>
  <c r="Q8" i="3"/>
  <c r="Q1002" i="3"/>
  <c r="Q997" i="3"/>
  <c r="Q991" i="3"/>
  <c r="Q986" i="3"/>
  <c r="Q981" i="3"/>
  <c r="Q975" i="3"/>
  <c r="Q970" i="3"/>
  <c r="Q965" i="3"/>
  <c r="Q959" i="3"/>
  <c r="Q954" i="3"/>
  <c r="Q949" i="3"/>
  <c r="Q943" i="3"/>
  <c r="Q938" i="3"/>
  <c r="Q933" i="3"/>
  <c r="Q927" i="3"/>
  <c r="Q922" i="3"/>
  <c r="Q917" i="3"/>
  <c r="Q911" i="3"/>
  <c r="Q906" i="3"/>
  <c r="Q901" i="3"/>
  <c r="Q895" i="3"/>
  <c r="Q890" i="3"/>
  <c r="Q885" i="3"/>
  <c r="Q879" i="3"/>
  <c r="Q874" i="3"/>
  <c r="Q869" i="3"/>
  <c r="Q863" i="3"/>
  <c r="Q858" i="3"/>
  <c r="Q853" i="3"/>
  <c r="Q847" i="3"/>
  <c r="Q842" i="3"/>
  <c r="Q837" i="3"/>
  <c r="Q831" i="3"/>
  <c r="Q826" i="3"/>
  <c r="Q821" i="3"/>
  <c r="Q815" i="3"/>
  <c r="Q810" i="3"/>
  <c r="Q805" i="3"/>
  <c r="Q799" i="3"/>
  <c r="Q794" i="3"/>
  <c r="Q789" i="3"/>
  <c r="Q783" i="3"/>
  <c r="Q778" i="3"/>
  <c r="Q773" i="3"/>
  <c r="Q767" i="3"/>
  <c r="Q762" i="3"/>
  <c r="Q757" i="3"/>
  <c r="Q751" i="3"/>
  <c r="Q746" i="3"/>
  <c r="Q741" i="3"/>
  <c r="Q735" i="3"/>
  <c r="Q730" i="3"/>
  <c r="Q725" i="3"/>
  <c r="Q719" i="3"/>
  <c r="Q714" i="3"/>
  <c r="Q709" i="3"/>
  <c r="Q703" i="3"/>
  <c r="Q698" i="3"/>
  <c r="Q693" i="3"/>
  <c r="Q687" i="3"/>
  <c r="Q682" i="3"/>
  <c r="Q677" i="3"/>
  <c r="Q671" i="3"/>
  <c r="Q666" i="3"/>
  <c r="Q661" i="3"/>
  <c r="Q655" i="3"/>
  <c r="Q650" i="3"/>
  <c r="Q645" i="3"/>
  <c r="Q639" i="3"/>
  <c r="Q634" i="3"/>
  <c r="Q629" i="3"/>
  <c r="Q623" i="3"/>
  <c r="Q618" i="3"/>
  <c r="Q613" i="3"/>
  <c r="Q607" i="3"/>
  <c r="Q602" i="3"/>
  <c r="Q597" i="3"/>
  <c r="Q591" i="3"/>
  <c r="Q586" i="3"/>
  <c r="Q581" i="3"/>
  <c r="Q575" i="3"/>
  <c r="Q570" i="3"/>
  <c r="Q565" i="3"/>
  <c r="Q559" i="3"/>
  <c r="Q554" i="3"/>
  <c r="Q549" i="3"/>
  <c r="Q543" i="3"/>
  <c r="Q538" i="3"/>
  <c r="Q533" i="3"/>
  <c r="Q527" i="3"/>
  <c r="Q522" i="3"/>
  <c r="Q517" i="3"/>
  <c r="Q511" i="3"/>
  <c r="Q506" i="3"/>
  <c r="Q501" i="3"/>
  <c r="Q495" i="3"/>
  <c r="Q490" i="3"/>
  <c r="Q485" i="3"/>
  <c r="Q479" i="3"/>
  <c r="Q474" i="3"/>
  <c r="Q469" i="3"/>
  <c r="Q463" i="3"/>
  <c r="Q458" i="3"/>
  <c r="Q453" i="3"/>
  <c r="Q447" i="3"/>
  <c r="Q442" i="3"/>
  <c r="Q437" i="3"/>
  <c r="Q431" i="3"/>
  <c r="Q426" i="3"/>
  <c r="Q421" i="3"/>
  <c r="Q415" i="3"/>
  <c r="Q410" i="3"/>
  <c r="Q405" i="3"/>
  <c r="Q399" i="3"/>
  <c r="Q394" i="3"/>
  <c r="Q389" i="3"/>
  <c r="Q383" i="3"/>
  <c r="Q378" i="3"/>
  <c r="Q373" i="3"/>
  <c r="Q367" i="3"/>
  <c r="Q362" i="3"/>
  <c r="Q357" i="3"/>
  <c r="Q351" i="3"/>
  <c r="Q346" i="3"/>
  <c r="Q341" i="3"/>
  <c r="Q335" i="3"/>
  <c r="Q330" i="3"/>
  <c r="Q325" i="3"/>
  <c r="Q319" i="3"/>
  <c r="Q314" i="3"/>
  <c r="Q309" i="3"/>
  <c r="Q303" i="3"/>
  <c r="Q298" i="3"/>
  <c r="Q293" i="3"/>
  <c r="Q287" i="3"/>
  <c r="Q282" i="3"/>
  <c r="Q277" i="3"/>
  <c r="Q271" i="3"/>
  <c r="Q266" i="3"/>
  <c r="Q261" i="3"/>
  <c r="Q255" i="3"/>
  <c r="Q250" i="3"/>
  <c r="Q245" i="3"/>
  <c r="Q239" i="3"/>
  <c r="Q234" i="3"/>
  <c r="Q229" i="3"/>
  <c r="Q223" i="3"/>
  <c r="Q218" i="3"/>
  <c r="Q213" i="3"/>
  <c r="Q207" i="3"/>
  <c r="Q202" i="3"/>
  <c r="Q197" i="3"/>
  <c r="Q191" i="3"/>
  <c r="Q186" i="3"/>
  <c r="Q181" i="3"/>
  <c r="Q175" i="3"/>
  <c r="Q170" i="3"/>
  <c r="Q165" i="3"/>
  <c r="Q159" i="3"/>
  <c r="Q154" i="3"/>
  <c r="Q149" i="3"/>
  <c r="Q143" i="3"/>
  <c r="Q138" i="3"/>
  <c r="Q133" i="3"/>
  <c r="Q127" i="3"/>
  <c r="Q122" i="3"/>
  <c r="Q117" i="3"/>
  <c r="Q111" i="3"/>
  <c r="Q106" i="3"/>
  <c r="Q101" i="3"/>
  <c r="Q95" i="3"/>
  <c r="Q90" i="3"/>
  <c r="Q85" i="3"/>
  <c r="Q79" i="3"/>
  <c r="Q74" i="3"/>
  <c r="Q69" i="3"/>
  <c r="Q63" i="3"/>
  <c r="Q58" i="3"/>
  <c r="Q53" i="3"/>
  <c r="Q47" i="3"/>
  <c r="Q42" i="3"/>
  <c r="Q37" i="3"/>
  <c r="Q31" i="3"/>
  <c r="Q26" i="3"/>
  <c r="Q21" i="3"/>
  <c r="Q15" i="3"/>
  <c r="Q10" i="3"/>
  <c r="Q6" i="3"/>
  <c r="Q999" i="3"/>
  <c r="Q994" i="3"/>
  <c r="Q989" i="3"/>
  <c r="Q983" i="3"/>
  <c r="Q978" i="3"/>
  <c r="Q973" i="3"/>
  <c r="Q967" i="3"/>
  <c r="Q962" i="3"/>
  <c r="Q957" i="3"/>
  <c r="Q951" i="3"/>
  <c r="Q946" i="3"/>
  <c r="Q941" i="3"/>
  <c r="Q935" i="3"/>
  <c r="Q930" i="3"/>
  <c r="Q925" i="3"/>
  <c r="Q919" i="3"/>
  <c r="Q914" i="3"/>
  <c r="Q909" i="3"/>
  <c r="Q903" i="3"/>
  <c r="Q898" i="3"/>
  <c r="Q893" i="3"/>
  <c r="Q887" i="3"/>
  <c r="Q882" i="3"/>
  <c r="Q877" i="3"/>
  <c r="Q871" i="3"/>
  <c r="Q866" i="3"/>
  <c r="Q861" i="3"/>
  <c r="Q855" i="3"/>
  <c r="Q850" i="3"/>
  <c r="Q845" i="3"/>
  <c r="Q839" i="3"/>
  <c r="Q834" i="3"/>
  <c r="Q829" i="3"/>
  <c r="Q823" i="3"/>
  <c r="Q818" i="3"/>
  <c r="Q813" i="3"/>
  <c r="Q807" i="3"/>
  <c r="Q802" i="3"/>
  <c r="Q797" i="3"/>
  <c r="Q791" i="3"/>
  <c r="Q786" i="3"/>
  <c r="Q781" i="3"/>
  <c r="Q775" i="3"/>
  <c r="Q770" i="3"/>
  <c r="Q765" i="3"/>
  <c r="Q759" i="3"/>
  <c r="Q754" i="3"/>
  <c r="Q749" i="3"/>
  <c r="Q743" i="3"/>
  <c r="Q738" i="3"/>
  <c r="Q733" i="3"/>
  <c r="Q727" i="3"/>
  <c r="Q722" i="3"/>
  <c r="Q717" i="3"/>
  <c r="Q711" i="3"/>
  <c r="Q706" i="3"/>
  <c r="Q701" i="3"/>
  <c r="Q695" i="3"/>
  <c r="Q690" i="3"/>
  <c r="Q685" i="3"/>
  <c r="Q679" i="3"/>
  <c r="Q674" i="3"/>
  <c r="Q669" i="3"/>
  <c r="Q663" i="3"/>
  <c r="Q658" i="3"/>
  <c r="Q653" i="3"/>
  <c r="Q647" i="3"/>
  <c r="Q642" i="3"/>
  <c r="Q637" i="3"/>
  <c r="Q631" i="3"/>
  <c r="Q626" i="3"/>
  <c r="Q621" i="3"/>
  <c r="Q615" i="3"/>
  <c r="Q610" i="3"/>
  <c r="Q605" i="3"/>
  <c r="Q599" i="3"/>
  <c r="Q594" i="3"/>
  <c r="Q589" i="3"/>
  <c r="Q583" i="3"/>
  <c r="Q578" i="3"/>
  <c r="Q573" i="3"/>
  <c r="Q567" i="3"/>
  <c r="Q562" i="3"/>
  <c r="Q557" i="3"/>
  <c r="Q551" i="3"/>
  <c r="Q546" i="3"/>
  <c r="Q541" i="3"/>
  <c r="Q535" i="3"/>
  <c r="Q530" i="3"/>
  <c r="Q525" i="3"/>
  <c r="Q519" i="3"/>
  <c r="Q514" i="3"/>
  <c r="Q509" i="3"/>
  <c r="Q503" i="3"/>
  <c r="Q498" i="3"/>
  <c r="Q493" i="3"/>
  <c r="Q487" i="3"/>
  <c r="Q482" i="3"/>
  <c r="Q477" i="3"/>
  <c r="Q471" i="3"/>
  <c r="Q466" i="3"/>
  <c r="Q461" i="3"/>
  <c r="Q455" i="3"/>
  <c r="Q450" i="3"/>
  <c r="Q445" i="3"/>
  <c r="Q439" i="3"/>
  <c r="Q434" i="3"/>
  <c r="Q429" i="3"/>
  <c r="Q423" i="3"/>
  <c r="Q418" i="3"/>
  <c r="Q413" i="3"/>
  <c r="Q407" i="3"/>
  <c r="Q402" i="3"/>
  <c r="Q397" i="3"/>
  <c r="Q391" i="3"/>
  <c r="Q386" i="3"/>
  <c r="Q381" i="3"/>
  <c r="Q375" i="3"/>
  <c r="Q370" i="3"/>
  <c r="Q365" i="3"/>
  <c r="Q359" i="3"/>
  <c r="Q354" i="3"/>
  <c r="Q349" i="3"/>
  <c r="Q343" i="3"/>
  <c r="Q338" i="3"/>
  <c r="Q333" i="3"/>
  <c r="Q327" i="3"/>
  <c r="Q322" i="3"/>
  <c r="Q317" i="3"/>
  <c r="Q311" i="3"/>
  <c r="Q306" i="3"/>
  <c r="Q301" i="3"/>
  <c r="Q295" i="3"/>
  <c r="Q290" i="3"/>
  <c r="Q285" i="3"/>
  <c r="Q279" i="3"/>
  <c r="Q274" i="3"/>
  <c r="Q269" i="3"/>
  <c r="Q263" i="3"/>
  <c r="Q258" i="3"/>
  <c r="Q253" i="3"/>
  <c r="Q247" i="3"/>
  <c r="Q242" i="3"/>
  <c r="Q237" i="3"/>
  <c r="Q231" i="3"/>
  <c r="Q226" i="3"/>
  <c r="Q221" i="3"/>
  <c r="Q215" i="3"/>
  <c r="Q210" i="3"/>
  <c r="Q205" i="3"/>
  <c r="Q199" i="3"/>
  <c r="Q194" i="3"/>
  <c r="Q189" i="3"/>
  <c r="Q183" i="3"/>
  <c r="Q178" i="3"/>
  <c r="Q173" i="3"/>
  <c r="Q167" i="3"/>
  <c r="Q162" i="3"/>
  <c r="Q157" i="3"/>
  <c r="Q151" i="3"/>
  <c r="Q146" i="3"/>
  <c r="Q141" i="3"/>
  <c r="Q135" i="3"/>
  <c r="Q130" i="3"/>
  <c r="Q125" i="3"/>
  <c r="Q119" i="3"/>
  <c r="Q114" i="3"/>
  <c r="Q109" i="3"/>
  <c r="Q103" i="3"/>
  <c r="Q98" i="3"/>
  <c r="Q93" i="3"/>
  <c r="Q87" i="3"/>
  <c r="Q82" i="3"/>
  <c r="Q77" i="3"/>
  <c r="Q71" i="3"/>
  <c r="Q66" i="3"/>
  <c r="Q61" i="3"/>
  <c r="Q55" i="3"/>
  <c r="Q50" i="3"/>
  <c r="Q45" i="3"/>
  <c r="Q39" i="3"/>
  <c r="Q34" i="3"/>
  <c r="Q29" i="3"/>
  <c r="Q23" i="3"/>
  <c r="Q18" i="3"/>
  <c r="Q13" i="3"/>
  <c r="Q7" i="3"/>
  <c r="Q1003" i="3"/>
  <c r="Q998" i="3"/>
  <c r="Q993" i="3"/>
  <c r="Q987" i="3"/>
  <c r="Q982" i="3"/>
  <c r="Q977" i="3"/>
  <c r="Q971" i="3"/>
  <c r="Q966" i="3"/>
  <c r="Q961" i="3"/>
  <c r="Q955" i="3"/>
  <c r="Q950" i="3"/>
  <c r="Q945" i="3"/>
  <c r="Q939" i="3"/>
  <c r="Q934" i="3"/>
  <c r="Q929" i="3"/>
  <c r="Q923" i="3"/>
  <c r="Q918" i="3"/>
  <c r="Q913" i="3"/>
  <c r="Q907" i="3"/>
  <c r="Q902" i="3"/>
  <c r="Q897" i="3"/>
  <c r="Q891" i="3"/>
  <c r="Q886" i="3"/>
  <c r="Q881" i="3"/>
  <c r="Q875" i="3"/>
  <c r="Q870" i="3"/>
  <c r="Q865" i="3"/>
  <c r="Q859" i="3"/>
  <c r="Q854" i="3"/>
  <c r="Q849" i="3"/>
  <c r="Q843" i="3"/>
  <c r="Q838" i="3"/>
  <c r="Q833" i="3"/>
  <c r="Q827" i="3"/>
  <c r="Q822" i="3"/>
  <c r="Q817" i="3"/>
  <c r="Q811" i="3"/>
  <c r="Q806" i="3"/>
  <c r="Q801" i="3"/>
  <c r="Q795" i="3"/>
  <c r="Q790" i="3"/>
  <c r="Q785" i="3"/>
  <c r="Q779" i="3"/>
  <c r="Q774" i="3"/>
  <c r="Q769" i="3"/>
  <c r="Q763" i="3"/>
  <c r="Q758" i="3"/>
  <c r="Q753" i="3"/>
  <c r="Q747" i="3"/>
  <c r="Q742" i="3"/>
  <c r="Q737" i="3"/>
  <c r="Q731" i="3"/>
  <c r="Q726" i="3"/>
  <c r="Q721" i="3"/>
  <c r="Q715" i="3"/>
  <c r="Q710" i="3"/>
  <c r="Q705" i="3"/>
  <c r="Q699" i="3"/>
  <c r="Q694" i="3"/>
  <c r="Q689" i="3"/>
  <c r="Q683" i="3"/>
  <c r="Q678" i="3"/>
  <c r="Q673" i="3"/>
  <c r="Q667" i="3"/>
  <c r="Q662" i="3"/>
  <c r="Q657" i="3"/>
  <c r="Q651" i="3"/>
  <c r="Q646" i="3"/>
  <c r="Q641" i="3"/>
  <c r="Q635" i="3"/>
  <c r="Q630" i="3"/>
  <c r="Q625" i="3"/>
  <c r="Q619" i="3"/>
  <c r="Q614" i="3"/>
  <c r="Q609" i="3"/>
  <c r="Q603" i="3"/>
  <c r="Q598" i="3"/>
  <c r="Q593" i="3"/>
  <c r="Q587" i="3"/>
  <c r="Q582" i="3"/>
  <c r="Q577" i="3"/>
  <c r="Q571" i="3"/>
  <c r="Q566" i="3"/>
  <c r="Q561" i="3"/>
  <c r="Q555" i="3"/>
  <c r="Q550" i="3"/>
  <c r="Q545" i="3"/>
  <c r="Q539" i="3"/>
  <c r="Q534" i="3"/>
  <c r="Q529" i="3"/>
  <c r="Q523" i="3"/>
  <c r="Q518" i="3"/>
  <c r="Q513" i="3"/>
  <c r="Q507" i="3"/>
  <c r="Q502" i="3"/>
  <c r="Q497" i="3"/>
  <c r="Q491" i="3"/>
  <c r="Q486" i="3"/>
  <c r="Q481" i="3"/>
  <c r="Q475" i="3"/>
  <c r="Q470" i="3"/>
  <c r="Q465" i="3"/>
  <c r="Q459" i="3"/>
  <c r="Q454" i="3"/>
  <c r="Q449" i="3"/>
  <c r="Q443" i="3"/>
  <c r="Q438" i="3"/>
  <c r="Q433" i="3"/>
  <c r="Q427" i="3"/>
  <c r="Q422" i="3"/>
  <c r="Q417" i="3"/>
  <c r="Q411" i="3"/>
  <c r="Q406" i="3"/>
  <c r="Q401" i="3"/>
  <c r="Q395" i="3"/>
  <c r="Q390" i="3"/>
  <c r="Q385" i="3"/>
  <c r="Q379" i="3"/>
  <c r="Q374" i="3"/>
  <c r="Q369" i="3"/>
  <c r="Q363" i="3"/>
  <c r="Q358" i="3"/>
  <c r="Q353" i="3"/>
  <c r="Q347" i="3"/>
  <c r="Q342" i="3"/>
  <c r="Q337" i="3"/>
  <c r="Q331" i="3"/>
  <c r="Q326" i="3"/>
  <c r="Q321" i="3"/>
  <c r="Q315" i="3"/>
  <c r="Q310" i="3"/>
  <c r="Q305" i="3"/>
  <c r="Q299" i="3"/>
  <c r="Q294" i="3"/>
  <c r="Q289" i="3"/>
  <c r="Q283" i="3"/>
  <c r="Q278" i="3"/>
  <c r="Q273" i="3"/>
  <c r="Q267" i="3"/>
  <c r="Q262" i="3"/>
  <c r="Q257" i="3"/>
  <c r="Q251" i="3"/>
  <c r="Q246" i="3"/>
  <c r="Q241" i="3"/>
  <c r="Q235" i="3"/>
  <c r="Q230" i="3"/>
  <c r="Q225" i="3"/>
  <c r="Q219" i="3"/>
  <c r="Q214" i="3"/>
  <c r="Q209" i="3"/>
  <c r="Q203" i="3"/>
  <c r="Q198" i="3"/>
  <c r="Q193" i="3"/>
  <c r="Q187" i="3"/>
  <c r="Q182" i="3"/>
  <c r="Q177" i="3"/>
  <c r="Q171" i="3"/>
  <c r="Q166" i="3"/>
  <c r="Q161" i="3"/>
  <c r="Q155" i="3"/>
  <c r="Q150" i="3"/>
  <c r="Q145" i="3"/>
  <c r="Q139" i="3"/>
  <c r="Q134" i="3"/>
  <c r="Q129" i="3"/>
  <c r="Q123" i="3"/>
  <c r="Q118" i="3"/>
  <c r="Q113" i="3"/>
  <c r="Q107" i="3"/>
  <c r="Q102" i="3"/>
  <c r="Q97" i="3"/>
  <c r="Q91" i="3"/>
  <c r="Q86" i="3"/>
  <c r="Q81" i="3"/>
  <c r="Q75" i="3"/>
  <c r="Q70" i="3"/>
  <c r="Q65" i="3"/>
  <c r="Q59" i="3"/>
  <c r="Q54" i="3"/>
  <c r="Q49" i="3"/>
  <c r="Q43" i="3"/>
  <c r="Q38" i="3"/>
  <c r="Q33" i="3"/>
  <c r="Q27" i="3"/>
  <c r="Q22" i="3"/>
  <c r="Q17" i="3"/>
  <c r="Q11" i="3"/>
  <c r="Q995" i="3"/>
  <c r="Q974" i="3"/>
  <c r="Q953" i="3"/>
  <c r="Q931" i="3"/>
  <c r="Q910" i="3"/>
  <c r="Q889" i="3"/>
  <c r="Q867" i="3"/>
  <c r="Q846" i="3"/>
  <c r="Q825" i="3"/>
  <c r="Q803" i="3"/>
  <c r="Q782" i="3"/>
  <c r="Q761" i="3"/>
  <c r="Q739" i="3"/>
  <c r="Q718" i="3"/>
  <c r="Q697" i="3"/>
  <c r="Q675" i="3"/>
  <c r="Q654" i="3"/>
  <c r="Q633" i="3"/>
  <c r="Q611" i="3"/>
  <c r="Q590" i="3"/>
  <c r="Q569" i="3"/>
  <c r="Q547" i="3"/>
  <c r="Q526" i="3"/>
  <c r="Q505" i="3"/>
  <c r="Q483" i="3"/>
  <c r="Q462" i="3"/>
  <c r="Q441" i="3"/>
  <c r="Q419" i="3"/>
  <c r="Q398" i="3"/>
  <c r="Q377" i="3"/>
  <c r="Q355" i="3"/>
  <c r="Q334" i="3"/>
  <c r="Q313" i="3"/>
  <c r="Q291" i="3"/>
  <c r="Q270" i="3"/>
  <c r="Q249" i="3"/>
  <c r="Q227" i="3"/>
  <c r="Q206" i="3"/>
  <c r="Q185" i="3"/>
  <c r="Q163" i="3"/>
  <c r="Q142" i="3"/>
  <c r="Q121" i="3"/>
  <c r="Q99" i="3"/>
  <c r="Q78" i="3"/>
  <c r="Q57" i="3"/>
  <c r="Q35" i="3"/>
  <c r="Q14" i="3"/>
  <c r="Q990" i="3"/>
  <c r="Q969" i="3"/>
  <c r="Q947" i="3"/>
  <c r="Q926" i="3"/>
  <c r="Q905" i="3"/>
  <c r="Q883" i="3"/>
  <c r="Q862" i="3"/>
  <c r="Q841" i="3"/>
  <c r="Q819" i="3"/>
  <c r="Q798" i="3"/>
  <c r="Q777" i="3"/>
  <c r="Q755" i="3"/>
  <c r="Q734" i="3"/>
  <c r="Q713" i="3"/>
  <c r="Q691" i="3"/>
  <c r="Q670" i="3"/>
  <c r="Q649" i="3"/>
  <c r="Q627" i="3"/>
  <c r="Q606" i="3"/>
  <c r="Q585" i="3"/>
  <c r="Q563" i="3"/>
  <c r="Q542" i="3"/>
  <c r="Q521" i="3"/>
  <c r="Q499" i="3"/>
  <c r="Q478" i="3"/>
  <c r="Q457" i="3"/>
  <c r="Q435" i="3"/>
  <c r="Q414" i="3"/>
  <c r="Q393" i="3"/>
  <c r="Q371" i="3"/>
  <c r="Q350" i="3"/>
  <c r="Q329" i="3"/>
  <c r="Q307" i="3"/>
  <c r="Q286" i="3"/>
  <c r="Q265" i="3"/>
  <c r="Q243" i="3"/>
  <c r="Q222" i="3"/>
  <c r="Q201" i="3"/>
  <c r="Q179" i="3"/>
  <c r="Q158" i="3"/>
  <c r="Q137" i="3"/>
  <c r="Q115" i="3"/>
  <c r="Q94" i="3"/>
  <c r="Q73" i="3"/>
  <c r="Q51" i="3"/>
  <c r="Q30" i="3"/>
  <c r="Q9" i="3"/>
  <c r="Q985" i="3"/>
  <c r="Q963" i="3"/>
  <c r="Q942" i="3"/>
  <c r="Q921" i="3"/>
  <c r="Q899" i="3"/>
  <c r="Q878" i="3"/>
  <c r="Q857" i="3"/>
  <c r="Q835" i="3"/>
  <c r="Q814" i="3"/>
  <c r="Q793" i="3"/>
  <c r="Q771" i="3"/>
  <c r="Q750" i="3"/>
  <c r="Q729" i="3"/>
  <c r="Q707" i="3"/>
  <c r="Q686" i="3"/>
  <c r="Q665" i="3"/>
  <c r="Q643" i="3"/>
  <c r="Q622" i="3"/>
  <c r="Q601" i="3"/>
  <c r="Q579" i="3"/>
  <c r="Q558" i="3"/>
  <c r="Q537" i="3"/>
  <c r="Q515" i="3"/>
  <c r="Q494" i="3"/>
  <c r="Q473" i="3"/>
  <c r="Q451" i="3"/>
  <c r="Q430" i="3"/>
  <c r="Q409" i="3"/>
  <c r="Q387" i="3"/>
  <c r="Q366" i="3"/>
  <c r="Q345" i="3"/>
  <c r="Q323" i="3"/>
  <c r="Q302" i="3"/>
  <c r="Q281" i="3"/>
  <c r="Q259" i="3"/>
  <c r="Q238" i="3"/>
  <c r="Q217" i="3"/>
  <c r="Q195" i="3"/>
  <c r="Q174" i="3"/>
  <c r="Q153" i="3"/>
  <c r="Q131" i="3"/>
  <c r="Q110" i="3"/>
  <c r="Q89" i="3"/>
  <c r="Q67" i="3"/>
  <c r="Q46" i="3"/>
  <c r="Q25" i="3"/>
  <c r="Q1001" i="3"/>
  <c r="Q958" i="3"/>
  <c r="Q915" i="3"/>
  <c r="Q873" i="3"/>
  <c r="Q830" i="3"/>
  <c r="Q787" i="3"/>
  <c r="Q745" i="3"/>
  <c r="Q702" i="3"/>
  <c r="Q659" i="3"/>
  <c r="Q617" i="3"/>
  <c r="Q574" i="3"/>
  <c r="Q531" i="3"/>
  <c r="Q489" i="3"/>
  <c r="Q446" i="3"/>
  <c r="Q403" i="3"/>
  <c r="Q361" i="3"/>
  <c r="Q318" i="3"/>
  <c r="Q275" i="3"/>
  <c r="Q233" i="3"/>
  <c r="Q190" i="3"/>
  <c r="Q147" i="3"/>
  <c r="Q105" i="3"/>
  <c r="Q62" i="3"/>
  <c r="Q19" i="3"/>
  <c r="Q979" i="3"/>
  <c r="Q937" i="3"/>
  <c r="Q894" i="3"/>
  <c r="Q851" i="3"/>
  <c r="Q809" i="3"/>
  <c r="Q766" i="3"/>
  <c r="Q723" i="3"/>
  <c r="Q681" i="3"/>
  <c r="Q638" i="3"/>
  <c r="Q595" i="3"/>
  <c r="Q553" i="3"/>
  <c r="Q510" i="3"/>
  <c r="Q467" i="3"/>
  <c r="Q425" i="3"/>
  <c r="Q382" i="3"/>
  <c r="Q339" i="3"/>
  <c r="Q297" i="3"/>
  <c r="Q254" i="3"/>
  <c r="Q211" i="3"/>
  <c r="Q169" i="3"/>
  <c r="Q126" i="3"/>
  <c r="Q83" i="3"/>
  <c r="Q41" i="3"/>
  <c r="Y1004" i="3"/>
  <c r="Y1000" i="3"/>
  <c r="Y996" i="3"/>
  <c r="Y992" i="3"/>
  <c r="Y988" i="3"/>
  <c r="Y984" i="3"/>
  <c r="Y980" i="3"/>
  <c r="Y976" i="3"/>
  <c r="Y972" i="3"/>
  <c r="Y968" i="3"/>
  <c r="Y964" i="3"/>
  <c r="Y960" i="3"/>
  <c r="Y956" i="3"/>
  <c r="Y952" i="3"/>
  <c r="Y948" i="3"/>
  <c r="Y944" i="3"/>
  <c r="Y940" i="3"/>
  <c r="Y936" i="3"/>
  <c r="Y932" i="3"/>
  <c r="Y928" i="3"/>
  <c r="Y924" i="3"/>
  <c r="Y920" i="3"/>
  <c r="Y916" i="3"/>
  <c r="Y912" i="3"/>
  <c r="Y908" i="3"/>
  <c r="Y904" i="3"/>
  <c r="Y900" i="3"/>
  <c r="Y896" i="3"/>
  <c r="Y892" i="3"/>
  <c r="Y888" i="3"/>
  <c r="Y884" i="3"/>
  <c r="Y880" i="3"/>
  <c r="Y876" i="3"/>
  <c r="Y872" i="3"/>
  <c r="Y868" i="3"/>
  <c r="Y864" i="3"/>
  <c r="Y860" i="3"/>
  <c r="Y856" i="3"/>
  <c r="Y852" i="3"/>
  <c r="Y848" i="3"/>
  <c r="Y844" i="3"/>
  <c r="Y840" i="3"/>
  <c r="Y836" i="3"/>
  <c r="Y832" i="3"/>
  <c r="Y828" i="3"/>
  <c r="Y824" i="3"/>
  <c r="Y820" i="3"/>
  <c r="Y816" i="3"/>
  <c r="Y812" i="3"/>
  <c r="Y808" i="3"/>
  <c r="Y804" i="3"/>
  <c r="Y800" i="3"/>
  <c r="Y796" i="3"/>
  <c r="Y792" i="3"/>
  <c r="Y788" i="3"/>
  <c r="Y784" i="3"/>
  <c r="Y780" i="3"/>
  <c r="Y776" i="3"/>
  <c r="Y772" i="3"/>
  <c r="Y768" i="3"/>
  <c r="Y764" i="3"/>
  <c r="Y760" i="3"/>
  <c r="Y756" i="3"/>
  <c r="Y752" i="3"/>
  <c r="Y748" i="3"/>
  <c r="Y744" i="3"/>
  <c r="Y740" i="3"/>
  <c r="Y736" i="3"/>
  <c r="Y732" i="3"/>
  <c r="Y728" i="3"/>
  <c r="Y724" i="3"/>
  <c r="Y720" i="3"/>
  <c r="Y716" i="3"/>
  <c r="Y712" i="3"/>
  <c r="Y708" i="3"/>
  <c r="Y704" i="3"/>
  <c r="Y700" i="3"/>
  <c r="Y696" i="3"/>
  <c r="Y692" i="3"/>
  <c r="Y688" i="3"/>
  <c r="Y684" i="3"/>
  <c r="Y680" i="3"/>
  <c r="Y676" i="3"/>
  <c r="Y672" i="3"/>
  <c r="Y668" i="3"/>
  <c r="Y664" i="3"/>
  <c r="Y660" i="3"/>
  <c r="Y656" i="3"/>
  <c r="Y652" i="3"/>
  <c r="Y648" i="3"/>
  <c r="Y644" i="3"/>
  <c r="Y640" i="3"/>
  <c r="Y636" i="3"/>
  <c r="Y632" i="3"/>
  <c r="Y628" i="3"/>
  <c r="Y624" i="3"/>
  <c r="Y620" i="3"/>
  <c r="Y616" i="3"/>
  <c r="Y612" i="3"/>
  <c r="Y608" i="3"/>
  <c r="Y604" i="3"/>
  <c r="Y600" i="3"/>
  <c r="Y596" i="3"/>
  <c r="Y592" i="3"/>
  <c r="Y588" i="3"/>
  <c r="Y584" i="3"/>
  <c r="Y580" i="3"/>
  <c r="Y576" i="3"/>
  <c r="Y572" i="3"/>
  <c r="Y568" i="3"/>
  <c r="Y564" i="3"/>
  <c r="Y560" i="3"/>
  <c r="Y556" i="3"/>
  <c r="Y552" i="3"/>
  <c r="Y548" i="3"/>
  <c r="Y544" i="3"/>
  <c r="Y540" i="3"/>
  <c r="Y536" i="3"/>
  <c r="Y532" i="3"/>
  <c r="Y528" i="3"/>
  <c r="Y524" i="3"/>
  <c r="Y520" i="3"/>
  <c r="Y516" i="3"/>
  <c r="Y512" i="3"/>
  <c r="Y508" i="3"/>
  <c r="Y504" i="3"/>
  <c r="Y500" i="3"/>
  <c r="Y496" i="3"/>
  <c r="Y492" i="3"/>
  <c r="Y488" i="3"/>
  <c r="Y484" i="3"/>
  <c r="Y480" i="3"/>
  <c r="Y476" i="3"/>
  <c r="Y472" i="3"/>
  <c r="Y468" i="3"/>
  <c r="Y464" i="3"/>
  <c r="Y460" i="3"/>
  <c r="Y456" i="3"/>
  <c r="Y452" i="3"/>
  <c r="Y448" i="3"/>
  <c r="Y444" i="3"/>
  <c r="Y440" i="3"/>
  <c r="Y436" i="3"/>
  <c r="Y432" i="3"/>
  <c r="Y428" i="3"/>
  <c r="Y424" i="3"/>
  <c r="Y420" i="3"/>
  <c r="Y416" i="3"/>
  <c r="Y412" i="3"/>
  <c r="Y408" i="3"/>
  <c r="Y404" i="3"/>
  <c r="Y400" i="3"/>
  <c r="Y396" i="3"/>
  <c r="Y392" i="3"/>
  <c r="Y388" i="3"/>
  <c r="Y384" i="3"/>
  <c r="Y380" i="3"/>
  <c r="Y376" i="3"/>
  <c r="Y372" i="3"/>
  <c r="Y368" i="3"/>
  <c r="Y364" i="3"/>
  <c r="Y360" i="3"/>
  <c r="Y356" i="3"/>
  <c r="Y352" i="3"/>
  <c r="Y348" i="3"/>
  <c r="Y344" i="3"/>
  <c r="Y340" i="3"/>
  <c r="Y336" i="3"/>
  <c r="Y332" i="3"/>
  <c r="Y328" i="3"/>
  <c r="Y324" i="3"/>
  <c r="Y320" i="3"/>
  <c r="Y316" i="3"/>
  <c r="Y312" i="3"/>
  <c r="Y308" i="3"/>
  <c r="Y304" i="3"/>
  <c r="Y300" i="3"/>
  <c r="Y296" i="3"/>
  <c r="Y292" i="3"/>
  <c r="Y288" i="3"/>
  <c r="Y284" i="3"/>
  <c r="Y280" i="3"/>
  <c r="Y276" i="3"/>
  <c r="Y272" i="3"/>
  <c r="Y268" i="3"/>
  <c r="Y264" i="3"/>
  <c r="Y260" i="3"/>
  <c r="Y256" i="3"/>
  <c r="Y252" i="3"/>
  <c r="Y248" i="3"/>
  <c r="Y244" i="3"/>
  <c r="Y240" i="3"/>
  <c r="Y236" i="3"/>
  <c r="Y232" i="3"/>
  <c r="Y228" i="3"/>
  <c r="Y224" i="3"/>
  <c r="Y220" i="3"/>
  <c r="Y216" i="3"/>
  <c r="Y212" i="3"/>
  <c r="Y208" i="3"/>
  <c r="Y204" i="3"/>
  <c r="Y200" i="3"/>
  <c r="Y196" i="3"/>
  <c r="Y192" i="3"/>
  <c r="Y188" i="3"/>
  <c r="Y184" i="3"/>
  <c r="Y180" i="3"/>
  <c r="Y176" i="3"/>
  <c r="Y172" i="3"/>
  <c r="Y168" i="3"/>
  <c r="Y164" i="3"/>
  <c r="Y160" i="3"/>
  <c r="Y156" i="3"/>
  <c r="Y152" i="3"/>
  <c r="Y148" i="3"/>
  <c r="Y144" i="3"/>
  <c r="Y140" i="3"/>
  <c r="Y136" i="3"/>
  <c r="Y132" i="3"/>
  <c r="Y128" i="3"/>
  <c r="Y124" i="3"/>
  <c r="Y120" i="3"/>
  <c r="Y116" i="3"/>
  <c r="Y112" i="3"/>
  <c r="Y108" i="3"/>
  <c r="Y104" i="3"/>
  <c r="Y100" i="3"/>
  <c r="Y96" i="3"/>
  <c r="Y92" i="3"/>
  <c r="Y88" i="3"/>
  <c r="Y84" i="3"/>
  <c r="Y80" i="3"/>
  <c r="Y76" i="3"/>
  <c r="Y72" i="3"/>
  <c r="Y68" i="3"/>
  <c r="Y64" i="3"/>
  <c r="Y60" i="3"/>
  <c r="Y56" i="3"/>
  <c r="Y52" i="3"/>
  <c r="Y48" i="3"/>
  <c r="Y44" i="3"/>
  <c r="Y40" i="3"/>
  <c r="Y36" i="3"/>
  <c r="Y32" i="3"/>
  <c r="Y28" i="3"/>
  <c r="Y24" i="3"/>
  <c r="Y20" i="3"/>
  <c r="Y16" i="3"/>
  <c r="Y12" i="3"/>
  <c r="Y8" i="3"/>
  <c r="Y1002" i="3"/>
  <c r="Y997" i="3"/>
  <c r="Y991" i="3"/>
  <c r="Y986" i="3"/>
  <c r="Y981" i="3"/>
  <c r="Y975" i="3"/>
  <c r="Y970" i="3"/>
  <c r="Y965" i="3"/>
  <c r="Y959" i="3"/>
  <c r="Y954" i="3"/>
  <c r="Y949" i="3"/>
  <c r="Y943" i="3"/>
  <c r="Y938" i="3"/>
  <c r="Y933" i="3"/>
  <c r="Y927" i="3"/>
  <c r="Y922" i="3"/>
  <c r="Y917" i="3"/>
  <c r="Y911" i="3"/>
  <c r="Y906" i="3"/>
  <c r="Y901" i="3"/>
  <c r="Y895" i="3"/>
  <c r="Y890" i="3"/>
  <c r="Y885" i="3"/>
  <c r="Y879" i="3"/>
  <c r="Y874" i="3"/>
  <c r="Y869" i="3"/>
  <c r="Y863" i="3"/>
  <c r="Y858" i="3"/>
  <c r="Y853" i="3"/>
  <c r="Y847" i="3"/>
  <c r="Y842" i="3"/>
  <c r="Y837" i="3"/>
  <c r="Y831" i="3"/>
  <c r="Y826" i="3"/>
  <c r="Y821" i="3"/>
  <c r="Y815" i="3"/>
  <c r="Y810" i="3"/>
  <c r="Y805" i="3"/>
  <c r="Y799" i="3"/>
  <c r="Y794" i="3"/>
  <c r="Y789" i="3"/>
  <c r="Y783" i="3"/>
  <c r="Y778" i="3"/>
  <c r="Y773" i="3"/>
  <c r="Y767" i="3"/>
  <c r="Y762" i="3"/>
  <c r="Y757" i="3"/>
  <c r="Y751" i="3"/>
  <c r="Y746" i="3"/>
  <c r="Y741" i="3"/>
  <c r="Y735" i="3"/>
  <c r="Y730" i="3"/>
  <c r="Y725" i="3"/>
  <c r="Y719" i="3"/>
  <c r="Y714" i="3"/>
  <c r="Y709" i="3"/>
  <c r="Y703" i="3"/>
  <c r="Y698" i="3"/>
  <c r="Y693" i="3"/>
  <c r="Y687" i="3"/>
  <c r="Y682" i="3"/>
  <c r="Y677" i="3"/>
  <c r="Y671" i="3"/>
  <c r="Y666" i="3"/>
  <c r="Y661" i="3"/>
  <c r="Y655" i="3"/>
  <c r="Y650" i="3"/>
  <c r="Y645" i="3"/>
  <c r="Y639" i="3"/>
  <c r="Y634" i="3"/>
  <c r="Y629" i="3"/>
  <c r="Y623" i="3"/>
  <c r="Y618" i="3"/>
  <c r="Y613" i="3"/>
  <c r="Y607" i="3"/>
  <c r="Y602" i="3"/>
  <c r="Y597" i="3"/>
  <c r="Y591" i="3"/>
  <c r="Y586" i="3"/>
  <c r="Y581" i="3"/>
  <c r="Y575" i="3"/>
  <c r="Y570" i="3"/>
  <c r="Y565" i="3"/>
  <c r="Y559" i="3"/>
  <c r="Y554" i="3"/>
  <c r="Y549" i="3"/>
  <c r="Y543" i="3"/>
  <c r="Y538" i="3"/>
  <c r="Y533" i="3"/>
  <c r="Y527" i="3"/>
  <c r="Y522" i="3"/>
  <c r="Y517" i="3"/>
  <c r="Y511" i="3"/>
  <c r="Y506" i="3"/>
  <c r="Y501" i="3"/>
  <c r="Y495" i="3"/>
  <c r="Y490" i="3"/>
  <c r="Y485" i="3"/>
  <c r="Y479" i="3"/>
  <c r="Y474" i="3"/>
  <c r="Y469" i="3"/>
  <c r="Y463" i="3"/>
  <c r="Y458" i="3"/>
  <c r="Y453" i="3"/>
  <c r="Y447" i="3"/>
  <c r="Y442" i="3"/>
  <c r="Y437" i="3"/>
  <c r="Y431" i="3"/>
  <c r="Y426" i="3"/>
  <c r="Y421" i="3"/>
  <c r="Y415" i="3"/>
  <c r="Y410" i="3"/>
  <c r="Y405" i="3"/>
  <c r="Y399" i="3"/>
  <c r="Y394" i="3"/>
  <c r="Y389" i="3"/>
  <c r="Y383" i="3"/>
  <c r="Y378" i="3"/>
  <c r="Y373" i="3"/>
  <c r="Y367" i="3"/>
  <c r="Y362" i="3"/>
  <c r="Y357" i="3"/>
  <c r="Y351" i="3"/>
  <c r="Y346" i="3"/>
  <c r="Y341" i="3"/>
  <c r="Y335" i="3"/>
  <c r="Y330" i="3"/>
  <c r="Y325" i="3"/>
  <c r="Y319" i="3"/>
  <c r="Y314" i="3"/>
  <c r="Y309" i="3"/>
  <c r="Y303" i="3"/>
  <c r="Y298" i="3"/>
  <c r="Y293" i="3"/>
  <c r="Y287" i="3"/>
  <c r="Y282" i="3"/>
  <c r="Y277" i="3"/>
  <c r="Y271" i="3"/>
  <c r="Y266" i="3"/>
  <c r="Y261" i="3"/>
  <c r="Y255" i="3"/>
  <c r="Y250" i="3"/>
  <c r="Y245" i="3"/>
  <c r="Y239" i="3"/>
  <c r="Y234" i="3"/>
  <c r="Y229" i="3"/>
  <c r="Y223" i="3"/>
  <c r="Y218" i="3"/>
  <c r="Y213" i="3"/>
  <c r="Y207" i="3"/>
  <c r="Y202" i="3"/>
  <c r="Y197" i="3"/>
  <c r="Y191" i="3"/>
  <c r="Y186" i="3"/>
  <c r="Y181" i="3"/>
  <c r="Y175" i="3"/>
  <c r="Y170" i="3"/>
  <c r="Y165" i="3"/>
  <c r="Y159" i="3"/>
  <c r="Y154" i="3"/>
  <c r="Y149" i="3"/>
  <c r="Y143" i="3"/>
  <c r="Y138" i="3"/>
  <c r="Y133" i="3"/>
  <c r="Y127" i="3"/>
  <c r="Y122" i="3"/>
  <c r="Y117" i="3"/>
  <c r="Y111" i="3"/>
  <c r="Y106" i="3"/>
  <c r="Y101" i="3"/>
  <c r="Y95" i="3"/>
  <c r="Y90" i="3"/>
  <c r="Y85" i="3"/>
  <c r="Y79" i="3"/>
  <c r="Y74" i="3"/>
  <c r="Y69" i="3"/>
  <c r="Y63" i="3"/>
  <c r="Y58" i="3"/>
  <c r="Y53" i="3"/>
  <c r="Y47" i="3"/>
  <c r="Y42" i="3"/>
  <c r="Y37" i="3"/>
  <c r="Y31" i="3"/>
  <c r="Y26" i="3"/>
  <c r="Y21" i="3"/>
  <c r="Y15" i="3"/>
  <c r="Y10" i="3"/>
  <c r="Y6" i="3"/>
  <c r="Y999" i="3"/>
  <c r="Y994" i="3"/>
  <c r="Y989" i="3"/>
  <c r="Y983" i="3"/>
  <c r="Y978" i="3"/>
  <c r="Y973" i="3"/>
  <c r="Y967" i="3"/>
  <c r="Y962" i="3"/>
  <c r="Y957" i="3"/>
  <c r="Y951" i="3"/>
  <c r="Y946" i="3"/>
  <c r="Y941" i="3"/>
  <c r="Y935" i="3"/>
  <c r="Y930" i="3"/>
  <c r="Y925" i="3"/>
  <c r="Y919" i="3"/>
  <c r="Y914" i="3"/>
  <c r="Y909" i="3"/>
  <c r="Y903" i="3"/>
  <c r="Y898" i="3"/>
  <c r="Y893" i="3"/>
  <c r="Y887" i="3"/>
  <c r="Y882" i="3"/>
  <c r="Y877" i="3"/>
  <c r="Y871" i="3"/>
  <c r="Y866" i="3"/>
  <c r="Y861" i="3"/>
  <c r="Y855" i="3"/>
  <c r="Y850" i="3"/>
  <c r="Y845" i="3"/>
  <c r="Y839" i="3"/>
  <c r="Y834" i="3"/>
  <c r="Y829" i="3"/>
  <c r="Y823" i="3"/>
  <c r="Y818" i="3"/>
  <c r="Y813" i="3"/>
  <c r="Y807" i="3"/>
  <c r="Y802" i="3"/>
  <c r="Y797" i="3"/>
  <c r="Y791" i="3"/>
  <c r="Y786" i="3"/>
  <c r="Y781" i="3"/>
  <c r="Y775" i="3"/>
  <c r="Y770" i="3"/>
  <c r="Y765" i="3"/>
  <c r="Y759" i="3"/>
  <c r="Y754" i="3"/>
  <c r="Y749" i="3"/>
  <c r="Y743" i="3"/>
  <c r="Y738" i="3"/>
  <c r="Y733" i="3"/>
  <c r="Y727" i="3"/>
  <c r="Y722" i="3"/>
  <c r="Y717" i="3"/>
  <c r="Y711" i="3"/>
  <c r="Y706" i="3"/>
  <c r="Y701" i="3"/>
  <c r="Y695" i="3"/>
  <c r="Y690" i="3"/>
  <c r="Y685" i="3"/>
  <c r="Y679" i="3"/>
  <c r="Y674" i="3"/>
  <c r="Y669" i="3"/>
  <c r="Y663" i="3"/>
  <c r="Y658" i="3"/>
  <c r="Y653" i="3"/>
  <c r="Y647" i="3"/>
  <c r="Y642" i="3"/>
  <c r="Y637" i="3"/>
  <c r="Y631" i="3"/>
  <c r="Y626" i="3"/>
  <c r="Y621" i="3"/>
  <c r="Y615" i="3"/>
  <c r="Y610" i="3"/>
  <c r="Y605" i="3"/>
  <c r="Y599" i="3"/>
  <c r="Y594" i="3"/>
  <c r="Y589" i="3"/>
  <c r="Y583" i="3"/>
  <c r="Y578" i="3"/>
  <c r="Y573" i="3"/>
  <c r="Y567" i="3"/>
  <c r="Y562" i="3"/>
  <c r="Y557" i="3"/>
  <c r="Y551" i="3"/>
  <c r="Y546" i="3"/>
  <c r="Y541" i="3"/>
  <c r="Y535" i="3"/>
  <c r="Y530" i="3"/>
  <c r="Y525" i="3"/>
  <c r="Y519" i="3"/>
  <c r="Y514" i="3"/>
  <c r="Y509" i="3"/>
  <c r="Y503" i="3"/>
  <c r="Y498" i="3"/>
  <c r="Y493" i="3"/>
  <c r="Y487" i="3"/>
  <c r="Y482" i="3"/>
  <c r="Y477" i="3"/>
  <c r="Y471" i="3"/>
  <c r="Y466" i="3"/>
  <c r="Y461" i="3"/>
  <c r="Y455" i="3"/>
  <c r="Y450" i="3"/>
  <c r="Y445" i="3"/>
  <c r="Y439" i="3"/>
  <c r="Y434" i="3"/>
  <c r="Y429" i="3"/>
  <c r="Y423" i="3"/>
  <c r="Y418" i="3"/>
  <c r="Y413" i="3"/>
  <c r="Y407" i="3"/>
  <c r="Y402" i="3"/>
  <c r="Y397" i="3"/>
  <c r="Y391" i="3"/>
  <c r="Y386" i="3"/>
  <c r="Y381" i="3"/>
  <c r="Y375" i="3"/>
  <c r="Y370" i="3"/>
  <c r="Y365" i="3"/>
  <c r="Y359" i="3"/>
  <c r="Y354" i="3"/>
  <c r="Y349" i="3"/>
  <c r="Y343" i="3"/>
  <c r="Y338" i="3"/>
  <c r="Y333" i="3"/>
  <c r="Y327" i="3"/>
  <c r="Y322" i="3"/>
  <c r="Y317" i="3"/>
  <c r="Y311" i="3"/>
  <c r="Y306" i="3"/>
  <c r="Y301" i="3"/>
  <c r="Y295" i="3"/>
  <c r="Y290" i="3"/>
  <c r="Y285" i="3"/>
  <c r="Y279" i="3"/>
  <c r="Y274" i="3"/>
  <c r="Y269" i="3"/>
  <c r="Y263" i="3"/>
  <c r="Y258" i="3"/>
  <c r="Y253" i="3"/>
  <c r="Y247" i="3"/>
  <c r="Y242" i="3"/>
  <c r="Y237" i="3"/>
  <c r="Y231" i="3"/>
  <c r="Y226" i="3"/>
  <c r="Y221" i="3"/>
  <c r="Y215" i="3"/>
  <c r="Y210" i="3"/>
  <c r="Y205" i="3"/>
  <c r="Y199" i="3"/>
  <c r="Y194" i="3"/>
  <c r="Y189" i="3"/>
  <c r="Y183" i="3"/>
  <c r="Y178" i="3"/>
  <c r="Y173" i="3"/>
  <c r="Y167" i="3"/>
  <c r="Y162" i="3"/>
  <c r="Y157" i="3"/>
  <c r="Y151" i="3"/>
  <c r="Y146" i="3"/>
  <c r="Y141" i="3"/>
  <c r="Y135" i="3"/>
  <c r="Y130" i="3"/>
  <c r="Y125" i="3"/>
  <c r="Y119" i="3"/>
  <c r="Y114" i="3"/>
  <c r="Y109" i="3"/>
  <c r="Y103" i="3"/>
  <c r="Y98" i="3"/>
  <c r="Y93" i="3"/>
  <c r="Y87" i="3"/>
  <c r="Y82" i="3"/>
  <c r="Y77" i="3"/>
  <c r="Y71" i="3"/>
  <c r="Y66" i="3"/>
  <c r="Y61" i="3"/>
  <c r="Y55" i="3"/>
  <c r="Y50" i="3"/>
  <c r="Y45" i="3"/>
  <c r="Y39" i="3"/>
  <c r="Y34" i="3"/>
  <c r="Y29" i="3"/>
  <c r="Y23" i="3"/>
  <c r="Y18" i="3"/>
  <c r="Y13" i="3"/>
  <c r="Y7" i="3"/>
  <c r="Y1003" i="3"/>
  <c r="Y998" i="3"/>
  <c r="Y993" i="3"/>
  <c r="Y987" i="3"/>
  <c r="Y982" i="3"/>
  <c r="Y977" i="3"/>
  <c r="Y971" i="3"/>
  <c r="Y966" i="3"/>
  <c r="Y961" i="3"/>
  <c r="Y955" i="3"/>
  <c r="Y950" i="3"/>
  <c r="Y945" i="3"/>
  <c r="Y939" i="3"/>
  <c r="Y934" i="3"/>
  <c r="Y929" i="3"/>
  <c r="Y923" i="3"/>
  <c r="Y918" i="3"/>
  <c r="Y913" i="3"/>
  <c r="Y907" i="3"/>
  <c r="Y902" i="3"/>
  <c r="Y897" i="3"/>
  <c r="Y891" i="3"/>
  <c r="Y886" i="3"/>
  <c r="Y881" i="3"/>
  <c r="Y875" i="3"/>
  <c r="Y870" i="3"/>
  <c r="Y865" i="3"/>
  <c r="Y859" i="3"/>
  <c r="Y854" i="3"/>
  <c r="Y849" i="3"/>
  <c r="Y843" i="3"/>
  <c r="Y838" i="3"/>
  <c r="Y833" i="3"/>
  <c r="Y827" i="3"/>
  <c r="Y822" i="3"/>
  <c r="Y817" i="3"/>
  <c r="Y811" i="3"/>
  <c r="Y806" i="3"/>
  <c r="Y801" i="3"/>
  <c r="Y795" i="3"/>
  <c r="Y790" i="3"/>
  <c r="Y785" i="3"/>
  <c r="Y779" i="3"/>
  <c r="Y774" i="3"/>
  <c r="Y769" i="3"/>
  <c r="Y763" i="3"/>
  <c r="Y758" i="3"/>
  <c r="Y753" i="3"/>
  <c r="Y747" i="3"/>
  <c r="Y742" i="3"/>
  <c r="Y737" i="3"/>
  <c r="Y731" i="3"/>
  <c r="Y726" i="3"/>
  <c r="Y721" i="3"/>
  <c r="Y715" i="3"/>
  <c r="Y710" i="3"/>
  <c r="Y705" i="3"/>
  <c r="Y699" i="3"/>
  <c r="Y694" i="3"/>
  <c r="Y689" i="3"/>
  <c r="Y683" i="3"/>
  <c r="Y678" i="3"/>
  <c r="Y673" i="3"/>
  <c r="Y667" i="3"/>
  <c r="Y662" i="3"/>
  <c r="Y657" i="3"/>
  <c r="Y651" i="3"/>
  <c r="Y646" i="3"/>
  <c r="Y641" i="3"/>
  <c r="Y635" i="3"/>
  <c r="Y630" i="3"/>
  <c r="Y625" i="3"/>
  <c r="Y619" i="3"/>
  <c r="Y614" i="3"/>
  <c r="Y609" i="3"/>
  <c r="Y603" i="3"/>
  <c r="Y598" i="3"/>
  <c r="Y593" i="3"/>
  <c r="Y587" i="3"/>
  <c r="Y582" i="3"/>
  <c r="Y577" i="3"/>
  <c r="Y571" i="3"/>
  <c r="Y566" i="3"/>
  <c r="Y561" i="3"/>
  <c r="Y555" i="3"/>
  <c r="Y550" i="3"/>
  <c r="Y545" i="3"/>
  <c r="Y539" i="3"/>
  <c r="Y534" i="3"/>
  <c r="Y529" i="3"/>
  <c r="Y523" i="3"/>
  <c r="Y518" i="3"/>
  <c r="Y513" i="3"/>
  <c r="Y507" i="3"/>
  <c r="Y502" i="3"/>
  <c r="Y497" i="3"/>
  <c r="Y491" i="3"/>
  <c r="Y486" i="3"/>
  <c r="Y481" i="3"/>
  <c r="Y475" i="3"/>
  <c r="Y470" i="3"/>
  <c r="Y465" i="3"/>
  <c r="Y459" i="3"/>
  <c r="Y454" i="3"/>
  <c r="Y449" i="3"/>
  <c r="Y443" i="3"/>
  <c r="Y438" i="3"/>
  <c r="Y433" i="3"/>
  <c r="Y427" i="3"/>
  <c r="Y422" i="3"/>
  <c r="Y417" i="3"/>
  <c r="Y411" i="3"/>
  <c r="Y406" i="3"/>
  <c r="Y401" i="3"/>
  <c r="Y395" i="3"/>
  <c r="Y390" i="3"/>
  <c r="Y385" i="3"/>
  <c r="Y379" i="3"/>
  <c r="Y374" i="3"/>
  <c r="Y369" i="3"/>
  <c r="Y363" i="3"/>
  <c r="Y358" i="3"/>
  <c r="Y353" i="3"/>
  <c r="Y347" i="3"/>
  <c r="Y342" i="3"/>
  <c r="Y337" i="3"/>
  <c r="Y331" i="3"/>
  <c r="Y326" i="3"/>
  <c r="Y321" i="3"/>
  <c r="Y315" i="3"/>
  <c r="Y310" i="3"/>
  <c r="Y305" i="3"/>
  <c r="Y299" i="3"/>
  <c r="Y294" i="3"/>
  <c r="Y289" i="3"/>
  <c r="Y283" i="3"/>
  <c r="Y278" i="3"/>
  <c r="Y273" i="3"/>
  <c r="Y267" i="3"/>
  <c r="Y262" i="3"/>
  <c r="Y257" i="3"/>
  <c r="Y251" i="3"/>
  <c r="Y246" i="3"/>
  <c r="Y241" i="3"/>
  <c r="Y235" i="3"/>
  <c r="Y230" i="3"/>
  <c r="Y225" i="3"/>
  <c r="Y219" i="3"/>
  <c r="Y214" i="3"/>
  <c r="Y209" i="3"/>
  <c r="Y203" i="3"/>
  <c r="Y198" i="3"/>
  <c r="Y193" i="3"/>
  <c r="Y187" i="3"/>
  <c r="Y182" i="3"/>
  <c r="Y177" i="3"/>
  <c r="Y171" i="3"/>
  <c r="Y166" i="3"/>
  <c r="Y161" i="3"/>
  <c r="Y155" i="3"/>
  <c r="Y150" i="3"/>
  <c r="Y145" i="3"/>
  <c r="Y139" i="3"/>
  <c r="Y134" i="3"/>
  <c r="Y129" i="3"/>
  <c r="Y123" i="3"/>
  <c r="Y118" i="3"/>
  <c r="Y113" i="3"/>
  <c r="Y107" i="3"/>
  <c r="Y102" i="3"/>
  <c r="Y97" i="3"/>
  <c r="Y91" i="3"/>
  <c r="Y86" i="3"/>
  <c r="Y81" i="3"/>
  <c r="Y75" i="3"/>
  <c r="Y70" i="3"/>
  <c r="Y65" i="3"/>
  <c r="Y59" i="3"/>
  <c r="Y54" i="3"/>
  <c r="Y49" i="3"/>
  <c r="Y43" i="3"/>
  <c r="Y38" i="3"/>
  <c r="Y33" i="3"/>
  <c r="Y27" i="3"/>
  <c r="Y22" i="3"/>
  <c r="Y17" i="3"/>
  <c r="Y11" i="3"/>
  <c r="Y995" i="3"/>
  <c r="Y974" i="3"/>
  <c r="Y953" i="3"/>
  <c r="Y931" i="3"/>
  <c r="Y910" i="3"/>
  <c r="Y889" i="3"/>
  <c r="Y867" i="3"/>
  <c r="Y846" i="3"/>
  <c r="Y825" i="3"/>
  <c r="Y803" i="3"/>
  <c r="Y782" i="3"/>
  <c r="Y761" i="3"/>
  <c r="Y739" i="3"/>
  <c r="Y718" i="3"/>
  <c r="Y697" i="3"/>
  <c r="Y675" i="3"/>
  <c r="Y654" i="3"/>
  <c r="Y633" i="3"/>
  <c r="Y611" i="3"/>
  <c r="Y590" i="3"/>
  <c r="Y569" i="3"/>
  <c r="Y547" i="3"/>
  <c r="Y526" i="3"/>
  <c r="Y505" i="3"/>
  <c r="Y483" i="3"/>
  <c r="Y462" i="3"/>
  <c r="Y441" i="3"/>
  <c r="Y419" i="3"/>
  <c r="Y398" i="3"/>
  <c r="Y377" i="3"/>
  <c r="Y355" i="3"/>
  <c r="Y334" i="3"/>
  <c r="Y313" i="3"/>
  <c r="Y291" i="3"/>
  <c r="Y270" i="3"/>
  <c r="Y249" i="3"/>
  <c r="Y227" i="3"/>
  <c r="Y206" i="3"/>
  <c r="Y185" i="3"/>
  <c r="Y163" i="3"/>
  <c r="Y142" i="3"/>
  <c r="Y121" i="3"/>
  <c r="Y99" i="3"/>
  <c r="Y78" i="3"/>
  <c r="Y57" i="3"/>
  <c r="Y35" i="3"/>
  <c r="Y14" i="3"/>
  <c r="Y1001" i="3"/>
  <c r="Y979" i="3"/>
  <c r="Y958" i="3"/>
  <c r="Y937" i="3"/>
  <c r="Y915" i="3"/>
  <c r="Y894" i="3"/>
  <c r="Y873" i="3"/>
  <c r="Y851" i="3"/>
  <c r="Y830" i="3"/>
  <c r="Y809" i="3"/>
  <c r="Y787" i="3"/>
  <c r="Y766" i="3"/>
  <c r="Y745" i="3"/>
  <c r="Y723" i="3"/>
  <c r="Y702" i="3"/>
  <c r="Y681" i="3"/>
  <c r="Y659" i="3"/>
  <c r="Y638" i="3"/>
  <c r="Y617" i="3"/>
  <c r="Y595" i="3"/>
  <c r="Y574" i="3"/>
  <c r="Y553" i="3"/>
  <c r="Y531" i="3"/>
  <c r="Y510" i="3"/>
  <c r="Y489" i="3"/>
  <c r="Y467" i="3"/>
  <c r="Y446" i="3"/>
  <c r="Y425" i="3"/>
  <c r="Y403" i="3"/>
  <c r="Y382" i="3"/>
  <c r="Y361" i="3"/>
  <c r="Y339" i="3"/>
  <c r="Y318" i="3"/>
  <c r="Y297" i="3"/>
  <c r="Y275" i="3"/>
  <c r="Y254" i="3"/>
  <c r="Y233" i="3"/>
  <c r="Y211" i="3"/>
  <c r="Y190" i="3"/>
  <c r="Y169" i="3"/>
  <c r="Y147" i="3"/>
  <c r="Y126" i="3"/>
  <c r="Y105" i="3"/>
  <c r="Y83" i="3"/>
  <c r="Y62" i="3"/>
  <c r="Y41" i="3"/>
  <c r="Y19" i="3"/>
  <c r="Y990" i="3"/>
  <c r="Y969" i="3"/>
  <c r="Y947" i="3"/>
  <c r="Y926" i="3"/>
  <c r="Y905" i="3"/>
  <c r="Y883" i="3"/>
  <c r="Y862" i="3"/>
  <c r="Y841" i="3"/>
  <c r="Y819" i="3"/>
  <c r="Y798" i="3"/>
  <c r="Y777" i="3"/>
  <c r="Y755" i="3"/>
  <c r="Y734" i="3"/>
  <c r="Y713" i="3"/>
  <c r="Y691" i="3"/>
  <c r="Y670" i="3"/>
  <c r="Y649" i="3"/>
  <c r="Y627" i="3"/>
  <c r="Y606" i="3"/>
  <c r="Y585" i="3"/>
  <c r="Y563" i="3"/>
  <c r="Y542" i="3"/>
  <c r="Y521" i="3"/>
  <c r="Y499" i="3"/>
  <c r="Y478" i="3"/>
  <c r="Y457" i="3"/>
  <c r="Y435" i="3"/>
  <c r="Y414" i="3"/>
  <c r="Y393" i="3"/>
  <c r="Y371" i="3"/>
  <c r="Y350" i="3"/>
  <c r="Y329" i="3"/>
  <c r="Y307" i="3"/>
  <c r="Y286" i="3"/>
  <c r="Y265" i="3"/>
  <c r="Y243" i="3"/>
  <c r="Y222" i="3"/>
  <c r="Y201" i="3"/>
  <c r="Y179" i="3"/>
  <c r="Y158" i="3"/>
  <c r="Y137" i="3"/>
  <c r="Y115" i="3"/>
  <c r="Y94" i="3"/>
  <c r="Y73" i="3"/>
  <c r="Y51" i="3"/>
  <c r="Y30" i="3"/>
  <c r="Y9" i="3"/>
  <c r="Y985" i="3"/>
  <c r="Y963" i="3"/>
  <c r="Y942" i="3"/>
  <c r="Y921" i="3"/>
  <c r="Y899" i="3"/>
  <c r="Y878" i="3"/>
  <c r="Y857" i="3"/>
  <c r="Y835" i="3"/>
  <c r="Y814" i="3"/>
  <c r="Y793" i="3"/>
  <c r="Y771" i="3"/>
  <c r="Y750" i="3"/>
  <c r="Y729" i="3"/>
  <c r="Y707" i="3"/>
  <c r="Y686" i="3"/>
  <c r="Y665" i="3"/>
  <c r="Y643" i="3"/>
  <c r="Y622" i="3"/>
  <c r="Y601" i="3"/>
  <c r="Y579" i="3"/>
  <c r="Y558" i="3"/>
  <c r="Y537" i="3"/>
  <c r="Y515" i="3"/>
  <c r="Y494" i="3"/>
  <c r="Y473" i="3"/>
  <c r="Y451" i="3"/>
  <c r="Y430" i="3"/>
  <c r="Y409" i="3"/>
  <c r="Y387" i="3"/>
  <c r="Y366" i="3"/>
  <c r="Y345" i="3"/>
  <c r="Y323" i="3"/>
  <c r="Y302" i="3"/>
  <c r="Y281" i="3"/>
  <c r="Y259" i="3"/>
  <c r="Y238" i="3"/>
  <c r="Y217" i="3"/>
  <c r="Y195" i="3"/>
  <c r="Y174" i="3"/>
  <c r="Y153" i="3"/>
  <c r="Y131" i="3"/>
  <c r="Y110" i="3"/>
  <c r="Y89" i="3"/>
  <c r="Y67" i="3"/>
  <c r="Y46" i="3"/>
  <c r="Y25" i="3"/>
  <c r="N1002" i="3"/>
  <c r="N998" i="3"/>
  <c r="N994" i="3"/>
  <c r="N990" i="3"/>
  <c r="N986" i="3"/>
  <c r="N982" i="3"/>
  <c r="N978" i="3"/>
  <c r="N974" i="3"/>
  <c r="N970" i="3"/>
  <c r="N966" i="3"/>
  <c r="N962" i="3"/>
  <c r="N958" i="3"/>
  <c r="N954" i="3"/>
  <c r="N950" i="3"/>
  <c r="N946" i="3"/>
  <c r="N942" i="3"/>
  <c r="N938" i="3"/>
  <c r="N934" i="3"/>
  <c r="N930" i="3"/>
  <c r="N926" i="3"/>
  <c r="N922" i="3"/>
  <c r="N918" i="3"/>
  <c r="N914" i="3"/>
  <c r="N910" i="3"/>
  <c r="N906" i="3"/>
  <c r="N902" i="3"/>
  <c r="N898" i="3"/>
  <c r="N894" i="3"/>
  <c r="N890" i="3"/>
  <c r="N886" i="3"/>
  <c r="N882" i="3"/>
  <c r="N878" i="3"/>
  <c r="N874" i="3"/>
  <c r="N870" i="3"/>
  <c r="N866" i="3"/>
  <c r="N862" i="3"/>
  <c r="N858" i="3"/>
  <c r="N854" i="3"/>
  <c r="N850" i="3"/>
  <c r="N846" i="3"/>
  <c r="N842" i="3"/>
  <c r="N838" i="3"/>
  <c r="N834" i="3"/>
  <c r="N830" i="3"/>
  <c r="N826" i="3"/>
  <c r="N822" i="3"/>
  <c r="N818" i="3"/>
  <c r="N814" i="3"/>
  <c r="N810" i="3"/>
  <c r="N806" i="3"/>
  <c r="N802" i="3"/>
  <c r="N798" i="3"/>
  <c r="N794" i="3"/>
  <c r="N790" i="3"/>
  <c r="N786" i="3"/>
  <c r="N782" i="3"/>
  <c r="N778" i="3"/>
  <c r="N774" i="3"/>
  <c r="N770" i="3"/>
  <c r="N766" i="3"/>
  <c r="N762" i="3"/>
  <c r="N758" i="3"/>
  <c r="N754" i="3"/>
  <c r="N750" i="3"/>
  <c r="N746" i="3"/>
  <c r="N742" i="3"/>
  <c r="N738" i="3"/>
  <c r="N734" i="3"/>
  <c r="N730" i="3"/>
  <c r="N726" i="3"/>
  <c r="N722" i="3"/>
  <c r="N718" i="3"/>
  <c r="N714" i="3"/>
  <c r="N710" i="3"/>
  <c r="N706" i="3"/>
  <c r="N702" i="3"/>
  <c r="N698" i="3"/>
  <c r="N694" i="3"/>
  <c r="N690" i="3"/>
  <c r="N686" i="3"/>
  <c r="N682" i="3"/>
  <c r="N678" i="3"/>
  <c r="N674" i="3"/>
  <c r="N670" i="3"/>
  <c r="N666" i="3"/>
  <c r="N662" i="3"/>
  <c r="N658" i="3"/>
  <c r="N654" i="3"/>
  <c r="N650" i="3"/>
  <c r="N646" i="3"/>
  <c r="N642" i="3"/>
  <c r="N638" i="3"/>
  <c r="N634" i="3"/>
  <c r="N630" i="3"/>
  <c r="N626" i="3"/>
  <c r="N622" i="3"/>
  <c r="N618" i="3"/>
  <c r="N614" i="3"/>
  <c r="N610" i="3"/>
  <c r="N606" i="3"/>
  <c r="N602" i="3"/>
  <c r="N598" i="3"/>
  <c r="N594" i="3"/>
  <c r="N590" i="3"/>
  <c r="N586" i="3"/>
  <c r="N582" i="3"/>
  <c r="N578" i="3"/>
  <c r="N574" i="3"/>
  <c r="N570" i="3"/>
  <c r="N566" i="3"/>
  <c r="N562" i="3"/>
  <c r="N558" i="3"/>
  <c r="N554" i="3"/>
  <c r="N550" i="3"/>
  <c r="N546" i="3"/>
  <c r="N542" i="3"/>
  <c r="N538" i="3"/>
  <c r="N534" i="3"/>
  <c r="N530" i="3"/>
  <c r="N526" i="3"/>
  <c r="N522" i="3"/>
  <c r="N518" i="3"/>
  <c r="N514" i="3"/>
  <c r="N510" i="3"/>
  <c r="N506" i="3"/>
  <c r="N502" i="3"/>
  <c r="N498" i="3"/>
  <c r="N494" i="3"/>
  <c r="N490" i="3"/>
  <c r="N486" i="3"/>
  <c r="N482" i="3"/>
  <c r="N478" i="3"/>
  <c r="N474" i="3"/>
  <c r="N470" i="3"/>
  <c r="N466" i="3"/>
  <c r="N462" i="3"/>
  <c r="N458" i="3"/>
  <c r="N454" i="3"/>
  <c r="N450" i="3"/>
  <c r="N446" i="3"/>
  <c r="N442" i="3"/>
  <c r="N438" i="3"/>
  <c r="N434" i="3"/>
  <c r="N430" i="3"/>
  <c r="N426" i="3"/>
  <c r="N422" i="3"/>
  <c r="N418" i="3"/>
  <c r="N414" i="3"/>
  <c r="N410" i="3"/>
  <c r="N406" i="3"/>
  <c r="N402" i="3"/>
  <c r="N398" i="3"/>
  <c r="N394" i="3"/>
  <c r="N390" i="3"/>
  <c r="N386" i="3"/>
  <c r="N382" i="3"/>
  <c r="N378" i="3"/>
  <c r="N374" i="3"/>
  <c r="N370" i="3"/>
  <c r="N366" i="3"/>
  <c r="N362" i="3"/>
  <c r="N358" i="3"/>
  <c r="N354" i="3"/>
  <c r="N350" i="3"/>
  <c r="N346" i="3"/>
  <c r="N342" i="3"/>
  <c r="N338" i="3"/>
  <c r="N334" i="3"/>
  <c r="N330" i="3"/>
  <c r="N326" i="3"/>
  <c r="N322" i="3"/>
  <c r="N318" i="3"/>
  <c r="N314" i="3"/>
  <c r="N310" i="3"/>
  <c r="N306" i="3"/>
  <c r="N302" i="3"/>
  <c r="N298" i="3"/>
  <c r="N294" i="3"/>
  <c r="N290" i="3"/>
  <c r="N286" i="3"/>
  <c r="N282" i="3"/>
  <c r="N278" i="3"/>
  <c r="N274" i="3"/>
  <c r="N270" i="3"/>
  <c r="N266" i="3"/>
  <c r="N262" i="3"/>
  <c r="N258" i="3"/>
  <c r="N254" i="3"/>
  <c r="N250" i="3"/>
  <c r="N246" i="3"/>
  <c r="N242" i="3"/>
  <c r="N238" i="3"/>
  <c r="N234" i="3"/>
  <c r="N230" i="3"/>
  <c r="N226" i="3"/>
  <c r="N222" i="3"/>
  <c r="N218" i="3"/>
  <c r="N214" i="3"/>
  <c r="N210" i="3"/>
  <c r="N206" i="3"/>
  <c r="N202" i="3"/>
  <c r="N198" i="3"/>
  <c r="N194" i="3"/>
  <c r="N190" i="3"/>
  <c r="N186" i="3"/>
  <c r="N182" i="3"/>
  <c r="N178" i="3"/>
  <c r="N174" i="3"/>
  <c r="N170" i="3"/>
  <c r="N166" i="3"/>
  <c r="N162" i="3"/>
  <c r="N158" i="3"/>
  <c r="N154" i="3"/>
  <c r="N150" i="3"/>
  <c r="N146" i="3"/>
  <c r="N142" i="3"/>
  <c r="N138" i="3"/>
  <c r="N134" i="3"/>
  <c r="N130" i="3"/>
  <c r="N126" i="3"/>
  <c r="N122" i="3"/>
  <c r="N118" i="3"/>
  <c r="N114" i="3"/>
  <c r="N110" i="3"/>
  <c r="N106" i="3"/>
  <c r="N102" i="3"/>
  <c r="N98" i="3"/>
  <c r="N94" i="3"/>
  <c r="N90" i="3"/>
  <c r="N86" i="3"/>
  <c r="N82" i="3"/>
  <c r="N78" i="3"/>
  <c r="N74" i="3"/>
  <c r="N70" i="3"/>
  <c r="N66" i="3"/>
  <c r="N62" i="3"/>
  <c r="N58" i="3"/>
  <c r="N54" i="3"/>
  <c r="N50" i="3"/>
  <c r="N46" i="3"/>
  <c r="N42" i="3"/>
  <c r="N38" i="3"/>
  <c r="N34" i="3"/>
  <c r="N30" i="3"/>
  <c r="N26" i="3"/>
  <c r="N22" i="3"/>
  <c r="N18" i="3"/>
  <c r="N14" i="3"/>
  <c r="N10" i="3"/>
  <c r="N1004" i="3"/>
  <c r="N1000" i="3"/>
  <c r="N996" i="3"/>
  <c r="N992" i="3"/>
  <c r="N988" i="3"/>
  <c r="N984" i="3"/>
  <c r="N980" i="3"/>
  <c r="N976" i="3"/>
  <c r="N972" i="3"/>
  <c r="N968" i="3"/>
  <c r="N964" i="3"/>
  <c r="N960" i="3"/>
  <c r="N956" i="3"/>
  <c r="N952" i="3"/>
  <c r="N948" i="3"/>
  <c r="N944" i="3"/>
  <c r="N940" i="3"/>
  <c r="N936" i="3"/>
  <c r="N932" i="3"/>
  <c r="N928" i="3"/>
  <c r="N924" i="3"/>
  <c r="N920" i="3"/>
  <c r="N916" i="3"/>
  <c r="N912" i="3"/>
  <c r="N908" i="3"/>
  <c r="N904" i="3"/>
  <c r="N900" i="3"/>
  <c r="N896" i="3"/>
  <c r="N892" i="3"/>
  <c r="N888" i="3"/>
  <c r="N884" i="3"/>
  <c r="N880" i="3"/>
  <c r="N876" i="3"/>
  <c r="N872" i="3"/>
  <c r="N868" i="3"/>
  <c r="N864" i="3"/>
  <c r="N860" i="3"/>
  <c r="N856" i="3"/>
  <c r="N852" i="3"/>
  <c r="N848" i="3"/>
  <c r="N844" i="3"/>
  <c r="N840" i="3"/>
  <c r="N836" i="3"/>
  <c r="N832" i="3"/>
  <c r="N828" i="3"/>
  <c r="N824" i="3"/>
  <c r="N820" i="3"/>
  <c r="N816" i="3"/>
  <c r="N812" i="3"/>
  <c r="N808" i="3"/>
  <c r="N804" i="3"/>
  <c r="N800" i="3"/>
  <c r="N796" i="3"/>
  <c r="N792" i="3"/>
  <c r="N788" i="3"/>
  <c r="N784" i="3"/>
  <c r="N780" i="3"/>
  <c r="N776" i="3"/>
  <c r="N772" i="3"/>
  <c r="N768" i="3"/>
  <c r="N764" i="3"/>
  <c r="N760" i="3"/>
  <c r="N756" i="3"/>
  <c r="N752" i="3"/>
  <c r="N748" i="3"/>
  <c r="N744" i="3"/>
  <c r="N740" i="3"/>
  <c r="N736" i="3"/>
  <c r="N732" i="3"/>
  <c r="N728" i="3"/>
  <c r="N724" i="3"/>
  <c r="N720" i="3"/>
  <c r="N716" i="3"/>
  <c r="N712" i="3"/>
  <c r="N708" i="3"/>
  <c r="N704" i="3"/>
  <c r="N700" i="3"/>
  <c r="N696" i="3"/>
  <c r="N692" i="3"/>
  <c r="N688" i="3"/>
  <c r="N684" i="3"/>
  <c r="N680" i="3"/>
  <c r="N676" i="3"/>
  <c r="N672" i="3"/>
  <c r="N668" i="3"/>
  <c r="N664" i="3"/>
  <c r="N660" i="3"/>
  <c r="N656" i="3"/>
  <c r="N652" i="3"/>
  <c r="N648" i="3"/>
  <c r="N644" i="3"/>
  <c r="N640" i="3"/>
  <c r="N636" i="3"/>
  <c r="N632" i="3"/>
  <c r="N628" i="3"/>
  <c r="N624" i="3"/>
  <c r="N620" i="3"/>
  <c r="N616" i="3"/>
  <c r="N612" i="3"/>
  <c r="N608" i="3"/>
  <c r="N604" i="3"/>
  <c r="N600" i="3"/>
  <c r="N596" i="3"/>
  <c r="N592" i="3"/>
  <c r="N588" i="3"/>
  <c r="N584" i="3"/>
  <c r="N580" i="3"/>
  <c r="N576" i="3"/>
  <c r="N572" i="3"/>
  <c r="N568" i="3"/>
  <c r="N564" i="3"/>
  <c r="N560" i="3"/>
  <c r="N556" i="3"/>
  <c r="N552" i="3"/>
  <c r="N548" i="3"/>
  <c r="N544" i="3"/>
  <c r="N540" i="3"/>
  <c r="N536" i="3"/>
  <c r="N532" i="3"/>
  <c r="N528" i="3"/>
  <c r="N524" i="3"/>
  <c r="N520" i="3"/>
  <c r="N516" i="3"/>
  <c r="N512" i="3"/>
  <c r="N508" i="3"/>
  <c r="N504" i="3"/>
  <c r="N500" i="3"/>
  <c r="N496" i="3"/>
  <c r="N492" i="3"/>
  <c r="N488" i="3"/>
  <c r="N484" i="3"/>
  <c r="N480" i="3"/>
  <c r="N476" i="3"/>
  <c r="N472" i="3"/>
  <c r="N468" i="3"/>
  <c r="N464" i="3"/>
  <c r="N460" i="3"/>
  <c r="N456" i="3"/>
  <c r="N452" i="3"/>
  <c r="N448" i="3"/>
  <c r="N444" i="3"/>
  <c r="N440" i="3"/>
  <c r="N436" i="3"/>
  <c r="N432" i="3"/>
  <c r="N428" i="3"/>
  <c r="N424" i="3"/>
  <c r="N420" i="3"/>
  <c r="N416" i="3"/>
  <c r="N412" i="3"/>
  <c r="N408" i="3"/>
  <c r="N404" i="3"/>
  <c r="N400" i="3"/>
  <c r="N396" i="3"/>
  <c r="N392" i="3"/>
  <c r="N388" i="3"/>
  <c r="N384" i="3"/>
  <c r="N380" i="3"/>
  <c r="N376" i="3"/>
  <c r="N372" i="3"/>
  <c r="N368" i="3"/>
  <c r="N364" i="3"/>
  <c r="N360" i="3"/>
  <c r="N356" i="3"/>
  <c r="N352" i="3"/>
  <c r="N348" i="3"/>
  <c r="N344" i="3"/>
  <c r="N340" i="3"/>
  <c r="N336" i="3"/>
  <c r="N332" i="3"/>
  <c r="N328" i="3"/>
  <c r="N324" i="3"/>
  <c r="N320" i="3"/>
  <c r="N316" i="3"/>
  <c r="N312" i="3"/>
  <c r="N308" i="3"/>
  <c r="N304" i="3"/>
  <c r="N300" i="3"/>
  <c r="N296" i="3"/>
  <c r="N292" i="3"/>
  <c r="N288" i="3"/>
  <c r="N284" i="3"/>
  <c r="N280" i="3"/>
  <c r="N276" i="3"/>
  <c r="N272" i="3"/>
  <c r="N268" i="3"/>
  <c r="N264" i="3"/>
  <c r="N260" i="3"/>
  <c r="N256" i="3"/>
  <c r="N252" i="3"/>
  <c r="N248" i="3"/>
  <c r="N244" i="3"/>
  <c r="N240" i="3"/>
  <c r="N236" i="3"/>
  <c r="N232" i="3"/>
  <c r="N228" i="3"/>
  <c r="N224" i="3"/>
  <c r="N220" i="3"/>
  <c r="N216" i="3"/>
  <c r="N212" i="3"/>
  <c r="N208" i="3"/>
  <c r="N204" i="3"/>
  <c r="N200" i="3"/>
  <c r="N196" i="3"/>
  <c r="N192" i="3"/>
  <c r="N188" i="3"/>
  <c r="N184" i="3"/>
  <c r="N180" i="3"/>
  <c r="N176" i="3"/>
  <c r="N172" i="3"/>
  <c r="N168" i="3"/>
  <c r="N164" i="3"/>
  <c r="N160" i="3"/>
  <c r="N156" i="3"/>
  <c r="N152" i="3"/>
  <c r="N148" i="3"/>
  <c r="N144" i="3"/>
  <c r="N140" i="3"/>
  <c r="N136" i="3"/>
  <c r="N132" i="3"/>
  <c r="N128" i="3"/>
  <c r="N124" i="3"/>
  <c r="N120" i="3"/>
  <c r="N116" i="3"/>
  <c r="N112" i="3"/>
  <c r="N108" i="3"/>
  <c r="N104" i="3"/>
  <c r="N100" i="3"/>
  <c r="N96" i="3"/>
  <c r="N92" i="3"/>
  <c r="N88" i="3"/>
  <c r="N84" i="3"/>
  <c r="N80" i="3"/>
  <c r="N76" i="3"/>
  <c r="N72" i="3"/>
  <c r="N68" i="3"/>
  <c r="N64" i="3"/>
  <c r="N60" i="3"/>
  <c r="N56" i="3"/>
  <c r="N52" i="3"/>
  <c r="N48" i="3"/>
  <c r="N44" i="3"/>
  <c r="N40" i="3"/>
  <c r="N36" i="3"/>
  <c r="N32" i="3"/>
  <c r="N28" i="3"/>
  <c r="N24" i="3"/>
  <c r="N20" i="3"/>
  <c r="N16" i="3"/>
  <c r="N12" i="3"/>
  <c r="N8" i="3"/>
  <c r="N1003" i="3"/>
  <c r="N999" i="3"/>
  <c r="N995" i="3"/>
  <c r="N991" i="3"/>
  <c r="N987" i="3"/>
  <c r="N983" i="3"/>
  <c r="N979" i="3"/>
  <c r="N975" i="3"/>
  <c r="N971" i="3"/>
  <c r="N967" i="3"/>
  <c r="N963" i="3"/>
  <c r="N959" i="3"/>
  <c r="N955" i="3"/>
  <c r="N951" i="3"/>
  <c r="N947" i="3"/>
  <c r="N943" i="3"/>
  <c r="N939" i="3"/>
  <c r="N935" i="3"/>
  <c r="N931" i="3"/>
  <c r="N927" i="3"/>
  <c r="N923" i="3"/>
  <c r="N919" i="3"/>
  <c r="N915" i="3"/>
  <c r="N911" i="3"/>
  <c r="N907" i="3"/>
  <c r="N903" i="3"/>
  <c r="N899" i="3"/>
  <c r="N895" i="3"/>
  <c r="N891" i="3"/>
  <c r="N887" i="3"/>
  <c r="N883" i="3"/>
  <c r="N879" i="3"/>
  <c r="N875" i="3"/>
  <c r="N871" i="3"/>
  <c r="N867" i="3"/>
  <c r="N863" i="3"/>
  <c r="N859" i="3"/>
  <c r="N855" i="3"/>
  <c r="N851" i="3"/>
  <c r="N847" i="3"/>
  <c r="N843" i="3"/>
  <c r="N839" i="3"/>
  <c r="N835" i="3"/>
  <c r="N831" i="3"/>
  <c r="N827" i="3"/>
  <c r="N823" i="3"/>
  <c r="N819" i="3"/>
  <c r="N815" i="3"/>
  <c r="N811" i="3"/>
  <c r="N807" i="3"/>
  <c r="N803" i="3"/>
  <c r="N799" i="3"/>
  <c r="N795" i="3"/>
  <c r="N791" i="3"/>
  <c r="N787" i="3"/>
  <c r="N783" i="3"/>
  <c r="N779" i="3"/>
  <c r="N775" i="3"/>
  <c r="N771" i="3"/>
  <c r="N767" i="3"/>
  <c r="N763" i="3"/>
  <c r="N759" i="3"/>
  <c r="N755" i="3"/>
  <c r="N751" i="3"/>
  <c r="N747" i="3"/>
  <c r="N743" i="3"/>
  <c r="N739" i="3"/>
  <c r="N735" i="3"/>
  <c r="N731" i="3"/>
  <c r="N727" i="3"/>
  <c r="N723" i="3"/>
  <c r="N719" i="3"/>
  <c r="N715" i="3"/>
  <c r="N711" i="3"/>
  <c r="N707" i="3"/>
  <c r="N703" i="3"/>
  <c r="N699" i="3"/>
  <c r="N695" i="3"/>
  <c r="N691" i="3"/>
  <c r="N687" i="3"/>
  <c r="N683" i="3"/>
  <c r="N679" i="3"/>
  <c r="N675" i="3"/>
  <c r="N671" i="3"/>
  <c r="N667" i="3"/>
  <c r="N663" i="3"/>
  <c r="N659" i="3"/>
  <c r="N655" i="3"/>
  <c r="N651" i="3"/>
  <c r="N647" i="3"/>
  <c r="N643" i="3"/>
  <c r="N639" i="3"/>
  <c r="N635" i="3"/>
  <c r="N631" i="3"/>
  <c r="N627" i="3"/>
  <c r="N623" i="3"/>
  <c r="N619" i="3"/>
  <c r="N615" i="3"/>
  <c r="N611" i="3"/>
  <c r="N607" i="3"/>
  <c r="N603" i="3"/>
  <c r="N599" i="3"/>
  <c r="N595" i="3"/>
  <c r="N591" i="3"/>
  <c r="N587" i="3"/>
  <c r="N583" i="3"/>
  <c r="N579" i="3"/>
  <c r="N575" i="3"/>
  <c r="N571" i="3"/>
  <c r="N567" i="3"/>
  <c r="N563" i="3"/>
  <c r="N559" i="3"/>
  <c r="N555" i="3"/>
  <c r="N551" i="3"/>
  <c r="N547" i="3"/>
  <c r="N543" i="3"/>
  <c r="N539" i="3"/>
  <c r="N535" i="3"/>
  <c r="N531" i="3"/>
  <c r="N527" i="3"/>
  <c r="N523" i="3"/>
  <c r="N519" i="3"/>
  <c r="N515" i="3"/>
  <c r="N511" i="3"/>
  <c r="N507" i="3"/>
  <c r="N503" i="3"/>
  <c r="N499" i="3"/>
  <c r="N495" i="3"/>
  <c r="N491" i="3"/>
  <c r="N487" i="3"/>
  <c r="N483" i="3"/>
  <c r="N479" i="3"/>
  <c r="N475" i="3"/>
  <c r="N471" i="3"/>
  <c r="N467" i="3"/>
  <c r="N463" i="3"/>
  <c r="N459" i="3"/>
  <c r="N455" i="3"/>
  <c r="N451" i="3"/>
  <c r="N447" i="3"/>
  <c r="N443" i="3"/>
  <c r="N439" i="3"/>
  <c r="N435" i="3"/>
  <c r="N431" i="3"/>
  <c r="N427" i="3"/>
  <c r="N423" i="3"/>
  <c r="N419" i="3"/>
  <c r="N415" i="3"/>
  <c r="N411" i="3"/>
  <c r="N407" i="3"/>
  <c r="N403" i="3"/>
  <c r="N399" i="3"/>
  <c r="N395" i="3"/>
  <c r="N391" i="3"/>
  <c r="N387" i="3"/>
  <c r="N383" i="3"/>
  <c r="N379" i="3"/>
  <c r="N375" i="3"/>
  <c r="N371" i="3"/>
  <c r="N367" i="3"/>
  <c r="N363" i="3"/>
  <c r="N359" i="3"/>
  <c r="N355" i="3"/>
  <c r="N351" i="3"/>
  <c r="N347" i="3"/>
  <c r="N343" i="3"/>
  <c r="N339" i="3"/>
  <c r="N335" i="3"/>
  <c r="N331" i="3"/>
  <c r="N327" i="3"/>
  <c r="N323" i="3"/>
  <c r="N319" i="3"/>
  <c r="N315" i="3"/>
  <c r="N311" i="3"/>
  <c r="N307" i="3"/>
  <c r="N303" i="3"/>
  <c r="N299" i="3"/>
  <c r="N295" i="3"/>
  <c r="N291" i="3"/>
  <c r="N287" i="3"/>
  <c r="N283" i="3"/>
  <c r="N279" i="3"/>
  <c r="N275" i="3"/>
  <c r="N271" i="3"/>
  <c r="N267" i="3"/>
  <c r="N263" i="3"/>
  <c r="N259" i="3"/>
  <c r="N255" i="3"/>
  <c r="N251" i="3"/>
  <c r="N247" i="3"/>
  <c r="N243" i="3"/>
  <c r="N239" i="3"/>
  <c r="N235" i="3"/>
  <c r="N231" i="3"/>
  <c r="N227" i="3"/>
  <c r="N223" i="3"/>
  <c r="N219" i="3"/>
  <c r="N215" i="3"/>
  <c r="N211" i="3"/>
  <c r="N207" i="3"/>
  <c r="N203" i="3"/>
  <c r="N199" i="3"/>
  <c r="N195" i="3"/>
  <c r="N191" i="3"/>
  <c r="N187" i="3"/>
  <c r="N183" i="3"/>
  <c r="N179" i="3"/>
  <c r="N175" i="3"/>
  <c r="N171" i="3"/>
  <c r="N167" i="3"/>
  <c r="N163" i="3"/>
  <c r="N159" i="3"/>
  <c r="N155" i="3"/>
  <c r="N151" i="3"/>
  <c r="N147" i="3"/>
  <c r="N143" i="3"/>
  <c r="N139" i="3"/>
  <c r="N135" i="3"/>
  <c r="N131" i="3"/>
  <c r="N127" i="3"/>
  <c r="N123" i="3"/>
  <c r="N119" i="3"/>
  <c r="N115" i="3"/>
  <c r="N111" i="3"/>
  <c r="N107" i="3"/>
  <c r="N103" i="3"/>
  <c r="N99" i="3"/>
  <c r="N95" i="3"/>
  <c r="N91" i="3"/>
  <c r="N87" i="3"/>
  <c r="N83" i="3"/>
  <c r="N79" i="3"/>
  <c r="N75" i="3"/>
  <c r="N71" i="3"/>
  <c r="N67" i="3"/>
  <c r="N63" i="3"/>
  <c r="N59" i="3"/>
  <c r="N55" i="3"/>
  <c r="N51" i="3"/>
  <c r="N47" i="3"/>
  <c r="N43" i="3"/>
  <c r="N39" i="3"/>
  <c r="N35" i="3"/>
  <c r="N31" i="3"/>
  <c r="N27" i="3"/>
  <c r="N23" i="3"/>
  <c r="N19" i="3"/>
  <c r="N15" i="3"/>
  <c r="N11" i="3"/>
  <c r="N7" i="3"/>
  <c r="N993" i="3"/>
  <c r="N977" i="3"/>
  <c r="N961" i="3"/>
  <c r="N945" i="3"/>
  <c r="N929" i="3"/>
  <c r="N913" i="3"/>
  <c r="N897" i="3"/>
  <c r="N881" i="3"/>
  <c r="N865" i="3"/>
  <c r="N849" i="3"/>
  <c r="N833" i="3"/>
  <c r="N817" i="3"/>
  <c r="N801" i="3"/>
  <c r="N785" i="3"/>
  <c r="N769" i="3"/>
  <c r="N753" i="3"/>
  <c r="N737" i="3"/>
  <c r="N721" i="3"/>
  <c r="N705" i="3"/>
  <c r="N689" i="3"/>
  <c r="N673" i="3"/>
  <c r="N657" i="3"/>
  <c r="N641" i="3"/>
  <c r="N625" i="3"/>
  <c r="N609" i="3"/>
  <c r="N593" i="3"/>
  <c r="N577" i="3"/>
  <c r="N561" i="3"/>
  <c r="N545" i="3"/>
  <c r="N529" i="3"/>
  <c r="N513" i="3"/>
  <c r="N497" i="3"/>
  <c r="N481" i="3"/>
  <c r="N465" i="3"/>
  <c r="N449" i="3"/>
  <c r="N433" i="3"/>
  <c r="N417" i="3"/>
  <c r="N401" i="3"/>
  <c r="N385" i="3"/>
  <c r="N369" i="3"/>
  <c r="N353" i="3"/>
  <c r="N337" i="3"/>
  <c r="N321" i="3"/>
  <c r="N305" i="3"/>
  <c r="N289" i="3"/>
  <c r="N273" i="3"/>
  <c r="N257" i="3"/>
  <c r="N241" i="3"/>
  <c r="N225" i="3"/>
  <c r="N209" i="3"/>
  <c r="N193" i="3"/>
  <c r="N177" i="3"/>
  <c r="N161" i="3"/>
  <c r="N145" i="3"/>
  <c r="N129" i="3"/>
  <c r="N113" i="3"/>
  <c r="N97" i="3"/>
  <c r="N81" i="3"/>
  <c r="N65" i="3"/>
  <c r="N49" i="3"/>
  <c r="N33" i="3"/>
  <c r="N17" i="3"/>
  <c r="N989" i="3"/>
  <c r="N973" i="3"/>
  <c r="N957" i="3"/>
  <c r="N941" i="3"/>
  <c r="N925" i="3"/>
  <c r="N909" i="3"/>
  <c r="N893" i="3"/>
  <c r="N877" i="3"/>
  <c r="N861" i="3"/>
  <c r="N845" i="3"/>
  <c r="N829" i="3"/>
  <c r="N813" i="3"/>
  <c r="N797" i="3"/>
  <c r="N781" i="3"/>
  <c r="N765" i="3"/>
  <c r="N749" i="3"/>
  <c r="N733" i="3"/>
  <c r="N717" i="3"/>
  <c r="N701" i="3"/>
  <c r="N685" i="3"/>
  <c r="N669" i="3"/>
  <c r="N653" i="3"/>
  <c r="N637" i="3"/>
  <c r="N621" i="3"/>
  <c r="N605" i="3"/>
  <c r="N589" i="3"/>
  <c r="N573" i="3"/>
  <c r="N557" i="3"/>
  <c r="N541" i="3"/>
  <c r="N525" i="3"/>
  <c r="N509" i="3"/>
  <c r="N493" i="3"/>
  <c r="N477" i="3"/>
  <c r="N461" i="3"/>
  <c r="N445" i="3"/>
  <c r="N429" i="3"/>
  <c r="N413" i="3"/>
  <c r="N397" i="3"/>
  <c r="N381" i="3"/>
  <c r="N365" i="3"/>
  <c r="N349" i="3"/>
  <c r="N333" i="3"/>
  <c r="N317" i="3"/>
  <c r="N301" i="3"/>
  <c r="N285" i="3"/>
  <c r="N269" i="3"/>
  <c r="N253" i="3"/>
  <c r="N237" i="3"/>
  <c r="N221" i="3"/>
  <c r="N205" i="3"/>
  <c r="N189" i="3"/>
  <c r="N173" i="3"/>
  <c r="N157" i="3"/>
  <c r="N141" i="3"/>
  <c r="N125" i="3"/>
  <c r="N109" i="3"/>
  <c r="N93" i="3"/>
  <c r="N77" i="3"/>
  <c r="N61" i="3"/>
  <c r="N45" i="3"/>
  <c r="N29" i="3"/>
  <c r="N13" i="3"/>
  <c r="N1001" i="3"/>
  <c r="N985" i="3"/>
  <c r="N969" i="3"/>
  <c r="N953" i="3"/>
  <c r="N937" i="3"/>
  <c r="N921" i="3"/>
  <c r="N905" i="3"/>
  <c r="N889" i="3"/>
  <c r="N873" i="3"/>
  <c r="N857" i="3"/>
  <c r="N841" i="3"/>
  <c r="N825" i="3"/>
  <c r="N809" i="3"/>
  <c r="N793" i="3"/>
  <c r="N777" i="3"/>
  <c r="N761" i="3"/>
  <c r="N745" i="3"/>
  <c r="N729" i="3"/>
  <c r="N713" i="3"/>
  <c r="N697" i="3"/>
  <c r="N681" i="3"/>
  <c r="N665" i="3"/>
  <c r="N649" i="3"/>
  <c r="N633" i="3"/>
  <c r="N617" i="3"/>
  <c r="N601" i="3"/>
  <c r="N585" i="3"/>
  <c r="N569" i="3"/>
  <c r="N553" i="3"/>
  <c r="N537" i="3"/>
  <c r="N521" i="3"/>
  <c r="N505" i="3"/>
  <c r="N489" i="3"/>
  <c r="N473" i="3"/>
  <c r="N457" i="3"/>
  <c r="N441" i="3"/>
  <c r="N425" i="3"/>
  <c r="N409" i="3"/>
  <c r="N393" i="3"/>
  <c r="N377" i="3"/>
  <c r="N361" i="3"/>
  <c r="N345" i="3"/>
  <c r="N329" i="3"/>
  <c r="N313" i="3"/>
  <c r="N297" i="3"/>
  <c r="N281" i="3"/>
  <c r="N265" i="3"/>
  <c r="N249" i="3"/>
  <c r="N233" i="3"/>
  <c r="N217" i="3"/>
  <c r="N201" i="3"/>
  <c r="N185" i="3"/>
  <c r="N169" i="3"/>
  <c r="N153" i="3"/>
  <c r="N137" i="3"/>
  <c r="N121" i="3"/>
  <c r="N105" i="3"/>
  <c r="N89" i="3"/>
  <c r="N73" i="3"/>
  <c r="N57" i="3"/>
  <c r="N41" i="3"/>
  <c r="N25" i="3"/>
  <c r="N9" i="3"/>
  <c r="N997" i="3"/>
  <c r="N965" i="3"/>
  <c r="N933" i="3"/>
  <c r="N901" i="3"/>
  <c r="N869" i="3"/>
  <c r="N837" i="3"/>
  <c r="N805" i="3"/>
  <c r="N773" i="3"/>
  <c r="N741" i="3"/>
  <c r="N709" i="3"/>
  <c r="N677" i="3"/>
  <c r="N645" i="3"/>
  <c r="N613" i="3"/>
  <c r="N581" i="3"/>
  <c r="N549" i="3"/>
  <c r="N517" i="3"/>
  <c r="N485" i="3"/>
  <c r="N453" i="3"/>
  <c r="N421" i="3"/>
  <c r="N389" i="3"/>
  <c r="N357" i="3"/>
  <c r="N325" i="3"/>
  <c r="N293" i="3"/>
  <c r="N261" i="3"/>
  <c r="N229" i="3"/>
  <c r="N197" i="3"/>
  <c r="N165" i="3"/>
  <c r="N133" i="3"/>
  <c r="N117" i="3"/>
  <c r="N69" i="3"/>
  <c r="N37" i="3"/>
  <c r="N6" i="3"/>
  <c r="N981" i="3"/>
  <c r="N949" i="3"/>
  <c r="N917" i="3"/>
  <c r="N885" i="3"/>
  <c r="N853" i="3"/>
  <c r="N821" i="3"/>
  <c r="N789" i="3"/>
  <c r="N757" i="3"/>
  <c r="N725" i="3"/>
  <c r="N693" i="3"/>
  <c r="N661" i="3"/>
  <c r="N629" i="3"/>
  <c r="N597" i="3"/>
  <c r="N565" i="3"/>
  <c r="N533" i="3"/>
  <c r="N501" i="3"/>
  <c r="N469" i="3"/>
  <c r="N437" i="3"/>
  <c r="N405" i="3"/>
  <c r="N373" i="3"/>
  <c r="N341" i="3"/>
  <c r="N309" i="3"/>
  <c r="N277" i="3"/>
  <c r="N245" i="3"/>
  <c r="N213" i="3"/>
  <c r="N181" i="3"/>
  <c r="N149" i="3"/>
  <c r="N101" i="3"/>
  <c r="N85" i="3"/>
  <c r="N53" i="3"/>
  <c r="N21" i="3"/>
  <c r="B38" i="43" l="1"/>
  <c r="P4" i="3"/>
  <c r="K4" i="3"/>
  <c r="O4" i="3"/>
  <c r="Y4" i="3"/>
  <c r="Z4" i="3"/>
  <c r="L4" i="3"/>
  <c r="M4" i="3"/>
  <c r="N4" i="3"/>
  <c r="Q4" i="3"/>
  <c r="R4" i="3"/>
  <c r="W4" i="3"/>
  <c r="V4" i="3"/>
  <c r="U4" i="3"/>
  <c r="T4" i="3"/>
  <c r="S4" i="3"/>
  <c r="X4" i="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O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<sst xmlns="http://schemas.openxmlformats.org/spreadsheetml/2006/main" count="450" uniqueCount="229">
  <si>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</si>
  <si>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</si>
  <si>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</si>
  <si>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</si>
  <si>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</si>
  <si>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</si>
  <si>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</si>
  <si>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</si>
  <si>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</si>
  <si>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</si>
  <si>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</si>
  <si>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</si>
  <si>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</si>
  <si>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</si>
  <si>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</si>
  <si>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</si>
  <si>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</si>
  <si>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</si>
  <si>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</si>
  <si>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</si>
  <si>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</si>
  <si>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</si>
  <si>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</si>
  <si>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</si>
  <si>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</si>
  <si>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</si>
  <si>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</si>
  <si>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</si>
  <si>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</si>
  <si>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</si>
  <si>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</si>
  <si>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</si>
  <si>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</si>
  <si>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</si>
  <si>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</si>
  <si>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</si>
  <si>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</si>
  <si>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</si>
  <si>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</si>
  <si>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</si>
  <si>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</si>
  <si>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</si>
  <si>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</si>
  <si>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</si>
  <si>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</si>
  <si>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</si>
  <si>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</si>
  <si>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</si>
  <si>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</si>
  <si>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</si>
  <si>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Miracema</t>
  </si>
  <si>
    <t>dois Irmaos do Tocantins</t>
  </si>
  <si>
    <t>A.C.E. COL PRES. CASTELO BRANCO</t>
  </si>
  <si>
    <t>01034882000179</t>
  </si>
  <si>
    <t>0862</t>
  </si>
  <si>
    <t>68950</t>
  </si>
  <si>
    <t>ASSOC. DE APOIO A ESCOLA ESPECIAL CLOVIS DE ASSIS</t>
  </si>
  <si>
    <t>09327390000183</t>
  </si>
  <si>
    <t>211087</t>
  </si>
  <si>
    <t>Lizarda</t>
  </si>
  <si>
    <t>A. ESC. COMUN. DO COL. EST. 31 DE MARCO</t>
  </si>
  <si>
    <t>01232873000192</t>
  </si>
  <si>
    <t>68969</t>
  </si>
  <si>
    <t>ESCOLA ESTADUAL AYRTON SENNA</t>
  </si>
  <si>
    <t>11406586000105</t>
  </si>
  <si>
    <t>270393</t>
  </si>
  <si>
    <t>Miracema do Tocantins</t>
  </si>
  <si>
    <t>ASSOCIAÇÃO DE APOIO ÀS ESCOLAS INDIGENAS XERENTE</t>
  </si>
  <si>
    <t>07671600000120</t>
  </si>
  <si>
    <t>185884</t>
  </si>
  <si>
    <t>ASSOC ESC COM COL EST FILOMENA MOREIRA DE PAULA</t>
  </si>
  <si>
    <t>00900200000109</t>
  </si>
  <si>
    <t>97527</t>
  </si>
  <si>
    <t>ASS. DE APOIO AO CEM SANTA TEREZINHA</t>
  </si>
  <si>
    <t>01085211000137</t>
  </si>
  <si>
    <t>244589</t>
  </si>
  <si>
    <t>SOCIEDADE EDUCADORA FEMININA/COLÉGIO TOCANTINS</t>
  </si>
  <si>
    <t>61373585000694</t>
  </si>
  <si>
    <t>69086</t>
  </si>
  <si>
    <t>A.P.A.DOS EXECEPCIONAIS DE MIRACEMA - APAE</t>
  </si>
  <si>
    <t>38146965000160</t>
  </si>
  <si>
    <t>93734</t>
  </si>
  <si>
    <t>A.COM.DA ESC. EST. JOSE D. VASCONCELOS</t>
  </si>
  <si>
    <t>01068379000134</t>
  </si>
  <si>
    <t>69035</t>
  </si>
  <si>
    <t>A.P.M.A. ESC. CONV. ONESINA BANDEIRA</t>
  </si>
  <si>
    <t>01133700000117</t>
  </si>
  <si>
    <t>69051</t>
  </si>
  <si>
    <t>A.A.  DA ESCOLA ESTADUAL OSCAR SARDINHA</t>
  </si>
  <si>
    <t>01197158000166</t>
  </si>
  <si>
    <t>6906X</t>
  </si>
  <si>
    <t>Miranorte</t>
  </si>
  <si>
    <t>ASSOC. COM. DO COL. RUI BRASIL CAVALCANTE</t>
  </si>
  <si>
    <t>01112765000186</t>
  </si>
  <si>
    <t>4560</t>
  </si>
  <si>
    <t>78905</t>
  </si>
  <si>
    <t>A.A. C.E.NOSSA SENHORA DA PROVIDENCIA</t>
  </si>
  <si>
    <t>01190186000151</t>
  </si>
  <si>
    <t>7778X</t>
  </si>
  <si>
    <t>A.A ESC. ESPECIAL CORAÇÃO DE MARIA</t>
  </si>
  <si>
    <t>07968866000130</t>
  </si>
  <si>
    <t>265217</t>
  </si>
  <si>
    <t>Rio dos Bois</t>
  </si>
  <si>
    <t>A.A. ESC EST DR. VALDECY PINHEIRO</t>
  </si>
  <si>
    <t>01079937000167</t>
  </si>
  <si>
    <t>69116</t>
  </si>
  <si>
    <t>Tocantinia</t>
  </si>
  <si>
    <t>ASS. APOIO AO CEM XERENTE WARA</t>
  </si>
  <si>
    <t>07674098000101</t>
  </si>
  <si>
    <t>183407</t>
  </si>
  <si>
    <t>A.COM.DO COLEGIO FREI ANTONIO CONVENIADO</t>
  </si>
  <si>
    <t>01066427000155</t>
  </si>
  <si>
    <t>68985</t>
  </si>
  <si>
    <t>ASSOC. DE PAIS E MEST. DO COL. EST. BATISTA PROFª BEATRIZ R. DA SILVA</t>
  </si>
  <si>
    <t>15132209000186</t>
  </si>
  <si>
    <t>277037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</si>
  <si>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</si>
  <si>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</si>
  <si>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</si>
  <si>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</si>
  <si>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</si>
  <si>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</si>
  <si>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</si>
  <si>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5º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</si>
  <si>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</si>
  <si>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</si>
  <si>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</si>
  <si>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</si>
  <si>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</si>
  <si>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</si>
  <si>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</si>
  <si>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</si>
  <si>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</si>
  <si>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</si>
  <si>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</si>
  <si>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</si>
  <si>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EJA 1º E 2º SEGM</t>
  </si>
  <si>
    <t>VALOR TOTAL DO REPASSE (em R$)</t>
  </si>
  <si>
    <t>BASE TRANSPOSIÇÃO PNAE TESOURO PARCIAL                       1º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</si>
  <si>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</si>
  <si>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</si>
  <si>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</si>
  <si>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</si>
  <si>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</si>
  <si>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</si>
  <si>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1º REPASSE JOVEM AÇÃO 2023</t>
  </si>
  <si>
    <t>VALOR TOTAL</t>
  </si>
  <si>
    <t>FUND/MÉDIO
Quilombola 
(parcial)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</si>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</sst>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);\(#,##0\)"/>
    <numFmt numFmtId="165" formatCode="#,##0.00_);\(#,##0.00\)"/>
    <numFmt numFmtId="166" formatCode="#,00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5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0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0" fontId="28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8" fillId="0" borderId="53" xfId="0" applyFont="1" applyBorder="1"/>
    <xf numFmtId="0" fontId="28" fillId="0" borderId="53" xfId="0" applyFont="1" applyBorder="1" applyAlignment="1">
      <alignment horizontal="center"/>
    </xf>
    <xf numFmtId="4" fontId="28" fillId="0" borderId="53" xfId="0" applyNumberFormat="1" applyFont="1" applyBorder="1"/>
    <xf numFmtId="0" fontId="28" fillId="0" borderId="54" xfId="0" applyFont="1" applyBorder="1"/>
    <xf numFmtId="0" fontId="28" fillId="0" borderId="54" xfId="0" applyFont="1" applyBorder="1" applyAlignment="1">
      <alignment horizontal="center"/>
    </xf>
    <xf numFmtId="4" fontId="28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4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8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0" fontId="23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3" fillId="5" borderId="52" xfId="0" applyFont="1" applyFill="1" applyBorder="1"/>
    <xf numFmtId="0" fontId="2" fillId="0" borderId="0" xfId="0" applyFont="1" applyAlignment="1">
      <alignment horizontal="center" wrapText="1"/>
    </xf>
    <xf numFmtId="0" fontId="23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3" fillId="5" borderId="52" xfId="0" applyFont="1" applyFill="1" applyBorder="1" applyAlignment="1">
      <alignment vertical="center"/>
    </xf>
    <xf numFmtId="0" fontId="37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4" fillId="0" borderId="58" xfId="0" applyNumberFormat="1" applyFont="1" applyBorder="1" applyAlignment="1">
      <alignment horizontal="center" textRotation="90"/>
    </xf>
    <xf numFmtId="49" fontId="24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9" fillId="16" borderId="61" xfId="0" applyFont="1" applyFill="1" applyBorder="1" applyAlignment="1">
      <alignment wrapText="1"/>
    </xf>
    <xf numFmtId="0" fontId="39" fillId="16" borderId="61" xfId="0" applyFont="1" applyFill="1" applyBorder="1" applyAlignment="1">
      <alignment horizontal="center" wrapText="1"/>
    </xf>
    <xf numFmtId="0" fontId="40" fillId="0" borderId="65" xfId="0" applyFont="1" applyBorder="1"/>
    <xf numFmtId="0" fontId="4" fillId="0" borderId="65" xfId="0" applyFont="1" applyBorder="1"/>
    <xf numFmtId="0" fontId="40" fillId="0" borderId="65" xfId="0" applyFont="1" applyBorder="1" applyAlignment="1">
      <alignment horizontal="center"/>
    </xf>
    <xf numFmtId="4" fontId="40" fillId="0" borderId="65" xfId="0" applyNumberFormat="1" applyFont="1" applyBorder="1"/>
    <xf numFmtId="0" fontId="2" fillId="0" borderId="65" xfId="0" applyFont="1" applyBorder="1"/>
    <xf numFmtId="0" fontId="28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6" xfId="0" applyFont="1" applyBorder="1" applyAlignment="1">
      <alignment vertical="center"/>
    </xf>
    <xf numFmtId="0" fontId="55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3" fillId="13" borderId="0" xfId="0" applyFont="1" applyFill="1" applyAlignment="1"/>
    <xf numFmtId="0" fontId="3" fillId="36" borderId="69" xfId="0" applyFont="1" applyFill="1" applyBorder="1" applyAlignment="1"/>
    <xf numFmtId="0" fontId="3" fillId="36" borderId="69" xfId="0" applyFont="1" applyFill="1" applyBorder="1" applyAlignment="1">
      <alignment horizontal="center"/>
    </xf>
    <xf numFmtId="0" fontId="3" fillId="37" borderId="4" xfId="0" applyFont="1" applyFill="1" applyBorder="1" applyAlignment="1"/>
    <xf numFmtId="0" fontId="3" fillId="38" borderId="39" xfId="0" applyFont="1" applyFill="1" applyBorder="1" applyAlignment="1"/>
    <xf numFmtId="0" fontId="2" fillId="0" borderId="7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2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73" xfId="0" applyFont="1" applyBorder="1"/>
    <xf numFmtId="0" fontId="58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59" fillId="0" borderId="79" xfId="0" applyFont="1" applyBorder="1" applyAlignment="1"/>
    <xf numFmtId="0" fontId="2" fillId="0" borderId="79" xfId="0" applyFont="1" applyBorder="1"/>
    <xf numFmtId="0" fontId="2" fillId="0" borderId="8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1" xfId="0" applyFont="1" applyFill="1" applyBorder="1" applyAlignment="1"/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top"/>
    </xf>
    <xf numFmtId="0" fontId="2" fillId="19" borderId="82" xfId="0" applyFont="1" applyFill="1" applyBorder="1"/>
    <xf numFmtId="0" fontId="28" fillId="19" borderId="82" xfId="0" applyFont="1" applyFill="1" applyBorder="1"/>
    <xf numFmtId="49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962025</xdr:colOff>
      <xdr:row>0</xdr:row>
      <xdr:rowOff>85725</xdr:rowOff>
    </xdr:from>
    <xdr:ext cx="2638425" cy="7905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09950" y="8572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28575</xdr:rowOff>
    </xdr:from>
    <xdr:ext cx="2638425" cy="7524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2105025</xdr:colOff>
      <xdr:row>0</xdr:row>
      <xdr:rowOff>47625</xdr:rowOff>
    </xdr:from>
    <xdr:ext cx="2638425" cy="69532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4"/>
      <c r="B1" s="363"/>
      <c r="C1" s="363"/>
      <c r="D1" s="3"/>
      <c r="E1" s="4"/>
      <c r="F1" s="4"/>
      <c r="G1" s="4"/>
      <c r="H1" s="4" t="e">
        <f t="shared" ref="H1:Z1" si="0">SUBSTITUTE(H4,".",",")</f>
        <v>#REF!</v>
      </c>
      <c r="I1" s="4" t="e">
        <f t="shared" si="0"/>
        <v>#REF!</v>
      </c>
      <c r="J1" s="4" t="e">
        <f t="shared" si="0"/>
        <v>#REF!</v>
      </c>
      <c r="K1" s="4" t="e">
        <f t="shared" si="0"/>
        <v>#REF!</v>
      </c>
      <c r="L1" s="4" t="e">
        <f t="shared" si="0"/>
        <v>#REF!</v>
      </c>
      <c r="M1" s="4" t="e">
        <f t="shared" si="0"/>
        <v>#REF!</v>
      </c>
      <c r="N1" s="4" t="e">
        <f t="shared" si="0"/>
        <v>#REF!</v>
      </c>
      <c r="O1" s="4" t="e">
        <f t="shared" si="0"/>
        <v>#REF!</v>
      </c>
      <c r="P1" s="4" t="e">
        <f t="shared" si="0"/>
        <v>#REF!</v>
      </c>
      <c r="Q1" s="4" t="e">
        <f t="shared" si="0"/>
        <v>#REF!</v>
      </c>
      <c r="R1" s="4" t="e">
        <f t="shared" si="0"/>
        <v>#REF!</v>
      </c>
      <c r="S1" s="4" t="e">
        <f t="shared" si="0"/>
        <v>#REF!</v>
      </c>
      <c r="T1" s="4" t="e">
        <f t="shared" si="0"/>
        <v>#REF!</v>
      </c>
      <c r="U1" s="4" t="e">
        <f t="shared" si="0"/>
        <v>#REF!</v>
      </c>
      <c r="V1" s="4" t="e">
        <f t="shared" si="0"/>
        <v>#REF!</v>
      </c>
      <c r="W1" s="4" t="e">
        <f t="shared" si="0"/>
        <v>#REF!</v>
      </c>
      <c r="X1" s="4" t="e">
        <f t="shared" si="0"/>
        <v>#REF!</v>
      </c>
      <c r="Y1" s="4" t="e">
        <f t="shared" si="0"/>
        <v>#REF!</v>
      </c>
      <c r="Z1" s="4" t="e">
        <f t="shared" si="0"/>
        <v>#REF!</v>
      </c>
      <c r="AA1" s="3"/>
      <c r="AB1" s="3"/>
      <c r="AC1" s="3"/>
    </row>
    <row r="2" spans="1:29" ht="34.5" customHeight="1">
      <c r="A2" s="365"/>
      <c r="B2" s="363"/>
      <c r="C2" s="363"/>
      <c r="D2" s="363"/>
      <c r="E2" s="363"/>
      <c r="F2" s="363"/>
      <c r="G2" s="363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118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3759</v>
      </c>
      <c r="J3" s="8">
        <f t="shared" ca="1" si="1"/>
        <v>1236879</v>
      </c>
      <c r="K3" s="8">
        <f t="shared" ca="1" si="1"/>
        <v>737352</v>
      </c>
      <c r="L3" s="8">
        <f t="shared" ca="1" si="1"/>
        <v>15855</v>
      </c>
      <c r="M3" s="8">
        <f t="shared" ca="1" si="1"/>
        <v>0</v>
      </c>
      <c r="N3" s="8">
        <f t="shared" ca="1" si="1"/>
        <v>0</v>
      </c>
      <c r="O3" s="8">
        <f t="shared" ca="1" si="1"/>
        <v>123690</v>
      </c>
      <c r="P3" s="8">
        <f t="shared" ca="1" si="1"/>
        <v>102249</v>
      </c>
      <c r="Q3" s="8">
        <f t="shared" ca="1" si="1"/>
        <v>1071882</v>
      </c>
      <c r="R3" s="8">
        <f t="shared" ca="1" si="1"/>
        <v>114150.40000000001</v>
      </c>
      <c r="S3" s="8">
        <f t="shared" ca="1" si="1"/>
        <v>516968.39999999892</v>
      </c>
      <c r="T3" s="8">
        <f t="shared" ca="1" si="1"/>
        <v>160608</v>
      </c>
      <c r="U3" s="8">
        <f t="shared" ca="1" si="1"/>
        <v>0</v>
      </c>
      <c r="V3" s="8">
        <f t="shared" ca="1" si="1"/>
        <v>201772.79999999999</v>
      </c>
      <c r="W3" s="8">
        <f t="shared" ca="1" si="1"/>
        <v>49566.599999999919</v>
      </c>
      <c r="X3" s="8">
        <f t="shared" ca="1" si="1"/>
        <v>2373.6000000000004</v>
      </c>
      <c r="Y3" s="8">
        <f t="shared" ca="1" si="1"/>
        <v>15828.599999999988</v>
      </c>
      <c r="Z3" s="8">
        <f t="shared" ca="1" si="1"/>
        <v>65867.999999999913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e">
        <f>VLOOKUP(H5,iParam,9,0)</f>
        <v>#REF!</v>
      </c>
      <c r="I4" s="10" t="e">
        <f>VLOOKUP(I5,iParam,9,0)</f>
        <v>#REF!</v>
      </c>
      <c r="J4" s="10" t="e">
        <f>VLOOKUP(J5,iParam,9,0)</f>
        <v>#REF!</v>
      </c>
      <c r="K4" s="10" t="e">
        <f>VLOOKUP(K5,iParam,9,0)</f>
        <v>#REF!</v>
      </c>
      <c r="L4" s="10" t="e">
        <f>VLOOKUP(L5,iParam,9,0)</f>
        <v>#REF!</v>
      </c>
      <c r="M4" s="10" t="e">
        <f>VLOOKUP(N5,iParam,9,0)</f>
        <v>#REF!</v>
      </c>
      <c r="N4" s="10" t="e">
        <f t="shared" ref="N4:Z4" si="2">VLOOKUP(N5,iParam,9,0)</f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1" t="e">
        <f t="shared" si="2"/>
        <v>#REF!</v>
      </c>
      <c r="S4" s="10" t="e">
        <f t="shared" si="2"/>
        <v>#REF!</v>
      </c>
      <c r="T4" s="10" t="e">
        <f t="shared" si="2"/>
        <v>#REF!</v>
      </c>
      <c r="U4" s="10" t="e">
        <f t="shared" si="2"/>
        <v>#REF!</v>
      </c>
      <c r="V4" s="10" t="e">
        <f t="shared" si="2"/>
        <v>#REF!</v>
      </c>
      <c r="W4" s="12" t="e">
        <f t="shared" si="2"/>
        <v>#REF!</v>
      </c>
      <c r="X4" s="12" t="e">
        <f t="shared" si="2"/>
        <v>#REF!</v>
      </c>
      <c r="Y4" s="12" t="e">
        <f t="shared" si="2"/>
        <v>#REF!</v>
      </c>
      <c r="Z4" s="12" t="e">
        <f t="shared" si="2"/>
        <v>#REF!</v>
      </c>
    </row>
    <row r="5" spans="1:29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119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  <c r="U5" s="28" t="s">
        <v>21</v>
      </c>
      <c r="V5" s="29" t="s">
        <v>22</v>
      </c>
      <c r="W5" s="2" t="s">
        <v>120</v>
      </c>
      <c r="X5" s="2" t="s">
        <v>28</v>
      </c>
      <c r="Y5" s="2" t="s">
        <v>29</v>
      </c>
      <c r="Z5" s="2" t="s">
        <v>30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,1)"),"Araguaina")</f>
        <v>Araguaina</v>
      </c>
      <c r="B6" s="31" t="str">
        <f ca="1">IFERROR(__xludf.DUMMYFUNCTION("""COMPUTED_VALUE"""),"Ananas")</f>
        <v>Ananas</v>
      </c>
      <c r="C6" s="31" t="str">
        <f ca="1">IFERROR(__xludf.DUMMYFUNCTION("""COMPUTED_VALUE"""),"ASSOC. DE APOIO DO CENTRO DE ENSINO MÉDIO CABO APARICIO ARAÚJO PAZ")</f>
        <v>ASSOC. DE APOIO DO CENTRO DE ENSINO MÉDIO CABO APARICIO ARAÚJO PAZ</v>
      </c>
      <c r="D6" s="31" t="str">
        <f ca="1">IFERROR(__xludf.DUMMYFUNCTION("""COMPUTED_VALUE"""),"05537116000188")</f>
        <v>05537116000188</v>
      </c>
      <c r="E6" s="32" t="str">
        <f ca="1">IFERROR(__xludf.DUMMYFUNCTION("""COMPUTED_VALUE"""),"001")</f>
        <v>001</v>
      </c>
      <c r="F6" s="31" t="str">
        <f ca="1">IFERROR(__xludf.DUMMYFUNCTION("""COMPUTED_VALUE"""),"3973")</f>
        <v>3973</v>
      </c>
      <c r="G6" s="31" t="str">
        <f ca="1">IFERROR(__xludf.DUMMYFUNCTION("""COMPUTED_VALUE"""),"114510")</f>
        <v>114510</v>
      </c>
      <c r="H6" s="31" t="str">
        <f ca="1">IFERROR(__xludf.DUMMYFUNCTION("""COMPUTED_VALUE"""),"product(021())")</f>
        <v>product(021())</v>
      </c>
      <c r="I6" s="31" t="str">
        <f ca="1">IFERROR(__xludf.DUMMYFUNCTION("""COMPUTED_VALUE"""),"product(021())")</f>
        <v>product(021())</v>
      </c>
      <c r="J6" s="31" t="str">
        <f ca="1">IFERROR(__xludf.DUMMYFUNCTION("""COMPUTED_VALUE"""),"product(021())")</f>
        <v>product(021())</v>
      </c>
      <c r="K6" s="31" t="str">
        <f ca="1">IFERROR(__xludf.DUMMYFUNCTION("""COMPUTED_VALUE"""),"product(078.4())")</f>
        <v>product(078.4())</v>
      </c>
      <c r="L6" s="31" t="str">
        <f ca="1">IFERROR(__xludf.DUMMYFUNCTION("""COMPUTED_VALUE"""),"product(021())")</f>
        <v>product(021())</v>
      </c>
      <c r="M6" s="31" t="str">
        <f ca="1">IFERROR(__xludf.DUMMYFUNCTION("""COMPUTED_VALUE"""),"product(078.4())")</f>
        <v>product(078.4())</v>
      </c>
      <c r="N6" s="31" t="str">
        <f ca="1">IFERROR(__xludf.DUMMYFUNCTION("""COMPUTED_VALUE"""),"product(078.4())")</f>
        <v>product(078.4())</v>
      </c>
      <c r="O6" s="31" t="str">
        <f ca="1">IFERROR(__xludf.DUMMYFUNCTION("""COMPUTED_VALUE"""),"product(021())")</f>
        <v>product(021())</v>
      </c>
      <c r="P6" s="31" t="str">
        <f ca="1">IFERROR(__xludf.DUMMYFUNCTION("""COMPUTED_VALUE"""),"product(021())")</f>
        <v>product(021())</v>
      </c>
      <c r="Q6" s="31" t="str">
        <f ca="1">IFERROR(__xludf.DUMMYFUNCTION("""COMPUTED_VALUE"""),"product(39421())")</f>
        <v>product(39421())</v>
      </c>
      <c r="R6" s="31" t="str">
        <f ca="1">IFERROR(__xludf.DUMMYFUNCTION("""COMPUTED_VALUE"""),"product(078.4())")</f>
        <v>product(078.4())</v>
      </c>
      <c r="S6" s="31" t="str">
        <f ca="1">IFERROR(__xludf.DUMMYFUNCTION("""COMPUTED_VALUE"""),"product(080.6())")</f>
        <v>product(080.6())</v>
      </c>
      <c r="T6" s="31" t="str">
        <f ca="1">IFERROR(__xludf.DUMMYFUNCTION("""COMPUTED_VALUE"""),"product(021())")</f>
        <v>product(021())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IFERROR(__xludf.DUMMYFUNCTION("""COMPUTED_VALUE"""),"product(0148.8())")</f>
        <v>product(0148.8())</v>
      </c>
      <c r="W6" s="31" t="str">
        <f ca="1">IFERROR(__xludf.DUMMYFUNCTION("""COMPUTED_VALUE"""),"product(120.6())")</f>
        <v>product(120.6())</v>
      </c>
      <c r="X6" s="31" t="str">
        <f ca="1">IFERROR(__xludf.DUMMYFUNCTION("""COMPUTED_VALUE"""),"product(197.8())")</f>
        <v>product(197.8())</v>
      </c>
      <c r="Y6" s="31" t="str">
        <f ca="1">IFERROR(__xludf.DUMMYFUNCTION("""COMPUTED_VALUE"""),"product(170.2())")</f>
        <v>product(170.2())</v>
      </c>
      <c r="Z6" s="31" t="str">
        <f ca="1">IFERROR(__xludf.DUMMYFUNCTION("""COMPUTED_VALUE"""),"product(99.8())")</f>
        <v>product(99.8())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IFERROR(__xludf.DUMMYFUNCTION("""COMPUTED_VALUE"""),"ASS. APOIO COL. EST. GETULIO VARGAS")</f>
        <v>ASS. APOIO COL. EST. GETULIO VARGAS</v>
      </c>
      <c r="D7" s="36" t="str">
        <f ca="1">IFERROR(__xludf.DUMMYFUNCTION("""COMPUTED_VALUE"""),"01296368000101")</f>
        <v>01296368000101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IFERROR(__xludf.DUMMYFUNCTION("""COMPUTED_VALUE"""),"55778")</f>
        <v>55778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IFERROR(__xludf.DUMMYFUNCTION("""COMPUTED_VALUE"""),7077)</f>
        <v>7077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IFERROR(__xludf.DUMMYFUNCTION("""COMPUTED_VALUE"""),294)</f>
        <v>294</v>
      </c>
      <c r="Q7" s="38">
        <f ca="1">IFERROR(__xludf.DUMMYFUNCTION("""COMPUTED_VALUE"""),0)</f>
        <v>0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IFERROR(__xludf.DUMMYFUNCTION("""COMPUTED_VALUE"""),525)</f>
        <v>525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>
        <f ca="1">IFERROR(__xludf.DUMMYFUNCTION("""COMPUTED_VALUE"""),0)</f>
        <v>0</v>
      </c>
      <c r="X7" s="38">
        <f ca="1">IFERROR(__xludf.DUMMYFUNCTION("""COMPUTED_VALUE"""),0)</f>
        <v>0</v>
      </c>
      <c r="Y7" s="38">
        <f ca="1">IFERROR(__xludf.DUMMYFUNCTION("""COMPUTED_VALUE"""),0)</f>
        <v>0</v>
      </c>
      <c r="Z7" s="38">
        <f ca="1">IFERROR(__xludf.DUMMYFUNCTION("""COMPUTED_VALUE"""),0)</f>
        <v>0</v>
      </c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IFERROR(__xludf.DUMMYFUNCTION("""COMPUTED_VALUE"""),"A.A. ESC. EST. PRES. COSTA E SILVA")</f>
        <v>A.A. ESC. EST. PRES. COSTA E SILVA</v>
      </c>
      <c r="D8" s="41" t="str">
        <f ca="1">IFERROR(__xludf.DUMMYFUNCTION("""COMPUTED_VALUE"""),"02026325000179")</f>
        <v>02026325000179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IFERROR(__xludf.DUMMYFUNCTION("""COMPUTED_VALUE"""),"55786")</f>
        <v>55786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IFERROR(__xludf.DUMMYFUNCTION("""COMPUTED_VALUE"""),1071)</f>
        <v>1071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IFERROR(__xludf.DUMMYFUNCTION("""COMPUTED_VALUE"""),0)</f>
        <v>0</v>
      </c>
      <c r="Q8" s="43">
        <f ca="1">IFERROR(__xludf.DUMMYFUNCTION("""COMPUTED_VALUE"""),735)</f>
        <v>735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IFERROR(__xludf.DUMMYFUNCTION("""COMPUTED_VALUE"""),0)</f>
        <v>0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DA ESC.PAR.SAO PEDRO/CONVENIADA")</f>
        <v>A.A. DA ESC.PAR.SAO PEDRO/CONVENIADA</v>
      </c>
      <c r="D9" s="36" t="str">
        <f ca="1">IFERROR(__xludf.DUMMYFUNCTION("""COMPUTED_VALUE"""),"01911081000144")</f>
        <v>01911081000144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IFERROR(__xludf.DUMMYFUNCTION("""COMPUTED_VALUE"""),"67350")</f>
        <v>67350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IFERROR(__xludf.DUMMYFUNCTION("""COMPUTED_VALUE"""),7035)</f>
        <v>7035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IFERROR(__xludf.DUMMYFUNCTION("""COMPUTED_VALUE"""),420)</f>
        <v>420</v>
      </c>
      <c r="Q9" s="38">
        <f ca="1">IFERROR(__xludf.DUMMYFUNCTION("""COMPUTED_VALUE"""),0)</f>
        <v>0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IFERROR(__xludf.DUMMYFUNCTION("""COMPUTED_VALUE"""),"Aragominas")</f>
        <v>Aragominas</v>
      </c>
      <c r="C10" s="40" t="str">
        <f ca="1">IFERROR(__xludf.DUMMYFUNCTION("""COMPUTED_VALUE"""),"ASSOCIAÇÃO DE APOIO DO COL. EST.GETULIO VARGAS")</f>
        <v>ASSOCIAÇÃO DE APOIO DO COL. EST.GETULIO VARGAS</v>
      </c>
      <c r="D10" s="41" t="str">
        <f ca="1">IFERROR(__xludf.DUMMYFUNCTION("""COMPUTED_VALUE"""),"01918914000107")</f>
        <v>01918914000107</v>
      </c>
      <c r="E10" s="42" t="str">
        <f ca="1">IFERROR(__xludf.DUMMYFUNCTION("""COMPUTED_VALUE"""),"001")</f>
        <v>001</v>
      </c>
      <c r="F10" s="43" t="str">
        <f ca="1">IFERROR(__xludf.DUMMYFUNCTION("""COMPUTED_VALUE"""),"0638")</f>
        <v>0638</v>
      </c>
      <c r="G10" s="43" t="str">
        <f ca="1">IFERROR(__xludf.DUMMYFUNCTION("""COMPUTED_VALUE"""),"83224")</f>
        <v>83224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IFERROR(__xludf.DUMMYFUNCTION("""COMPUTED_VALUE"""),3276)</f>
        <v>3276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IFERROR(__xludf.DUMMYFUNCTION("""COMPUTED_VALUE"""),231)</f>
        <v>231</v>
      </c>
      <c r="Q10" s="43">
        <f ca="1">IFERROR(__xludf.DUMMYFUNCTION("""COMPUTED_VALUE"""),2310)</f>
        <v>2310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IFERROR(__xludf.DUMMYFUNCTION("""COMPUTED_VALUE"""),"A.A.DA ESCOLA EST. JOSÉ DOMINGOS CARVALHO BARBOSA")</f>
        <v>A.A.DA ESCOLA EST. JOSÉ DOMINGOS CARVALHO BARBOSA</v>
      </c>
      <c r="D11" s="36" t="str">
        <f ca="1">IFERROR(__xludf.DUMMYFUNCTION("""COMPUTED_VALUE"""),"43927472000105")</f>
        <v>43927472000105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IFERROR(__xludf.DUMMYFUNCTION("""COMPUTED_VALUE"""),"1098985")</f>
        <v>1098985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IFERROR(__xludf.DUMMYFUNCTION("""COMPUTED_VALUE"""),0)</f>
        <v>0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IFERROR(__xludf.DUMMYFUNCTION("""COMPUTED_VALUE"""),0)</f>
        <v>0</v>
      </c>
      <c r="Q11" s="38">
        <f ca="1">IFERROR(__xludf.DUMMYFUNCTION("""COMPUTED_VALUE"""),0)</f>
        <v>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IFERROR(__xludf.DUMMYFUNCTION("""COMPUTED_VALUE"""),"Araguaina")</f>
        <v>Araguaina</v>
      </c>
      <c r="C12" s="40" t="str">
        <f ca="1">IFERROR(__xludf.DUMMYFUNCTION("""COMPUTED_VALUE"""),"A.A. DAS ESCOLAS ISOLADAS E REUNIDAS DA DRE ARAGUAINA")</f>
        <v>A.A. DAS ESCOLAS ISOLADAS E REUNIDAS DA DRE ARAGUAINA</v>
      </c>
      <c r="D12" s="41" t="str">
        <f ca="1">IFERROR(__xludf.DUMMYFUNCTION("""COMPUTED_VALUE"""),"02629601000193")</f>
        <v>02629601000193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IFERROR(__xludf.DUMMYFUNCTION("""COMPUTED_VALUE"""),"352403")</f>
        <v>352403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IFERROR(__xludf.DUMMYFUNCTION("""COMPUTED_VALUE"""),10458)</f>
        <v>10458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/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DO CAIC JORGE HUMBERTO CAMARGO")</f>
        <v>A.A. DO CAIC JORGE HUMBERTO CAMARGO</v>
      </c>
      <c r="D13" s="36" t="str">
        <f ca="1">IFERROR(__xludf.DUMMYFUNCTION("""COMPUTED_VALUE"""),"01071395000186")</f>
        <v>01071395000186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IFERROR(__xludf.DUMMYFUNCTION("""COMPUTED_VALUE"""),"55099X")</f>
        <v>55099X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IFERROR(__xludf.DUMMYFUNCTION("""COMPUTED_VALUE"""),55272)</f>
        <v>55272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IFERROR(__xludf.DUMMYFUNCTION("""COMPUTED_VALUE"""),0)</f>
        <v>0</v>
      </c>
      <c r="P13" s="38">
        <f ca="1">IFERROR(__xludf.DUMMYFUNCTION("""COMPUTED_VALUE"""),441)</f>
        <v>441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IFERROR(__xludf.DUMMYFUNCTION("""COMPUTED_VALUE"""),4690.59999999999)</f>
        <v>4690.5999999999904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IFERROR(__xludf.DUMMYFUNCTION("""COMPUTED_VALUE"""),"ASSOC. A. COL. EST. BENJAMIM JOSÉ DE ALMEIDA")</f>
        <v>ASSOC. A. COL. EST. BENJAMIM JOSÉ DE ALMEIDA</v>
      </c>
      <c r="D14" s="41" t="str">
        <f ca="1">IFERROR(__xludf.DUMMYFUNCTION("""COMPUTED_VALUE"""),"01136023000190")</f>
        <v>01136023000190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IFERROR(__xludf.DUMMYFUNCTION("""COMPUTED_VALUE"""),"55149X")</f>
        <v>55149X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IFERROR(__xludf.DUMMYFUNCTION("""COMPUTED_VALUE"""),0)</f>
        <v>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IFERROR(__xludf.DUMMYFUNCTION("""COMPUTED_VALUE"""),252)</f>
        <v>252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IFERROR(__xludf.DUMMYFUNCTION("""COMPUTED_VALUE"""),22487.3999999999)</f>
        <v>22487.3999999999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IFERROR(__xludf.DUMMYFUNCTION("""COMPUTED_VALUE"""),2291.4)</f>
        <v>2291.4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IFERROR(__xludf.DUMMYFUNCTION("""COMPUTED_VALUE"""),0)</f>
        <v>0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DE PAIS, ALUNOS E MESTRES COL. EST. POLIVALENTE CASTELO BRANCO")</f>
        <v>ASSOC. DE PAIS, ALUNOS E MESTRES COL. EST. POLIVALENTE CASTELO BRANCO</v>
      </c>
      <c r="D15" s="36" t="str">
        <f ca="1">IFERROR(__xludf.DUMMYFUNCTION("""COMPUTED_VALUE"""),"00918900000112")</f>
        <v>00918900000112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IFERROR(__xludf.DUMMYFUNCTION("""COMPUTED_VALUE"""),"12599")</f>
        <v>12599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IFERROR(__xludf.DUMMYFUNCTION("""COMPUTED_VALUE"""),11767.5999999999)</f>
        <v>11767.5999999999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IFERROR(__xludf.DUMMYFUNCTION("""COMPUTED_VALUE"""),1206)</f>
        <v>1206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A.  DO COLÉGIO DA POLICIA MILITAR - UNIDADE III")</f>
        <v>ASSOC. A.  DO COLÉGIO DA POLICIA MILITAR - UNIDADE III</v>
      </c>
      <c r="D16" s="41" t="str">
        <f ca="1">IFERROR(__xludf.DUMMYFUNCTION("""COMPUTED_VALUE"""),"02480178000102")</f>
        <v>02480178000102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IFERROR(__xludf.DUMMYFUNCTION("""COMPUTED_VALUE"""),"552291")</f>
        <v>552291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IFERROR(__xludf.DUMMYFUNCTION("""COMPUTED_VALUE"""),0)</f>
        <v>0</v>
      </c>
      <c r="Q16" s="43">
        <f ca="1">IFERROR(__xludf.DUMMYFUNCTION("""COMPUTED_VALUE"""),17913)</f>
        <v>17913</v>
      </c>
      <c r="R16" s="43">
        <f ca="1">IFERROR(__xludf.DUMMYFUNCTION("""COMPUTED_VALUE"""),0)</f>
        <v>0</v>
      </c>
      <c r="S16" s="43">
        <f ca="1">IFERROR(__xludf.DUMMYFUNCTION("""COMPUTED_VALUE"""),0)</f>
        <v>0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IFERROR(__xludf.DUMMYFUNCTION("""COMPUTED_VALUE"""),0)</f>
        <v>0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APOIO COL. EST. CEM PAULO FREIRE")</f>
        <v>ASSOC. APOIO COL. EST. CEM PAULO FREIRE</v>
      </c>
      <c r="D17" s="36" t="str">
        <f ca="1">IFERROR(__xludf.DUMMYFUNCTION("""COMPUTED_VALUE"""),"01738420000132")</f>
        <v>01738420000132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IFERROR(__xludf.DUMMYFUNCTION("""COMPUTED_VALUE"""),"551589")</f>
        <v>551589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IFERROR(__xludf.DUMMYFUNCTION("""COMPUTED_VALUE"""),189)</f>
        <v>189</v>
      </c>
      <c r="Q17" s="38">
        <f ca="1">IFERROR(__xludf.DUMMYFUNCTION("""COMPUTED_VALUE"""),0)</f>
        <v>0</v>
      </c>
      <c r="R17" s="38">
        <f ca="1">IFERROR(__xludf.DUMMYFUNCTION("""COMPUTED_VALUE"""),0)</f>
        <v>0</v>
      </c>
      <c r="S17" s="38">
        <f ca="1">IFERROR(__xludf.DUMMYFUNCTION("""COMPUTED_VALUE"""),18779.8)</f>
        <v>18779.8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IFERROR(__xludf.DUMMYFUNCTION("""COMPUTED_VALUE"""),1929.6)</f>
        <v>1929.6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IFERROR(__xludf.DUMMYFUNCTION("""COMPUTED_VALUE"""),"A. APOIO DO COLEGIO DE APLICACAO")</f>
        <v>A. APOIO DO COLEGIO DE APLICACAO</v>
      </c>
      <c r="D18" s="41" t="str">
        <f ca="1">IFERROR(__xludf.DUMMYFUNCTION("""COMPUTED_VALUE"""),"01086986000127")</f>
        <v>01086986000127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IFERROR(__xludf.DUMMYFUNCTION("""COMPUTED_VALUE"""),"0465275")</f>
        <v>0465275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IFERROR(__xludf.DUMMYFUNCTION("""COMPUTED_VALUE"""),5649)</f>
        <v>5649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IFERROR(__xludf.DUMMYFUNCTION("""COMPUTED_VALUE"""),252)</f>
        <v>252</v>
      </c>
      <c r="Q18" s="43">
        <f ca="1">IFERROR(__xludf.DUMMYFUNCTION("""COMPUTED_VALUE"""),5607)</f>
        <v>5607</v>
      </c>
      <c r="R18" s="43">
        <f ca="1">IFERROR(__xludf.DUMMYFUNCTION("""COMPUTED_VALUE"""),0)</f>
        <v>0</v>
      </c>
      <c r="S18" s="43">
        <f ca="1">IFERROR(__xludf.DUMMYFUNCTION("""COMPUTED_VALUE"""),0)</f>
        <v>0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IFERROR(__xludf.DUMMYFUNCTION("""COMPUTED_VALUE"""),0)</f>
        <v>0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IFERROR(__xludf.DUMMYFUNCTION("""COMPUTED_VALUE"""),"A.A. C.E. ADEMAR V. FERREIRA SOBRINHO")</f>
        <v>A.A. C.E. ADEMAR V. FERREIRA SOBRINHO</v>
      </c>
      <c r="D19" s="36" t="str">
        <f ca="1">IFERROR(__xludf.DUMMYFUNCTION("""COMPUTED_VALUE"""),"01143808000190")</f>
        <v>01143808000190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IFERROR(__xludf.DUMMYFUNCTION("""COMPUTED_VALUE"""),"0464244")</f>
        <v>0464244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IFERROR(__xludf.DUMMYFUNCTION("""COMPUTED_VALUE"""),8967)</f>
        <v>8967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IFERROR(__xludf.DUMMYFUNCTION("""COMPUTED_VALUE"""),420)</f>
        <v>420</v>
      </c>
      <c r="Q19" s="38">
        <f ca="1">IFERROR(__xludf.DUMMYFUNCTION("""COMPUTED_VALUE"""),0)</f>
        <v>0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 ADOLFO BEZERRA DE MENEZES")</f>
        <v>A.A. C.E.  ADOLFO BEZERRA DE MENEZES</v>
      </c>
      <c r="D20" s="41" t="str">
        <f ca="1">IFERROR(__xludf.DUMMYFUNCTION("""COMPUTED_VALUE"""),"01071435000190")</f>
        <v>01071435000190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IFERROR(__xludf.DUMMYFUNCTION("""COMPUTED_VALUE"""),"463426")</f>
        <v>463426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IFERROR(__xludf.DUMMYFUNCTION("""COMPUTED_VALUE"""),11172)</f>
        <v>11172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IFERROR(__xludf.DUMMYFUNCTION("""COMPUTED_VALUE"""),0)</f>
        <v>0</v>
      </c>
      <c r="Q20" s="43">
        <f ca="1">IFERROR(__xludf.DUMMYFUNCTION("""COMPUTED_VALUE"""),10542)</f>
        <v>10542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IFERROR(__xludf.DUMMYFUNCTION("""COMPUTED_VALUE"""),4158)</f>
        <v>4158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 APOIO ESCOLA EST. CAMPOS BRASIL")</f>
        <v>A. APOIO ESCOLA EST. CAMPOS BRASIL</v>
      </c>
      <c r="D21" s="36" t="str">
        <f ca="1">IFERROR(__xludf.DUMMYFUNCTION("""COMPUTED_VALUE"""),"01291177000157")</f>
        <v>01291177000157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IFERROR(__xludf.DUMMYFUNCTION("""COMPUTED_VALUE"""),"466093")</f>
        <v>466093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IFERROR(__xludf.DUMMYFUNCTION("""COMPUTED_VALUE"""),714)</f>
        <v>714</v>
      </c>
      <c r="Q21" s="38">
        <f ca="1">IFERROR(__xludf.DUMMYFUNCTION("""COMPUTED_VALUE"""),12789)</f>
        <v>12789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IFERROR(__xludf.DUMMYFUNCTION("""COMPUTED_VALUE"""),0)</f>
        <v>0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IFERROR(__xludf.DUMMYFUNCTION("""COMPUTED_VALUE"""),"A.A. COL. ESTADUAL GUILHERME DOURADO")</f>
        <v>A.A. COL. ESTADUAL GUILHERME DOURADO</v>
      </c>
      <c r="D22" s="41" t="str">
        <f ca="1">IFERROR(__xludf.DUMMYFUNCTION("""COMPUTED_VALUE"""),"01257074000170")</f>
        <v>01257074000170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IFERROR(__xludf.DUMMYFUNCTION("""COMPUTED_VALUE"""),"0068659")</f>
        <v>0068659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IFERROR(__xludf.DUMMYFUNCTION("""COMPUTED_VALUE"""),0)</f>
        <v>0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IFERROR(__xludf.DUMMYFUNCTION("""COMPUTED_VALUE"""),210)</f>
        <v>210</v>
      </c>
      <c r="Q22" s="43">
        <f ca="1">IFERROR(__xludf.DUMMYFUNCTION("""COMPUTED_VALUE"""),31857)</f>
        <v>31857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IFERROR(__xludf.DUMMYFUNCTION("""COMPUTED_VALUE"""),"ASS. APOIO COL. EST. JARDIM PAULISTA")</f>
        <v>ASS. APOIO COL. EST. JARDIM PAULISTA</v>
      </c>
      <c r="D23" s="36" t="str">
        <f ca="1">IFERROR(__xludf.DUMMYFUNCTION("""COMPUTED_VALUE"""),"05502542000186")</f>
        <v>05502542000186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IFERROR(__xludf.DUMMYFUNCTION("""COMPUTED_VALUE"""),"243876")</f>
        <v>243876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IFERROR(__xludf.DUMMYFUNCTION("""COMPUTED_VALUE"""),9114)</f>
        <v>9114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IFERROR(__xludf.DUMMYFUNCTION("""COMPUTED_VALUE"""),315)</f>
        <v>315</v>
      </c>
      <c r="Q23" s="38">
        <f ca="1">IFERROR(__xludf.DUMMYFUNCTION("""COMPUTED_VALUE"""),10017)</f>
        <v>10017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IFERROR(__xludf.DUMMYFUNCTION("""COMPUTED_VALUE"""),"A.APOIO COL. ESTADUAL JORGE AMADO")</f>
        <v>A.APOIO COL. ESTADUAL JORGE AMADO</v>
      </c>
      <c r="D24" s="41" t="str">
        <f ca="1">IFERROR(__xludf.DUMMYFUNCTION("""COMPUTED_VALUE"""),"01291218000105")</f>
        <v>01291218000105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IFERROR(__xludf.DUMMYFUNCTION("""COMPUTED_VALUE"""),"0467006")</f>
        <v>0467006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IFERROR(__xludf.DUMMYFUNCTION("""COMPUTED_VALUE"""),4641)</f>
        <v>4641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IFERROR(__xludf.DUMMYFUNCTION("""COMPUTED_VALUE"""),357)</f>
        <v>357</v>
      </c>
      <c r="Q24" s="43">
        <f ca="1">IFERROR(__xludf.DUMMYFUNCTION("""COMPUTED_VALUE"""),6279)</f>
        <v>6279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IFERROR(__xludf.DUMMYFUNCTION("""COMPUTED_VALUE"""),"A.A. C.E.  PROF. SILVANDIRA SOUSA LIMA")</f>
        <v>A.A. C.E.  PROF. SILVANDIRA SOUSA LIMA</v>
      </c>
      <c r="D25" s="36" t="str">
        <f ca="1">IFERROR(__xludf.DUMMYFUNCTION("""COMPUTED_VALUE"""),"01071403000194")</f>
        <v>01071403000194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IFERROR(__xludf.DUMMYFUNCTION("""COMPUTED_VALUE"""),"0463922")</f>
        <v>0463922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IFERROR(__xludf.DUMMYFUNCTION("""COMPUTED_VALUE"""),5880)</f>
        <v>5880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IFERROR(__xludf.DUMMYFUNCTION("""COMPUTED_VALUE"""),105)</f>
        <v>105</v>
      </c>
      <c r="Q25" s="38">
        <f ca="1">IFERROR(__xludf.DUMMYFUNCTION("""COMPUTED_VALUE"""),9156)</f>
        <v>9156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COLEGIO ESTADUAL RUI BARBOSA")</f>
        <v>A.A. COLEGIO ESTADUAL RUI BARBOSA</v>
      </c>
      <c r="D26" s="41" t="str">
        <f ca="1">IFERROR(__xludf.DUMMYFUNCTION("""COMPUTED_VALUE"""),"01071440000100")</f>
        <v>01071440000100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IFERROR(__xludf.DUMMYFUNCTION("""COMPUTED_VALUE"""),"0463787")</f>
        <v>0463787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IFERROR(__xludf.DUMMYFUNCTION("""COMPUTED_VALUE"""),0)</f>
        <v>0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IFERROR(__xludf.DUMMYFUNCTION("""COMPUTED_VALUE"""),294)</f>
        <v>294</v>
      </c>
      <c r="Q26" s="43">
        <f ca="1">IFERROR(__xludf.DUMMYFUNCTION("""COMPUTED_VALUE"""),0)</f>
        <v>0</v>
      </c>
      <c r="R26" s="43">
        <f ca="1">IFERROR(__xludf.DUMMYFUNCTION("""COMPUTED_VALUE"""),0)</f>
        <v>0</v>
      </c>
      <c r="S26" s="43">
        <f ca="1">IFERROR(__xludf.DUMMYFUNCTION("""COMPUTED_VALUE"""),12654.1999999999)</f>
        <v>12654.199999999901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IFERROR(__xludf.DUMMYFUNCTION("""COMPUTED_VALUE"""),1206)</f>
        <v>1206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IFERROR(__xludf.DUMMYFUNCTION("""COMPUTED_VALUE"""),"A.A.ESCOLA TEMPO INTEGRAL JARDENIR JORGE FREDERICO")</f>
        <v>A.A.ESCOLA TEMPO INTEGRAL JARDENIR JORGE FREDERICO</v>
      </c>
      <c r="D27" s="36" t="str">
        <f ca="1">IFERROR(__xludf.DUMMYFUNCTION("""COMPUTED_VALUE"""),"43361835000180")</f>
        <v>43361835000180</v>
      </c>
      <c r="E27" s="37" t="str">
        <f ca="1">IFERROR(__xludf.DUMMYFUNCTION("""COMPUTED_VALUE"""),"001")</f>
        <v>001</v>
      </c>
      <c r="F27" s="38" t="str">
        <f ca="1">IFERROR(__xludf.DUMMYFUNCTION("""COMPUTED_VALUE"""),"4348")</f>
        <v>4348</v>
      </c>
      <c r="G27" s="38" t="str">
        <f ca="1">IFERROR(__xludf.DUMMYFUNCTION("""COMPUTED_VALUE"""),"434795")</f>
        <v>434795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IFERROR(__xludf.DUMMYFUNCTION("""COMPUTED_VALUE"""),62798.4)</f>
        <v>62798.400000000001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IFERROR(__xludf.DUMMYFUNCTION("""COMPUTED_VALUE"""),294)</f>
        <v>294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IFERROR(__xludf.DUMMYFUNCTION("""COMPUTED_VALUE"""),0)</f>
        <v>0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IFERROR(__xludf.DUMMYFUNCTION("""COMPUTED_VALUE"""),0)</f>
        <v>0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IFERROR(__xludf.DUMMYFUNCTION("""COMPUTED_VALUE"""),5289.4)</f>
        <v>5289.4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 ESCOLA TEMPO INTEGRAL DOMINGOS DA CRUZ MACHADO")</f>
        <v>A.A. ESCOLA TEMPO INTEGRAL DOMINGOS DA CRUZ MACHADO</v>
      </c>
      <c r="D28" s="41" t="str">
        <f ca="1">IFERROR(__xludf.DUMMYFUNCTION("""COMPUTED_VALUE"""),"49868761000159")</f>
        <v>49868761000159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IFERROR(__xludf.DUMMYFUNCTION("""COMPUTED_VALUE"""),"460192")</f>
        <v>460192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IFERROR(__xludf.DUMMYFUNCTION("""COMPUTED_VALUE"""),32536)</f>
        <v>32536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IFERROR(__xludf.DUMMYFUNCTION("""COMPUTED_VALUE"""),0)</f>
        <v>0</v>
      </c>
      <c r="Q28" s="43">
        <f ca="1">IFERROR(__xludf.DUMMYFUNCTION("""COMPUTED_VALUE"""),0)</f>
        <v>0</v>
      </c>
      <c r="R28" s="43">
        <f ca="1">IFERROR(__xludf.DUMMYFUNCTION("""COMPUTED_VALUE"""),3214.4)</f>
        <v>3214.4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IFERROR(__xludf.DUMMYFUNCTION("""COMPUTED_VALUE"""),2994)</f>
        <v>2994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ESC. EST. DEP.FED.JOSE A. DE ASSIS")</f>
        <v>A.A. ESC. EST. DEP.FED.JOSE A. DE ASSIS</v>
      </c>
      <c r="D29" s="36" t="str">
        <f ca="1">IFERROR(__xludf.DUMMYFUNCTION("""COMPUTED_VALUE"""),"01186464000105")</f>
        <v>01186464000105</v>
      </c>
      <c r="E29" s="37" t="str">
        <f ca="1">IFERROR(__xludf.DUMMYFUNCTION("""COMPUTED_VALUE"""),"001")</f>
        <v>001</v>
      </c>
      <c r="F29" s="38" t="str">
        <f ca="1">IFERROR(__xludf.DUMMYFUNCTION("""COMPUTED_VALUE"""),"0638")</f>
        <v>0638</v>
      </c>
      <c r="G29" s="38" t="str">
        <f ca="1">IFERROR(__xludf.DUMMYFUNCTION("""COMPUTED_VALUE"""),"465089")</f>
        <v>465089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IFERROR(__xludf.DUMMYFUNCTION("""COMPUTED_VALUE"""),3738)</f>
        <v>3738</v>
      </c>
      <c r="K29" s="38">
        <f ca="1">IFERROR(__xludf.DUMMYFUNCTION("""COMPUTED_VALUE"""),0)</f>
        <v>0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IFERROR(__xludf.DUMMYFUNCTION("""COMPUTED_VALUE"""),315)</f>
        <v>315</v>
      </c>
      <c r="Q29" s="38">
        <f ca="1">IFERROR(__xludf.DUMMYFUNCTION("""COMPUTED_VALUE"""),9198)</f>
        <v>9198</v>
      </c>
      <c r="R29" s="38">
        <f ca="1">IFERROR(__xludf.DUMMYFUNCTION("""COMPUTED_VALUE"""),0)</f>
        <v>0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IFERROR(__xludf.DUMMYFUNCTION("""COMPUTED_VALUE"""),0)</f>
        <v>0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IFERROR(__xludf.DUMMYFUNCTION("""COMPUTED_VALUE"""),"ASSOCIAÇÃO DE APOIO DA ESCOLA ESPECIAL RAIO DE LUZ APAE ARAGUAÍNA")</f>
        <v>ASSOCIAÇÃO DE APOIO DA ESCOLA ESPECIAL RAIO DE LUZ APAE ARAGUAÍNA</v>
      </c>
      <c r="D30" s="41" t="str">
        <f ca="1">IFERROR(__xludf.DUMMYFUNCTION("""COMPUTED_VALUE"""),"07953043000130")</f>
        <v>07953043000130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IFERROR(__xludf.DUMMYFUNCTION("""COMPUTED_VALUE"""),"379921")</f>
        <v>379921</v>
      </c>
      <c r="H30" s="43">
        <f ca="1">IFERROR(__xludf.DUMMYFUNCTION("""COMPUTED_VALUE"""),0)</f>
        <v>0</v>
      </c>
      <c r="I30" s="43">
        <f ca="1">IFERROR(__xludf.DUMMYFUNCTION("""COMPUTED_VALUE"""),378)</f>
        <v>378</v>
      </c>
      <c r="J30" s="43">
        <f ca="1">IFERROR(__xludf.DUMMYFUNCTION("""COMPUTED_VALUE"""),483)</f>
        <v>483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IFERROR(__xludf.DUMMYFUNCTION("""COMPUTED_VALUE"""),4515)</f>
        <v>4515</v>
      </c>
      <c r="Q30" s="43">
        <f ca="1">IFERROR(__xludf.DUMMYFUNCTION("""COMPUTED_VALUE"""),0)</f>
        <v>0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IFERROR(__xludf.DUMMYFUNCTION("""COMPUTED_VALUE"""),3654)</f>
        <v>3654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IFERROR(__xludf.DUMMYFUNCTION("""COMPUTED_VALUE"""),"A.A.  ESCOLA ESPIRITA ANDRE LUIZ")</f>
        <v>A.A.  ESCOLA ESPIRITA ANDRE LUIZ</v>
      </c>
      <c r="D31" s="36" t="str">
        <f ca="1">IFERROR(__xludf.DUMMYFUNCTION("""COMPUTED_VALUE"""),"01066416000175")</f>
        <v>01066416000175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IFERROR(__xludf.DUMMYFUNCTION("""COMPUTED_VALUE"""),"463582")</f>
        <v>463582</v>
      </c>
      <c r="H31" s="38">
        <f ca="1">IFERROR(__xludf.DUMMYFUNCTION("""COMPUTED_VALUE"""),0)</f>
        <v>0</v>
      </c>
      <c r="I31" s="38">
        <f ca="1">IFERROR(__xludf.DUMMYFUNCTION("""COMPUTED_VALUE"""),0)</f>
        <v>0</v>
      </c>
      <c r="J31" s="38">
        <f ca="1">IFERROR(__xludf.DUMMYFUNCTION("""COMPUTED_VALUE"""),0)</f>
        <v>0</v>
      </c>
      <c r="K31" s="38">
        <f ca="1">IFERROR(__xludf.DUMMYFUNCTION("""COMPUTED_VALUE"""),17248)</f>
        <v>17248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IFERROR(__xludf.DUMMYFUNCTION("""COMPUTED_VALUE"""),378)</f>
        <v>378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IFERROR(__xludf.DUMMYFUNCTION("""COMPUTED_VALUE"""),0)</f>
        <v>0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IFERROR(__xludf.DUMMYFUNCTION("""COMPUTED_VALUE"""),1497)</f>
        <v>1497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ESC. E.FRANCISCO MAXIMO DE SOUZA")</f>
        <v>A.A. ESC. E.FRANCISCO MAXIMO DE SOUZA</v>
      </c>
      <c r="D32" s="41" t="str">
        <f ca="1">IFERROR(__xludf.DUMMYFUNCTION("""COMPUTED_VALUE"""),"01345127000105")</f>
        <v>01345127000105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IFERROR(__xludf.DUMMYFUNCTION("""COMPUTED_VALUE"""),"0463167")</f>
        <v>0463167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IFERROR(__xludf.DUMMYFUNCTION("""COMPUTED_VALUE"""),7245)</f>
        <v>7245</v>
      </c>
      <c r="K32" s="43">
        <f ca="1">IFERROR(__xludf.DUMMYFUNCTION("""COMPUTED_VALUE"""),0)</f>
        <v>0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IFERROR(__xludf.DUMMYFUNCTION("""COMPUTED_VALUE"""),1029)</f>
        <v>1029</v>
      </c>
      <c r="Q32" s="43">
        <f ca="1">IFERROR(__xludf.DUMMYFUNCTION("""COMPUTED_VALUE"""),6657)</f>
        <v>6657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IFERROR(__xludf.DUMMYFUNCTION("""COMPUTED_VALUE"""),4326)</f>
        <v>4326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IFERROR(__xludf.DUMMYFUNCTION("""COMPUTED_VALUE"""),0)</f>
        <v>0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IFERROR(__xludf.DUMMYFUNCTION("""COMPUTED_VALUE"""),"ASS. COM. COL EST. SANCHA FERREIRA")</f>
        <v>ASS. COM. COL EST. SANCHA FERREIRA</v>
      </c>
      <c r="D33" s="36" t="str">
        <f ca="1">IFERROR(__xludf.DUMMYFUNCTION("""COMPUTED_VALUE"""),"01338702000142")</f>
        <v>01338702000142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IFERROR(__xludf.DUMMYFUNCTION("""COMPUTED_VALUE"""),"0466913")</f>
        <v>0466913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IFERROR(__xludf.DUMMYFUNCTION("""COMPUTED_VALUE"""),0)</f>
        <v>0</v>
      </c>
      <c r="K33" s="38">
        <f ca="1">IFERROR(__xludf.DUMMYFUNCTION("""COMPUTED_VALUE"""),15680)</f>
        <v>15680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IFERROR(__xludf.DUMMYFUNCTION("""COMPUTED_VALUE"""),189)</f>
        <v>189</v>
      </c>
      <c r="Q33" s="38">
        <f ca="1">IFERROR(__xludf.DUMMYFUNCTION("""COMPUTED_VALUE"""),0)</f>
        <v>0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IFERROR(__xludf.DUMMYFUNCTION("""COMPUTED_VALUE"""),0)</f>
        <v>0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IFERROR(__xludf.DUMMYFUNCTION("""COMPUTED_VALUE"""),1297.39999999999)</f>
        <v>1297.3999999999901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IFERROR(__xludf.DUMMYFUNCTION("""COMPUTED_VALUE"""),"A.A. ESC. HENRIQUE CIRQUEIRA AMORIM")</f>
        <v>A.A. ESC. HENRIQUE CIRQUEIRA AMORIM</v>
      </c>
      <c r="D34" s="41" t="str">
        <f ca="1">IFERROR(__xludf.DUMMYFUNCTION("""COMPUTED_VALUE"""),"01088234000103")</f>
        <v>01088234000103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IFERROR(__xludf.DUMMYFUNCTION("""COMPUTED_VALUE"""),"0465194")</f>
        <v>0465194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IFERROR(__xludf.DUMMYFUNCTION("""COMPUTED_VALUE"""),6489)</f>
        <v>6489</v>
      </c>
      <c r="K34" s="43">
        <f ca="1">IFERROR(__xludf.DUMMYFUNCTION("""COMPUTED_VALUE"""),0)</f>
        <v>0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IFERROR(__xludf.DUMMYFUNCTION("""COMPUTED_VALUE"""),0)</f>
        <v>0</v>
      </c>
      <c r="Q34" s="43">
        <f ca="1">IFERROR(__xludf.DUMMYFUNCTION("""COMPUTED_VALUE"""),4893)</f>
        <v>4893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IFERROR(__xludf.DUMMYFUNCTION("""COMPUTED_VALUE"""),0)</f>
        <v>0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EST. JOAO GUILHERME L. KUNZE")</f>
        <v>A.A. ESC. EST. JOAO GUILHERME L. KUNZE</v>
      </c>
      <c r="D35" s="36" t="str">
        <f ca="1">IFERROR(__xludf.DUMMYFUNCTION("""COMPUTED_VALUE"""),"01071400000150")</f>
        <v>01071400000150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IFERROR(__xludf.DUMMYFUNCTION("""COMPUTED_VALUE"""),"0463639")</f>
        <v>0463639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IFERROR(__xludf.DUMMYFUNCTION("""COMPUTED_VALUE"""),6321)</f>
        <v>6321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IFERROR(__xludf.DUMMYFUNCTION("""COMPUTED_VALUE"""),252)</f>
        <v>252</v>
      </c>
      <c r="Q35" s="38">
        <f ca="1">IFERROR(__xludf.DUMMYFUNCTION("""COMPUTED_VALUE"""),0)</f>
        <v>0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MANOEL GOMES DA CUNHA")</f>
        <v>A.A. ESC. EST. MANOEL GOMES DA CUNHA</v>
      </c>
      <c r="D36" s="41" t="str">
        <f ca="1">IFERROR(__xludf.DUMMYFUNCTION("""COMPUTED_VALUE"""),"01443216000194")</f>
        <v>01443216000194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IFERROR(__xludf.DUMMYFUNCTION("""COMPUTED_VALUE"""),"0468355")</f>
        <v>0468355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IFERROR(__xludf.DUMMYFUNCTION("""COMPUTED_VALUE"""),3990)</f>
        <v>3990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IFERROR(__xludf.DUMMYFUNCTION("""COMPUTED_VALUE"""),252)</f>
        <v>252</v>
      </c>
      <c r="Q36" s="43">
        <f ca="1">IFERROR(__xludf.DUMMYFUNCTION("""COMPUTED_VALUE"""),3507)</f>
        <v>3507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ESCOLA ESTADUAL MAL. RONDON")</f>
        <v>A.A. ESCOLA ESTADUAL MAL. RONDON</v>
      </c>
      <c r="D37" s="36" t="str">
        <f ca="1">IFERROR(__xludf.DUMMYFUNCTION("""COMPUTED_VALUE"""),"01068349000128")</f>
        <v>01068349000128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IFERROR(__xludf.DUMMYFUNCTION("""COMPUTED_VALUE"""),"046368X")</f>
        <v>046368X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IFERROR(__xludf.DUMMYFUNCTION("""COMPUTED_VALUE"""),10521)</f>
        <v>10521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IFERROR(__xludf.DUMMYFUNCTION("""COMPUTED_VALUE"""),336)</f>
        <v>336</v>
      </c>
      <c r="Q37" s="38">
        <f ca="1">IFERROR(__xludf.DUMMYFUNCTION("""COMPUTED_VALUE"""),0)</f>
        <v>0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IFERROR(__xludf.DUMMYFUNCTION("""COMPUTED_VALUE"""),3738)</f>
        <v>3738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 DE A.DA ESCOLA ESTADUAL MODELO")</f>
        <v>A. DE A.DA ESCOLA ESTADUAL MODELO</v>
      </c>
      <c r="D38" s="41" t="str">
        <f ca="1">IFERROR(__xludf.DUMMYFUNCTION("""COMPUTED_VALUE"""),"01133696000197")</f>
        <v>01133696000197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IFERROR(__xludf.DUMMYFUNCTION("""COMPUTED_VALUE"""),"484520")</f>
        <v>484520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IFERROR(__xludf.DUMMYFUNCTION("""COMPUTED_VALUE"""),10017)</f>
        <v>10017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IFERROR(__xludf.DUMMYFUNCTION("""COMPUTED_VALUE"""),483)</f>
        <v>483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IFERROR(__xludf.DUMMYFUNCTION("""COMPUTED_VALUE"""),0)</f>
        <v>0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IFERROR(__xludf.DUMMYFUNCTION("""COMPUTED_VALUE"""),"A.A. ESC. E.NORTE GOIANO DE ARAGUAINA")</f>
        <v>A.A. ESC. E.NORTE GOIANO DE ARAGUAINA</v>
      </c>
      <c r="D39" s="36" t="str">
        <f ca="1">IFERROR(__xludf.DUMMYFUNCTION("""COMPUTED_VALUE"""),"01195483000190")</f>
        <v>01195483000190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IFERROR(__xludf.DUMMYFUNCTION("""COMPUTED_VALUE"""),"0464724")</f>
        <v>0464724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IFERROR(__xludf.DUMMYFUNCTION("""COMPUTED_VALUE"""),5649)</f>
        <v>5649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IFERROR(__xludf.DUMMYFUNCTION("""COMPUTED_VALUE"""),336)</f>
        <v>336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ESCOLA EST.PROF.ALFREDO NASSER")</f>
        <v>A.A. ESCOLA EST.PROF.ALFREDO NASSER</v>
      </c>
      <c r="D40" s="41" t="str">
        <f ca="1">IFERROR(__xludf.DUMMYFUNCTION("""COMPUTED_VALUE"""),"01223632000187")</f>
        <v>01223632000187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IFERROR(__xludf.DUMMYFUNCTION("""COMPUTED_VALUE"""),"0465135")</f>
        <v>0465135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IFERROR(__xludf.DUMMYFUNCTION("""COMPUTED_VALUE"""),15582)</f>
        <v>15582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IFERROR(__xludf.DUMMYFUNCTION("""COMPUTED_VALUE"""),0)</f>
        <v>0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ESC. EST. DE ARAGUAINA / PROF. JOÃO ALVES BATISTA")</f>
        <v>A.A. ESC. EST. DE ARAGUAINA / PROF. JOÃO ALVES BATISTA</v>
      </c>
      <c r="D41" s="36" t="str">
        <f ca="1">IFERROR(__xludf.DUMMYFUNCTION("""COMPUTED_VALUE"""),"25062332000121")</f>
        <v>25062332000121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IFERROR(__xludf.DUMMYFUNCTION("""COMPUTED_VALUE"""),"463116")</f>
        <v>463116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IFERROR(__xludf.DUMMYFUNCTION("""COMPUTED_VALUE"""),6300)</f>
        <v>6300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IFERROR(__xludf.DUMMYFUNCTION("""COMPUTED_VALUE"""),84)</f>
        <v>84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ESCOLA ESTADUAL VILA NOVA")</f>
        <v>A.A. ESCOLA ESTADUAL VILA NOVA</v>
      </c>
      <c r="D42" s="41" t="str">
        <f ca="1">IFERROR(__xludf.DUMMYFUNCTION("""COMPUTED_VALUE"""),"01071404000139")</f>
        <v>01071404000139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IFERROR(__xludf.DUMMYFUNCTION("""COMPUTED_VALUE"""),"0463744")</f>
        <v>0463744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IFERROR(__xludf.DUMMYFUNCTION("""COMPUTED_VALUE"""),0)</f>
        <v>0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IFERROR(__xludf.DUMMYFUNCTION("""COMPUTED_VALUE"""),0)</f>
        <v>0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IFERROR(__xludf.DUMMYFUNCTION("""COMPUTED_VALUE"""),3003)</f>
        <v>3003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ESC. EST.WELDER M.ABREU SALES")</f>
        <v>A.A. ESC. EST.WELDER M.ABREU SALES</v>
      </c>
      <c r="D43" s="36" t="str">
        <f ca="1">IFERROR(__xludf.DUMMYFUNCTION("""COMPUTED_VALUE"""),"01190182000173")</f>
        <v>01190182000173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IFERROR(__xludf.DUMMYFUNCTION("""COMPUTED_VALUE"""),"0465054")</f>
        <v>0465054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IFERROR(__xludf.DUMMYFUNCTION("""COMPUTED_VALUE"""),11193)</f>
        <v>11193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IFERROR(__xludf.DUMMYFUNCTION("""COMPUTED_VALUE"""),357)</f>
        <v>357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IFERROR(__xludf.DUMMYFUNCTION("""COMPUTED_VALUE"""),0)</f>
        <v>0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 DE AP. DA E.PAROQUIAL LUIZ AUGUSTO")</f>
        <v>A. DE AP. DA E.PAROQUIAL LUIZ AUGUSTO</v>
      </c>
      <c r="D44" s="41" t="str">
        <f ca="1">IFERROR(__xludf.DUMMYFUNCTION("""COMPUTED_VALUE"""),"01912262000195")</f>
        <v>01912262000195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IFERROR(__xludf.DUMMYFUNCTION("""COMPUTED_VALUE"""),"486000")</f>
        <v>486000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IFERROR(__xludf.DUMMYFUNCTION("""COMPUTED_VALUE"""),16716)</f>
        <v>16716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IFERROR(__xludf.DUMMYFUNCTION("""COMPUTED_VALUE"""),420)</f>
        <v>420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IFERROR(__xludf.DUMMYFUNCTION("""COMPUTED_VALUE"""),"Araguana")</f>
        <v>Araguana</v>
      </c>
      <c r="C45" s="35" t="str">
        <f ca="1">IFERROR(__xludf.DUMMYFUNCTION("""COMPUTED_VALUE"""),"ASS. APOIO ESC. EST. MACHADO DE ASSIS")</f>
        <v>ASS. APOIO ESC. EST. MACHADO DE ASSIS</v>
      </c>
      <c r="D45" s="36" t="str">
        <f ca="1">IFERROR(__xludf.DUMMYFUNCTION("""COMPUTED_VALUE"""),"01243663000108")</f>
        <v>01243663000108</v>
      </c>
      <c r="E45" s="37" t="str">
        <f ca="1">IFERROR(__xludf.DUMMYFUNCTION("""COMPUTED_VALUE"""),"001")</f>
        <v>001</v>
      </c>
      <c r="F45" s="38" t="str">
        <f ca="1">IFERROR(__xludf.DUMMYFUNCTION("""COMPUTED_VALUE"""),"3773")</f>
        <v>3773</v>
      </c>
      <c r="G45" s="38" t="str">
        <f ca="1">IFERROR(__xludf.DUMMYFUNCTION("""COMPUTED_VALUE"""),"322091")</f>
        <v>322091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IFERROR(__xludf.DUMMYFUNCTION("""COMPUTED_VALUE"""),4578)</f>
        <v>4578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IFERROR(__xludf.DUMMYFUNCTION("""COMPUTED_VALUE"""),168)</f>
        <v>168</v>
      </c>
      <c r="Q45" s="38">
        <f ca="1">IFERROR(__xludf.DUMMYFUNCTION("""COMPUTED_VALUE"""),4578)</f>
        <v>4578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IFERROR(__xludf.DUMMYFUNCTION("""COMPUTED_VALUE"""),"A.A. ESC. EST. SAO PEDRO")</f>
        <v>A.A. ESC. EST. SAO PEDRO</v>
      </c>
      <c r="D46" s="41" t="str">
        <f ca="1">IFERROR(__xludf.DUMMYFUNCTION("""COMPUTED_VALUE"""),"01230353000140")</f>
        <v>01230353000140</v>
      </c>
      <c r="E46" s="42" t="str">
        <f ca="1">IFERROR(__xludf.DUMMYFUNCTION("""COMPUTED_VALUE"""),"001")</f>
        <v>001</v>
      </c>
      <c r="F46" s="43" t="str">
        <f ca="1">IFERROR(__xludf.DUMMYFUNCTION("""COMPUTED_VALUE"""),"0638")</f>
        <v>0638</v>
      </c>
      <c r="G46" s="43" t="str">
        <f ca="1">IFERROR(__xludf.DUMMYFUNCTION("""COMPUTED_VALUE"""),"73903")</f>
        <v>73903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IFERROR(__xludf.DUMMYFUNCTION("""COMPUTED_VALUE"""),1512)</f>
        <v>1512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IFERROR(__xludf.DUMMYFUNCTION("""COMPUTED_VALUE"""),0)</f>
        <v>0</v>
      </c>
      <c r="Q46" s="43">
        <f ca="1">IFERROR(__xludf.DUMMYFUNCTION("""COMPUTED_VALUE"""),1281)</f>
        <v>1281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IFERROR(__xludf.DUMMYFUNCTION("""COMPUTED_VALUE"""),"Babaculandia")</f>
        <v>Babaculandia</v>
      </c>
      <c r="C47" s="35" t="str">
        <f ca="1">IFERROR(__xludf.DUMMYFUNCTION("""COMPUTED_VALUE"""),"A.PAIS E M.C.E.LEOPOLDO DE BULHOES")</f>
        <v>A.PAIS E M.C.E.LEOPOLDO DE BULHOES</v>
      </c>
      <c r="D47" s="36" t="str">
        <f ca="1">IFERROR(__xludf.DUMMYFUNCTION("""COMPUTED_VALUE"""),"01146116000104")</f>
        <v>01146116000104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IFERROR(__xludf.DUMMYFUNCTION("""COMPUTED_VALUE"""),"465232")</f>
        <v>465232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IFERROR(__xludf.DUMMYFUNCTION("""COMPUTED_VALUE"""),2772)</f>
        <v>2772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IFERROR(__xludf.DUMMYFUNCTION("""COMPUTED_VALUE"""),273)</f>
        <v>273</v>
      </c>
      <c r="Q47" s="38">
        <f ca="1">IFERROR(__xludf.DUMMYFUNCTION("""COMPUTED_VALUE"""),4977)</f>
        <v>4977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IFERROR(__xludf.DUMMYFUNCTION("""COMPUTED_VALUE"""),"A.A. ESCOLA ESTADUAL RUI BARBOSA")</f>
        <v>A.A. ESCOLA ESTADUAL RUI BARBOSA</v>
      </c>
      <c r="D48" s="41" t="str">
        <f ca="1">IFERROR(__xludf.DUMMYFUNCTION("""COMPUTED_VALUE"""),"01181184000104")</f>
        <v>01181184000104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IFERROR(__xludf.DUMMYFUNCTION("""COMPUTED_VALUE"""),"477117")</f>
        <v>477117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IFERROR(__xludf.DUMMYFUNCTION("""COMPUTED_VALUE"""),3444)</f>
        <v>3444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IFERROR(__xludf.DUMMYFUNCTION("""COMPUTED_VALUE"""),378)</f>
        <v>378</v>
      </c>
      <c r="Q48" s="43">
        <f ca="1">IFERROR(__xludf.DUMMYFUNCTION("""COMPUTED_VALUE"""),2184)</f>
        <v>2184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IFERROR(__xludf.DUMMYFUNCTION("""COMPUTED_VALUE"""),"Barra do Ouro")</f>
        <v>Barra do Ouro</v>
      </c>
      <c r="C49" s="35" t="str">
        <f ca="1">IFERROR(__xludf.DUMMYFUNCTION("""COMPUTED_VALUE"""),"A.A. A ESCOLA ESTADUAL BREJAO")</f>
        <v>A.A. A ESCOLA ESTADUAL BREJAO</v>
      </c>
      <c r="D49" s="36" t="str">
        <f ca="1">IFERROR(__xludf.DUMMYFUNCTION("""COMPUTED_VALUE"""),"02392799000134")</f>
        <v>02392799000134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IFERROR(__xludf.DUMMYFUNCTION("""COMPUTED_VALUE"""),"83615")</f>
        <v>83615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IFERROR(__xludf.DUMMYFUNCTION("""COMPUTED_VALUE"""),2814)</f>
        <v>2814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IFERROR(__xludf.DUMMYFUNCTION("""COMPUTED_VALUE"""),147)</f>
        <v>147</v>
      </c>
      <c r="Q49" s="38">
        <f ca="1">IFERROR(__xludf.DUMMYFUNCTION("""COMPUTED_VALUE"""),1680)</f>
        <v>1680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IFERROR(__xludf.DUMMYFUNCTION("""COMPUTED_VALUE"""),"A.COM. ESC. EST. BARRA DO OURO/PROF. VICENTE JOSÉ VIEIRA")</f>
        <v>A.COM. ESC. EST. BARRA DO OURO/PROF. VICENTE JOSÉ VIEIRA</v>
      </c>
      <c r="D50" s="41" t="str">
        <f ca="1">IFERROR(__xludf.DUMMYFUNCTION("""COMPUTED_VALUE"""),"01341481000161")</f>
        <v>01341481000161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IFERROR(__xludf.DUMMYFUNCTION("""COMPUTED_VALUE"""),"0069973")</f>
        <v>0069973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IFERROR(__xludf.DUMMYFUNCTION("""COMPUTED_VALUE"""),5292)</f>
        <v>5292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IFERROR(__xludf.DUMMYFUNCTION("""COMPUTED_VALUE"""),0)</f>
        <v>0</v>
      </c>
      <c r="Q50" s="43">
        <f ca="1">IFERROR(__xludf.DUMMYFUNCTION("""COMPUTED_VALUE"""),2940)</f>
        <v>2940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IFERROR(__xludf.DUMMYFUNCTION("""COMPUTED_VALUE"""),"Campos Lindos")</f>
        <v>Campos Lindos</v>
      </c>
      <c r="C51" s="35" t="str">
        <f ca="1">IFERROR(__xludf.DUMMYFUNCTION("""COMPUTED_VALUE"""),"A.A. DA ESC. EST. MANOEL ALVES GRANDE")</f>
        <v>A.A. DA ESC. EST. MANOEL ALVES GRANDE</v>
      </c>
      <c r="D51" s="36" t="str">
        <f ca="1">IFERROR(__xludf.DUMMYFUNCTION("""COMPUTED_VALUE"""),"02199744000102")</f>
        <v>02199744000102</v>
      </c>
      <c r="E51" s="37" t="str">
        <f ca="1">IFERROR(__xludf.DUMMYFUNCTION("""COMPUTED_VALUE"""),"001")</f>
        <v>001</v>
      </c>
      <c r="F51" s="38" t="str">
        <f ca="1">IFERROR(__xludf.DUMMYFUNCTION("""COMPUTED_VALUE"""),"2064")</f>
        <v>2064</v>
      </c>
      <c r="G51" s="38" t="str">
        <f ca="1">IFERROR(__xludf.DUMMYFUNCTION("""COMPUTED_VALUE"""),"0130117")</f>
        <v>0130117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IFERROR(__xludf.DUMMYFUNCTION("""COMPUTED_VALUE"""),3717)</f>
        <v>3717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IFERROR(__xludf.DUMMYFUNCTION("""COMPUTED_VALUE"""),9891)</f>
        <v>9891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IFERROR(__xludf.DUMMYFUNCTION("""COMPUTED_VALUE"""),756)</f>
        <v>756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IFERROR(__xludf.DUMMYFUNCTION("""COMPUTED_VALUE"""),"Carmolandia")</f>
        <v>Carmolandia</v>
      </c>
      <c r="C52" s="40" t="str">
        <f ca="1">IFERROR(__xludf.DUMMYFUNCTION("""COMPUTED_VALUE"""),"A.A. E. EST. BARTOLOMEU BUENO DA SILVA")</f>
        <v>A.A. E. EST. BARTOLOMEU BUENO DA SILVA</v>
      </c>
      <c r="D52" s="41" t="str">
        <f ca="1">IFERROR(__xludf.DUMMYFUNCTION("""COMPUTED_VALUE"""),"01181172000171")</f>
        <v>01181172000171</v>
      </c>
      <c r="E52" s="42" t="str">
        <f ca="1">IFERROR(__xludf.DUMMYFUNCTION("""COMPUTED_VALUE"""),"001")</f>
        <v>001</v>
      </c>
      <c r="F52" s="43" t="str">
        <f ca="1">IFERROR(__xludf.DUMMYFUNCTION("""COMPUTED_VALUE"""),"0638")</f>
        <v>0638</v>
      </c>
      <c r="G52" s="43" t="str">
        <f ca="1">IFERROR(__xludf.DUMMYFUNCTION("""COMPUTED_VALUE"""),"0465038")</f>
        <v>0465038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IFERROR(__xludf.DUMMYFUNCTION("""COMPUTED_VALUE"""),714)</f>
        <v>714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IFERROR(__xludf.DUMMYFUNCTION("""COMPUTED_VALUE"""),2079)</f>
        <v>2079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IFERROR(__xludf.DUMMYFUNCTION("""COMPUTED_VALUE"""),525)</f>
        <v>525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IFERROR(__xludf.DUMMYFUNCTION("""COMPUTED_VALUE"""),"Filadelfia")</f>
        <v>Filadelfia</v>
      </c>
      <c r="C53" s="35" t="str">
        <f ca="1">IFERROR(__xludf.DUMMYFUNCTION("""COMPUTED_VALUE"""),"A.A. DO COL.MUNICIPAL DE FILADELFIA")</f>
        <v>A.A. DO COL.MUNICIPAL DE FILADELFIA</v>
      </c>
      <c r="D53" s="36" t="str">
        <f ca="1">IFERROR(__xludf.DUMMYFUNCTION("""COMPUTED_VALUE"""),"02189621000190")</f>
        <v>02189621000190</v>
      </c>
      <c r="E53" s="37" t="str">
        <f ca="1">IFERROR(__xludf.DUMMYFUNCTION("""COMPUTED_VALUE"""),"001")</f>
        <v>001</v>
      </c>
      <c r="F53" s="38" t="str">
        <f ca="1">IFERROR(__xludf.DUMMYFUNCTION("""COMPUTED_VALUE"""),"2064")</f>
        <v>2064</v>
      </c>
      <c r="G53" s="38" t="str">
        <f ca="1">IFERROR(__xludf.DUMMYFUNCTION("""COMPUTED_VALUE"""),"54127")</f>
        <v>54127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IFERROR(__xludf.DUMMYFUNCTION("""COMPUTED_VALUE"""),0)</f>
        <v>0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IFERROR(__xludf.DUMMYFUNCTION("""COMPUTED_VALUE"""),420)</f>
        <v>420</v>
      </c>
      <c r="Q53" s="38">
        <f ca="1">IFERROR(__xludf.DUMMYFUNCTION("""COMPUTED_VALUE"""),4725)</f>
        <v>4725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IFERROR(__xludf.DUMMYFUNCTION("""COMPUTED_VALUE"""),0)</f>
        <v>0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IFERROR(__xludf.DUMMYFUNCTION("""COMPUTED_VALUE"""),"A.P. E M. ESC. EST. ADEUVALDO O.MORAES")</f>
        <v>A.P. E M. ESC. EST. ADEUVALDO O.MORAES</v>
      </c>
      <c r="D54" s="41" t="str">
        <f ca="1">IFERROR(__xludf.DUMMYFUNCTION("""COMPUTED_VALUE"""),"01912087000136")</f>
        <v>01912087000136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IFERROR(__xludf.DUMMYFUNCTION("""COMPUTED_VALUE"""),"127434")</f>
        <v>127434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IFERROR(__xludf.DUMMYFUNCTION("""COMPUTED_VALUE"""),5796)</f>
        <v>5796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IFERROR(__xludf.DUMMYFUNCTION("""COMPUTED_VALUE"""),609)</f>
        <v>609</v>
      </c>
      <c r="Q54" s="43">
        <f ca="1">IFERROR(__xludf.DUMMYFUNCTION("""COMPUTED_VALUE"""),0)</f>
        <v>0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IFERROR(__xludf.DUMMYFUNCTION("""COMPUTED_VALUE"""),"A.A. ESC EST PROFESSOR JOSÉ FRANCISCO DOS MONTES")</f>
        <v>A.A. ESC EST PROFESSOR JOSÉ FRANCISCO DOS MONTES</v>
      </c>
      <c r="D55" s="36" t="str">
        <f ca="1">IFERROR(__xludf.DUMMYFUNCTION("""COMPUTED_VALUE"""),"27853677000129")</f>
        <v>27853677000129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IFERROR(__xludf.DUMMYFUNCTION("""COMPUTED_VALUE"""),"198315")</f>
        <v>198315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IFERROR(__xludf.DUMMYFUNCTION("""COMPUTED_VALUE"""),1029)</f>
        <v>1029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IFERROR(__xludf.DUMMYFUNCTION("""COMPUTED_VALUE"""),0)</f>
        <v>0</v>
      </c>
      <c r="Q55" s="38">
        <f ca="1">IFERROR(__xludf.DUMMYFUNCTION("""COMPUTED_VALUE"""),1953)</f>
        <v>1953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IFERROR(__xludf.DUMMYFUNCTION("""COMPUTED_VALUE"""),168)</f>
        <v>168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IFERROR(__xludf.DUMMYFUNCTION("""COMPUTED_VALUE"""),"Goiatins")</f>
        <v>Goiatins</v>
      </c>
      <c r="C56" s="40" t="str">
        <f ca="1">IFERROR(__xludf.DUMMYFUNCTION("""COMPUTED_VALUE"""),"ASS. COM.COL. EST. ADA ASSIS TEIXEIRA")</f>
        <v>ASS. COM.COL. EST. ADA ASSIS TEIXEIRA</v>
      </c>
      <c r="D56" s="41" t="str">
        <f ca="1">IFERROR(__xludf.DUMMYFUNCTION("""COMPUTED_VALUE"""),"01440731000110")</f>
        <v>01440731000110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IFERROR(__xludf.DUMMYFUNCTION("""COMPUTED_VALUE"""),"0013323")</f>
        <v>0013323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IFERROR(__xludf.DUMMYFUNCTION("""COMPUTED_VALUE"""),4347)</f>
        <v>4347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IFERROR(__xludf.DUMMYFUNCTION("""COMPUTED_VALUE"""),9576)</f>
        <v>9576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IFERROR(__xludf.DUMMYFUNCTION("""COMPUTED_VALUE"""),0)</f>
        <v>0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IFERROR(__xludf.DUMMYFUNCTION("""COMPUTED_VALUE"""),"Muricilandia")</f>
        <v>Muricilandia</v>
      </c>
      <c r="C57" s="35" t="str">
        <f ca="1">IFERROR(__xludf.DUMMYFUNCTION("""COMPUTED_VALUE"""),"A.A. DA ESC. EST. MAL. COSTA E SILVA")</f>
        <v>A.A. DA ESC. EST. MAL. COSTA E SILVA</v>
      </c>
      <c r="D57" s="36" t="str">
        <f ca="1">IFERROR(__xludf.DUMMYFUNCTION("""COMPUTED_VALUE"""),"02032269000185")</f>
        <v>02032269000185</v>
      </c>
      <c r="E57" s="37" t="str">
        <f ca="1">IFERROR(__xludf.DUMMYFUNCTION("""COMPUTED_VALUE"""),"001")</f>
        <v>001</v>
      </c>
      <c r="F57" s="38" t="str">
        <f ca="1">IFERROR(__xludf.DUMMYFUNCTION("""COMPUTED_VALUE"""),"0638")</f>
        <v>0638</v>
      </c>
      <c r="G57" s="38" t="str">
        <f ca="1">IFERROR(__xludf.DUMMYFUNCTION("""COMPUTED_VALUE"""),"83550")</f>
        <v>83550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IFERROR(__xludf.DUMMYFUNCTION("""COMPUTED_VALUE"""),0)</f>
        <v>0</v>
      </c>
      <c r="K57" s="38">
        <f ca="1">IFERROR(__xludf.DUMMYFUNCTION("""COMPUTED_VALUE"""),0)</f>
        <v>0</v>
      </c>
      <c r="L57" s="38">
        <f ca="1">IFERROR(__xludf.DUMMYFUNCTION("""COMPUTED_VALUE"""),5229)</f>
        <v>5229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IFERROR(__xludf.DUMMYFUNCTION("""COMPUTED_VALUE"""),0)</f>
        <v>0</v>
      </c>
      <c r="Q57" s="38">
        <f ca="1">IFERROR(__xludf.DUMMYFUNCTION("""COMPUTED_VALUE"""),0)</f>
        <v>0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IFERROR(__xludf.DUMMYFUNCTION("""COMPUTED_VALUE"""),"A.COM. DE AP. COL. EST. DE MURICILANDIA")</f>
        <v>A.COM. DE AP. COL. EST. DE MURICILANDIA</v>
      </c>
      <c r="D58" s="41" t="str">
        <f ca="1">IFERROR(__xludf.DUMMYFUNCTION("""COMPUTED_VALUE"""),"01911084000188")</f>
        <v>01911084000188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IFERROR(__xludf.DUMMYFUNCTION("""COMPUTED_VALUE"""),"8350X")</f>
        <v>8350X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IFERROR(__xludf.DUMMYFUNCTION("""COMPUTED_VALUE"""),2415)</f>
        <v>2415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IFERROR(__xludf.DUMMYFUNCTION("""COMPUTED_VALUE"""),273)</f>
        <v>273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IFERROR(__xludf.DUMMYFUNCTION("""COMPUTED_VALUE"""),"Nova Olinda")</f>
        <v>Nova Olinda</v>
      </c>
      <c r="C59" s="35" t="str">
        <f ca="1">IFERROR(__xludf.DUMMYFUNCTION("""COMPUTED_VALUE"""),"A.A. ESC. COL. E. HELIO DE SOUZA BUENO")</f>
        <v>A.A. ESC. COL. E. HELIO DE SOUZA BUENO</v>
      </c>
      <c r="D59" s="36" t="str">
        <f ca="1">IFERROR(__xludf.DUMMYFUNCTION("""COMPUTED_VALUE"""),"01186466000196")</f>
        <v>01186466000196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IFERROR(__xludf.DUMMYFUNCTION("""COMPUTED_VALUE"""),"0462985")</f>
        <v>0462985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IFERROR(__xludf.DUMMYFUNCTION("""COMPUTED_VALUE"""),6363)</f>
        <v>6363</v>
      </c>
      <c r="K59" s="38">
        <f ca="1">IFERROR(__xludf.DUMMYFUNCTION("""COMPUTED_VALUE"""),0)</f>
        <v>0</v>
      </c>
      <c r="L59" s="38">
        <f ca="1">IFERROR(__xludf.DUMMYFUNCTION("""COMPUTED_VALUE"""),0)</f>
        <v>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IFERROR(__xludf.DUMMYFUNCTION("""COMPUTED_VALUE"""),399)</f>
        <v>399</v>
      </c>
      <c r="Q59" s="38">
        <f ca="1">IFERROR(__xludf.DUMMYFUNCTION("""COMPUTED_VALUE"""),8316)</f>
        <v>8316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IFERROR(__xludf.DUMMYFUNCTION("""COMPUTED_VALUE"""),1176)</f>
        <v>1176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IFERROR(__xludf.DUMMYFUNCTION("""COMPUTED_VALUE"""),"ASSOCIAÇÃO DE APOIO A ESCOLA ESPECIAL RENASCER")</f>
        <v>ASSOCIAÇÃO DE APOIO A ESCOLA ESPECIAL RENASCER</v>
      </c>
      <c r="D60" s="41" t="str">
        <f ca="1">IFERROR(__xludf.DUMMYFUNCTION("""COMPUTED_VALUE"""),"07951646000101")</f>
        <v>07951646000101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IFERROR(__xludf.DUMMYFUNCTION("""COMPUTED_VALUE"""),"541028")</f>
        <v>541028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IFERROR(__xludf.DUMMYFUNCTION("""COMPUTED_VALUE"""),189)</f>
        <v>189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IFERROR(__xludf.DUMMYFUNCTION("""COMPUTED_VALUE"""),1197)</f>
        <v>1197</v>
      </c>
      <c r="Q60" s="43">
        <f ca="1">IFERROR(__xludf.DUMMYFUNCTION("""COMPUTED_VALUE"""),0)</f>
        <v>0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IFERROR(__xludf.DUMMYFUNCTION("""COMPUTED_VALUE"""),1008)</f>
        <v>1008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IFERROR(__xludf.DUMMYFUNCTION("""COMPUTED_VALUE"""),"A.A. E. E. PROFA. HAMEDY CURY QUEIROZ")</f>
        <v>A.A. E. E. PROFA. HAMEDY CURY QUEIROZ</v>
      </c>
      <c r="D61" s="36" t="str">
        <f ca="1">IFERROR(__xludf.DUMMYFUNCTION("""COMPUTED_VALUE"""),"01431375000179")</f>
        <v>01431375000179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IFERROR(__xludf.DUMMYFUNCTION("""COMPUTED_VALUE"""),"0468010")</f>
        <v>0468010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IFERROR(__xludf.DUMMYFUNCTION("""COMPUTED_VALUE"""),8820)</f>
        <v>8820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IFERROR(__xludf.DUMMYFUNCTION("""COMPUTED_VALUE"""),420)</f>
        <v>420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IFERROR(__xludf.DUMMYFUNCTION("""COMPUTED_VALUE"""),0)</f>
        <v>0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IFERROR(__xludf.DUMMYFUNCTION("""COMPUTED_VALUE"""),"Piraque")</f>
        <v>Piraque</v>
      </c>
      <c r="C62" s="40" t="str">
        <f ca="1">IFERROR(__xludf.DUMMYFUNCTION("""COMPUTED_VALUE"""),"A.A.  ESCOLA ESTADUAL SAO JOSE")</f>
        <v>A.A.  ESCOLA ESTADUAL SAO JOSE</v>
      </c>
      <c r="D62" s="41" t="str">
        <f ca="1">IFERROR(__xludf.DUMMYFUNCTION("""COMPUTED_VALUE"""),"01243654000109")</f>
        <v>01243654000109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IFERROR(__xludf.DUMMYFUNCTION("""COMPUTED_VALUE"""),"465283")</f>
        <v>465283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IFERROR(__xludf.DUMMYFUNCTION("""COMPUTED_VALUE"""),2688)</f>
        <v>2688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IFERROR(__xludf.DUMMYFUNCTION("""COMPUTED_VALUE"""),0)</f>
        <v>0</v>
      </c>
      <c r="Q62" s="43">
        <f ca="1">IFERROR(__xludf.DUMMYFUNCTION("""COMPUTED_VALUE"""),1890)</f>
        <v>1890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IFERROR(__xludf.DUMMYFUNCTION("""COMPUTED_VALUE"""),"Riachinho")</f>
        <v>Riachinho</v>
      </c>
      <c r="C63" s="35" t="str">
        <f ca="1">IFERROR(__xludf.DUMMYFUNCTION("""COMPUTED_VALUE"""),"ASSOC. DE APOIO ESC. EST. JOAO XXIII")</f>
        <v>ASSOC. DE APOIO ESC. EST. JOAO XXIII</v>
      </c>
      <c r="D63" s="36" t="str">
        <f ca="1">IFERROR(__xludf.DUMMYFUNCTION("""COMPUTED_VALUE"""),"01136006000153")</f>
        <v>01136006000153</v>
      </c>
      <c r="E63" s="37" t="str">
        <f ca="1">IFERROR(__xludf.DUMMYFUNCTION("""COMPUTED_VALUE"""),"001")</f>
        <v>001</v>
      </c>
      <c r="F63" s="38" t="str">
        <f ca="1">IFERROR(__xludf.DUMMYFUNCTION("""COMPUTED_VALUE"""),"3973")</f>
        <v>3973</v>
      </c>
      <c r="G63" s="38" t="str">
        <f ca="1">IFERROR(__xludf.DUMMYFUNCTION("""COMPUTED_VALUE"""),"51969")</f>
        <v>51969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IFERROR(__xludf.DUMMYFUNCTION("""COMPUTED_VALUE"""),0)</f>
        <v>0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IFERROR(__xludf.DUMMYFUNCTION("""COMPUTED_VALUE"""),105)</f>
        <v>105</v>
      </c>
      <c r="Q63" s="38">
        <f ca="1">IFERROR(__xludf.DUMMYFUNCTION("""COMPUTED_VALUE"""),4158)</f>
        <v>4158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IFERROR(__xludf.DUMMYFUNCTION("""COMPUTED_VALUE"""),"Santa Fe do Araguaia")</f>
        <v>Santa Fe do Araguaia</v>
      </c>
      <c r="C64" s="40" t="str">
        <f ca="1">IFERROR(__xludf.DUMMYFUNCTION("""COMPUTED_VALUE"""),"A.A. ESC. EST. ANAIDES BRITO MIRANDA")</f>
        <v>A.A. ESC. EST. ANAIDES BRITO MIRANDA</v>
      </c>
      <c r="D64" s="41" t="str">
        <f ca="1">IFERROR(__xludf.DUMMYFUNCTION("""COMPUTED_VALUE"""),"01919025000156")</f>
        <v>01919025000156</v>
      </c>
      <c r="E64" s="42" t="str">
        <f ca="1">IFERROR(__xludf.DUMMYFUNCTION("""COMPUTED_VALUE"""),"001")</f>
        <v>001</v>
      </c>
      <c r="F64" s="43" t="str">
        <f ca="1">IFERROR(__xludf.DUMMYFUNCTION("""COMPUTED_VALUE"""),"4791")</f>
        <v>4791</v>
      </c>
      <c r="G64" s="43" t="str">
        <f ca="1">IFERROR(__xludf.DUMMYFUNCTION("""COMPUTED_VALUE"""),"54682")</f>
        <v>54682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IFERROR(__xludf.DUMMYFUNCTION("""COMPUTED_VALUE"""),0)</f>
        <v>0</v>
      </c>
      <c r="Q64" s="43">
        <f ca="1">IFERROR(__xludf.DUMMYFUNCTION("""COMPUTED_VALUE"""),5187)</f>
        <v>5187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 DE AP. DA ESCOLA EST. CASTRO ALVES")</f>
        <v>A. DE AP. DA ESCOLA EST. CASTRO ALVES</v>
      </c>
      <c r="D65" s="36" t="str">
        <f ca="1">IFERROR(__xludf.DUMMYFUNCTION("""COMPUTED_VALUE"""),"01673181000180")</f>
        <v>01673181000180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IFERROR(__xludf.DUMMYFUNCTION("""COMPUTED_VALUE"""),"54739")</f>
        <v>54739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IFERROR(__xludf.DUMMYFUNCTION("""COMPUTED_VALUE"""),8148)</f>
        <v>8148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IFERROR(__xludf.DUMMYFUNCTION("""COMPUTED_VALUE"""),441)</f>
        <v>441</v>
      </c>
      <c r="Q65" s="38">
        <f ca="1">IFERROR(__xludf.DUMMYFUNCTION("""COMPUTED_VALUE"""),1218)</f>
        <v>1218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IFERROR(__xludf.DUMMYFUNCTION("""COMPUTED_VALUE"""),462)</f>
        <v>462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IFERROR(__xludf.DUMMYFUNCTION("""COMPUTED_VALUE"""),"Wanderlandia")</f>
        <v>Wanderlandia</v>
      </c>
      <c r="C66" s="40" t="str">
        <f ca="1">IFERROR(__xludf.DUMMYFUNCTION("""COMPUTED_VALUE"""),"A.A. COL. ESTADUAL JOSE LUIZ SIQUEIRA")</f>
        <v>A.A. COL. ESTADUAL JOSE LUIZ SIQUEIRA</v>
      </c>
      <c r="D66" s="41" t="str">
        <f ca="1">IFERROR(__xludf.DUMMYFUNCTION("""COMPUTED_VALUE"""),"01257082000117")</f>
        <v>01257082000117</v>
      </c>
      <c r="E66" s="42" t="str">
        <f ca="1">IFERROR(__xludf.DUMMYFUNCTION("""COMPUTED_VALUE"""),"001")</f>
        <v>001</v>
      </c>
      <c r="F66" s="43" t="str">
        <f ca="1">IFERROR(__xludf.DUMMYFUNCTION("""COMPUTED_VALUE"""),"0638")</f>
        <v>0638</v>
      </c>
      <c r="G66" s="43" t="str">
        <f ca="1">IFERROR(__xludf.DUMMYFUNCTION("""COMPUTED_VALUE"""),"0465291")</f>
        <v>0465291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IFERROR(__xludf.DUMMYFUNCTION("""COMPUTED_VALUE"""),2646)</f>
        <v>2646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IFERROR(__xludf.DUMMYFUNCTION("""COMPUTED_VALUE"""),504)</f>
        <v>504</v>
      </c>
      <c r="Q66" s="43">
        <f ca="1">IFERROR(__xludf.DUMMYFUNCTION("""COMPUTED_VALUE"""),6048)</f>
        <v>6048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IFERROR(__xludf.DUMMYFUNCTION("""COMPUTED_VALUE"""),0)</f>
        <v>0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IFERROR(__xludf.DUMMYFUNCTION("""COMPUTED_VALUE"""),"ASSOCIAÇÃO DE APOIO DA ESCOLA ESPECIAL MORADA DO SOL")</f>
        <v>ASSOCIAÇÃO DE APOIO DA ESCOLA ESPECIAL MORADA DO SOL</v>
      </c>
      <c r="D67" s="36" t="str">
        <f ca="1">IFERROR(__xludf.DUMMYFUNCTION("""COMPUTED_VALUE"""),"07941368000101")</f>
        <v>07941368000101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IFERROR(__xludf.DUMMYFUNCTION("""COMPUTED_VALUE"""),"537349")</f>
        <v>537349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IFERROR(__xludf.DUMMYFUNCTION("""COMPUTED_VALUE"""),84)</f>
        <v>84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IFERROR(__xludf.DUMMYFUNCTION("""COMPUTED_VALUE"""),1785)</f>
        <v>1785</v>
      </c>
      <c r="Q67" s="38">
        <f ca="1">IFERROR(__xludf.DUMMYFUNCTION("""COMPUTED_VALUE"""),0)</f>
        <v>0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IFERROR(__xludf.DUMMYFUNCTION("""COMPUTED_VALUE"""),1806)</f>
        <v>1806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IFERROR(__xludf.DUMMYFUNCTION("""COMPUTED_VALUE"""),"A.APOIO ESCOLA ESTADUAL D. PEDRO II")</f>
        <v>A.APOIO ESCOLA ESTADUAL D. PEDRO II</v>
      </c>
      <c r="D68" s="41" t="str">
        <f ca="1">IFERROR(__xludf.DUMMYFUNCTION("""COMPUTED_VALUE"""),"01186465000141")</f>
        <v>01186465000141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IFERROR(__xludf.DUMMYFUNCTION("""COMPUTED_VALUE"""),"0463108")</f>
        <v>0463108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IFERROR(__xludf.DUMMYFUNCTION("""COMPUTED_VALUE"""),5418)</f>
        <v>5418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IFERROR(__xludf.DUMMYFUNCTION("""COMPUTED_VALUE"""),399)</f>
        <v>399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IFERROR(__xludf.DUMMYFUNCTION("""COMPUTED_VALUE"""),1806)</f>
        <v>1806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IFERROR(__xludf.DUMMYFUNCTION("""COMPUTED_VALUE"""),"Xambioa")</f>
        <v>Xambioa</v>
      </c>
      <c r="C69" s="35" t="str">
        <f ca="1">IFERROR(__xludf.DUMMYFUNCTION("""COMPUTED_VALUE"""),"A.A. COL. MUL. PROFA. JULIANA BARROS")</f>
        <v>A.A. COL. MUL. PROFA. JULIANA BARROS</v>
      </c>
      <c r="D69" s="36" t="str">
        <f ca="1">IFERROR(__xludf.DUMMYFUNCTION("""COMPUTED_VALUE"""),"01136047000140")</f>
        <v>01136047000140</v>
      </c>
      <c r="E69" s="37" t="str">
        <f ca="1">IFERROR(__xludf.DUMMYFUNCTION("""COMPUTED_VALUE"""),"001")</f>
        <v>001</v>
      </c>
      <c r="F69" s="38" t="str">
        <f ca="1">IFERROR(__xludf.DUMMYFUNCTION("""COMPUTED_VALUE"""),"3773")</f>
        <v>3773</v>
      </c>
      <c r="G69" s="38" t="str">
        <f ca="1">IFERROR(__xludf.DUMMYFUNCTION("""COMPUTED_VALUE"""),"0330027")</f>
        <v>0330027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IFERROR(__xludf.DUMMYFUNCTION("""COMPUTED_VALUE"""),2751)</f>
        <v>2751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IFERROR(__xludf.DUMMYFUNCTION("""COMPUTED_VALUE"""),0)</f>
        <v>0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IFERROR(__xludf.DUMMYFUNCTION("""COMPUTED_VALUE"""),1491)</f>
        <v>1491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 COM. DA ESC. EST. EURICO MOTA")</f>
        <v>A. COM. DA ESC. EST. EURICO MOTA</v>
      </c>
      <c r="D70" s="41" t="str">
        <f ca="1">IFERROR(__xludf.DUMMYFUNCTION("""COMPUTED_VALUE"""),"01718086000155")</f>
        <v>01718086000155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IFERROR(__xludf.DUMMYFUNCTION("""COMPUTED_VALUE"""),"0324744")</f>
        <v>0324744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IFERROR(__xludf.DUMMYFUNCTION("""COMPUTED_VALUE"""),0)</f>
        <v>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IFERROR(__xludf.DUMMYFUNCTION("""COMPUTED_VALUE"""),10290)</f>
        <v>10290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IFERROR(__xludf.DUMMYFUNCTION("""COMPUTED_VALUE"""),0)</f>
        <v>0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IFERROR(__xludf.DUMMYFUNCTION("""COMPUTED_VALUE"""),"Ananas")</f>
        <v>Ananas</v>
      </c>
      <c r="C71" s="35" t="str">
        <f ca="1">IFERROR(__xludf.DUMMYFUNCTION("""COMPUTED_VALUE"""),"AS. DE A. A ESC.PAROQUIAL SAO MIGUEL")</f>
        <v>AS. DE A. A ESC.PAROQUIAL SAO MIGUEL</v>
      </c>
      <c r="D71" s="36" t="str">
        <f ca="1">IFERROR(__xludf.DUMMYFUNCTION("""COMPUTED_VALUE"""),"01133698000186")</f>
        <v>01133698000186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IFERROR(__xludf.DUMMYFUNCTION("""COMPUTED_VALUE"""),"330035")</f>
        <v>330035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IFERROR(__xludf.DUMMYFUNCTION("""COMPUTED_VALUE"""),5397)</f>
        <v>5397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IFERROR(__xludf.DUMMYFUNCTION("""COMPUTED_VALUE"""),231)</f>
        <v>231</v>
      </c>
      <c r="Q71" s="38">
        <f ca="1">IFERROR(__xludf.DUMMYFUNCTION("""COMPUTED_VALUE"""),0)</f>
        <v>0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IFERROR(__xludf.DUMMYFUNCTION("""COMPUTED_VALUE"""),"Araguatins")</f>
        <v>Araguatins</v>
      </c>
      <c r="B72" s="39" t="str">
        <f ca="1">IFERROR(__xludf.DUMMYFUNCTION("""COMPUTED_VALUE"""),"Araguatins")</f>
        <v>Araguatins</v>
      </c>
      <c r="C72" s="40" t="str">
        <f ca="1">IFERROR(__xludf.DUMMYFUNCTION("""COMPUTED_VALUE"""),"ASSOC. APOIO AO CEM PROFESSORA ANTONINA MILHOMEM")</f>
        <v>ASSOC. APOIO AO CEM PROFESSORA ANTONINA MILHOMEM</v>
      </c>
      <c r="D72" s="41" t="str">
        <f ca="1">IFERROR(__xludf.DUMMYFUNCTION("""COMPUTED_VALUE"""),"04675931000140")</f>
        <v>04675931000140</v>
      </c>
      <c r="E72" s="42" t="str">
        <f ca="1">IFERROR(__xludf.DUMMYFUNCTION("""COMPUTED_VALUE"""),"001")</f>
        <v>001</v>
      </c>
      <c r="F72" s="43" t="str">
        <f ca="1">IFERROR(__xludf.DUMMYFUNCTION("""COMPUTED_VALUE"""),"1305")</f>
        <v>1305</v>
      </c>
      <c r="G72" s="43" t="str">
        <f ca="1">IFERROR(__xludf.DUMMYFUNCTION("""COMPUTED_VALUE"""),"209082")</f>
        <v>209082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IFERROR(__xludf.DUMMYFUNCTION("""COMPUTED_VALUE"""),4200)</f>
        <v>4200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IFERROR(__xludf.DUMMYFUNCTION("""COMPUTED_VALUE"""),252)</f>
        <v>252</v>
      </c>
      <c r="Q72" s="43">
        <f ca="1">IFERROR(__xludf.DUMMYFUNCTION("""COMPUTED_VALUE"""),7602)</f>
        <v>7602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IFERROR(__xludf.DUMMYFUNCTION("""COMPUTED_VALUE"""),"A.A. E. EST. ATANAZIO DE MOURA SEIXAS")</f>
        <v>A.A. E. EST. ATANAZIO DE MOURA SEIXAS</v>
      </c>
      <c r="D73" s="36" t="str">
        <f ca="1">IFERROR(__xludf.DUMMYFUNCTION("""COMPUTED_VALUE"""),"01068353000196")</f>
        <v>01068353000196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IFERROR(__xludf.DUMMYFUNCTION("""COMPUTED_VALUE"""),"109215")</f>
        <v>109215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IFERROR(__xludf.DUMMYFUNCTION("""COMPUTED_VALUE"""),1512)</f>
        <v>1512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IFERROR(__xludf.DUMMYFUNCTION("""COMPUTED_VALUE"""),0)</f>
        <v>0</v>
      </c>
      <c r="Q73" s="38">
        <f ca="1">IFERROR(__xludf.DUMMYFUNCTION("""COMPUTED_VALUE"""),777)</f>
        <v>777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IFERROR(__xludf.DUMMYFUNCTION("""COMPUTED_VALUE"""),483)</f>
        <v>483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COL. EST. LEONIDAS G. DUARTE")</f>
        <v>A.A. COL. EST. LEONIDAS G. DUARTE</v>
      </c>
      <c r="D74" s="41" t="str">
        <f ca="1">IFERROR(__xludf.DUMMYFUNCTION("""COMPUTED_VALUE"""),"01190189000195")</f>
        <v>01190189000195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IFERROR(__xludf.DUMMYFUNCTION("""COMPUTED_VALUE"""),"0019143")</f>
        <v>0019143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IFERROR(__xludf.DUMMYFUNCTION("""COMPUTED_VALUE"""),9765)</f>
        <v>9765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IFERROR(__xludf.DUMMYFUNCTION("""COMPUTED_VALUE"""),294)</f>
        <v>294</v>
      </c>
      <c r="Q74" s="43">
        <f ca="1">IFERROR(__xludf.DUMMYFUNCTION("""COMPUTED_VALUE"""),0)</f>
        <v>0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IFERROR(__xludf.DUMMYFUNCTION("""COMPUTED_VALUE"""),0)</f>
        <v>0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A ESC. EST. OSVALDO FRANCO")</f>
        <v>A.A. A ESC. EST. OSVALDO FRANCO</v>
      </c>
      <c r="D75" s="46" t="str">
        <f ca="1">IFERROR(__xludf.DUMMYFUNCTION("""COMPUTED_VALUE"""),"01392733000181")</f>
        <v>01392733000181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IFERROR(__xludf.DUMMYFUNCTION("""COMPUTED_VALUE"""),"109738")</f>
        <v>109738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IFERROR(__xludf.DUMMYFUNCTION("""COMPUTED_VALUE"""),6762)</f>
        <v>6762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IFERROR(__xludf.DUMMYFUNCTION("""COMPUTED_VALUE"""),378)</f>
        <v>378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IFERROR(__xludf.DUMMYFUNCTION("""COMPUTED_VALUE"""),4599)</f>
        <v>4599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ESC. ESTADUAL ALDINAR GONÇALVES DE CARVALHO")</f>
        <v>A.A. ESC. ESTADUAL ALDINAR GONÇALVES DE CARVALHO</v>
      </c>
      <c r="D76" s="41" t="str">
        <f ca="1">IFERROR(__xludf.DUMMYFUNCTION("""COMPUTED_VALUE"""),"09465471000140")</f>
        <v>09465471000140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IFERROR(__xludf.DUMMYFUNCTION("""COMPUTED_VALUE"""),"196657")</f>
        <v>196657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IFERROR(__xludf.DUMMYFUNCTION("""COMPUTED_VALUE"""),0)</f>
        <v>0</v>
      </c>
      <c r="K76" s="43">
        <f ca="1">IFERROR(__xludf.DUMMYFUNCTION("""COMPUTED_VALUE"""),51116.8)</f>
        <v>51116.800000000003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IFERROR(__xludf.DUMMYFUNCTION("""COMPUTED_VALUE"""),651)</f>
        <v>651</v>
      </c>
      <c r="Q76" s="43">
        <f ca="1">IFERROR(__xludf.DUMMYFUNCTION("""COMPUTED_VALUE"""),0)</f>
        <v>0</v>
      </c>
      <c r="R76" s="43">
        <f ca="1">IFERROR(__xludf.DUMMYFUNCTION("""COMPUTED_VALUE"""),3920)</f>
        <v>3920</v>
      </c>
      <c r="S76" s="43">
        <f ca="1">IFERROR(__xludf.DUMMYFUNCTION("""COMPUTED_VALUE"""),0)</f>
        <v>0</v>
      </c>
      <c r="T76" s="43">
        <f ca="1">IFERROR(__xludf.DUMMYFUNCTION("""COMPUTED_VALUE"""),0)</f>
        <v>0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IFERROR(__xludf.DUMMYFUNCTION("""COMPUTED_VALUE"""),4690.59999999999)</f>
        <v>4690.5999999999904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IFERROR(__xludf.DUMMYFUNCTION("""COMPUTED_VALUE"""),"ASSOC. DE APOIO ESC. EST. FREI SAVINO")</f>
        <v>ASSOC. DE APOIO ESC. EST. FREI SAVINO</v>
      </c>
      <c r="D77" s="36" t="str">
        <f ca="1">IFERROR(__xludf.DUMMYFUNCTION("""COMPUTED_VALUE"""),"01181389000181")</f>
        <v>01181389000181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IFERROR(__xludf.DUMMYFUNCTION("""COMPUTED_VALUE"""),"0019437")</f>
        <v>0019437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IFERROR(__xludf.DUMMYFUNCTION("""COMPUTED_VALUE"""),1176)</f>
        <v>1176</v>
      </c>
      <c r="K77" s="38">
        <f ca="1">IFERROR(__xludf.DUMMYFUNCTION("""COMPUTED_VALUE"""),0)</f>
        <v>0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IFERROR(__xludf.DUMMYFUNCTION("""COMPUTED_VALUE"""),378)</f>
        <v>378</v>
      </c>
      <c r="Q77" s="38">
        <f ca="1">IFERROR(__xludf.DUMMYFUNCTION("""COMPUTED_VALUE"""),777)</f>
        <v>777</v>
      </c>
      <c r="R77" s="38">
        <f ca="1">IFERROR(__xludf.DUMMYFUNCTION("""COMPUTED_VALUE"""),0)</f>
        <v>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IFERROR(__xludf.DUMMYFUNCTION("""COMPUTED_VALUE"""),0)</f>
        <v>0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APOIO ESC. EST. DENISE GOMIDE AMUI")</f>
        <v>ASSOC. APOIO ESC. EST. DENISE GOMIDE AMUI</v>
      </c>
      <c r="D78" s="41" t="str">
        <f ca="1">IFERROR(__xludf.DUMMYFUNCTION("""COMPUTED_VALUE"""),"01136000000186")</f>
        <v>01136000000186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IFERROR(__xludf.DUMMYFUNCTION("""COMPUTED_VALUE"""),"0109223")</f>
        <v>0109223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IFERROR(__xludf.DUMMYFUNCTION("""COMPUTED_VALUE"""),0)</f>
        <v>0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IFERROR(__xludf.DUMMYFUNCTION("""COMPUTED_VALUE"""),231)</f>
        <v>231</v>
      </c>
      <c r="Q78" s="43">
        <f ca="1">IFERROR(__xludf.DUMMYFUNCTION("""COMPUTED_VALUE"""),13755)</f>
        <v>13755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IFERROR(__xludf.DUMMYFUNCTION("""COMPUTED_VALUE"""),"A.A.  A ESC. EST. SANTA GERTRUDES")</f>
        <v>A.A.  A ESC. EST. SANTA GERTRUDES</v>
      </c>
      <c r="D79" s="36" t="str">
        <f ca="1">IFERROR(__xludf.DUMMYFUNCTION("""COMPUTED_VALUE"""),"03713455000142")</f>
        <v>03713455000142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IFERROR(__xludf.DUMMYFUNCTION("""COMPUTED_VALUE"""),"78271")</f>
        <v>78271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IFERROR(__xludf.DUMMYFUNCTION("""COMPUTED_VALUE"""),2121)</f>
        <v>2121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IFERROR(__xludf.DUMMYFUNCTION("""COMPUTED_VALUE"""),273)</f>
        <v>273</v>
      </c>
      <c r="Q79" s="38">
        <f ca="1">IFERROR(__xludf.DUMMYFUNCTION("""COMPUTED_VALUE"""),1197)</f>
        <v>1197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ESCOLA ISOLADA BOA SORTE")</f>
        <v>A.A.  A ESCOLA ISOLADA BOA SORTE</v>
      </c>
      <c r="D80" s="41" t="str">
        <f ca="1">IFERROR(__xludf.DUMMYFUNCTION("""COMPUTED_VALUE"""),"03765304000138")</f>
        <v>03765304000138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IFERROR(__xludf.DUMMYFUNCTION("""COMPUTED_VALUE"""),"78964")</f>
        <v>78964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IFERROR(__xludf.DUMMYFUNCTION("""COMPUTED_VALUE"""),1281)</f>
        <v>1281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IFERROR(__xludf.DUMMYFUNCTION("""COMPUTED_VALUE"""),105)</f>
        <v>105</v>
      </c>
      <c r="Q80" s="43">
        <f ca="1">IFERROR(__xludf.DUMMYFUNCTION("""COMPUTED_VALUE"""),798)</f>
        <v>798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IFERROR(__xludf.DUMMYFUNCTION("""COMPUTED_VALUE"""),252)</f>
        <v>252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IFERROR(__xludf.DUMMYFUNCTION("""COMPUTED_VALUE"""),"Augustinopolis")</f>
        <v>Augustinopolis</v>
      </c>
      <c r="C81" s="35" t="str">
        <f ca="1">IFERROR(__xludf.DUMMYFUNCTION("""COMPUTED_VALUE"""),"A.A. CENTRO EST. DE EDUCACAO LA SALLE")</f>
        <v>A.A. CENTRO EST. DE EDUCACAO LA SALLE</v>
      </c>
      <c r="D81" s="36" t="str">
        <f ca="1">IFERROR(__xludf.DUMMYFUNCTION("""COMPUTED_VALUE"""),"01223753000129")</f>
        <v>01223753000129</v>
      </c>
      <c r="E81" s="37" t="str">
        <f ca="1">IFERROR(__xludf.DUMMYFUNCTION("""COMPUTED_VALUE"""),"001")</f>
        <v>001</v>
      </c>
      <c r="F81" s="38" t="str">
        <f ca="1">IFERROR(__xludf.DUMMYFUNCTION("""COMPUTED_VALUE"""),"3975")</f>
        <v>3975</v>
      </c>
      <c r="G81" s="38" t="str">
        <f ca="1">IFERROR(__xludf.DUMMYFUNCTION("""COMPUTED_VALUE"""),"19216")</f>
        <v>19216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IFERROR(__xludf.DUMMYFUNCTION("""COMPUTED_VALUE"""),10542)</f>
        <v>10542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IFERROR(__xludf.DUMMYFUNCTION("""COMPUTED_VALUE"""),693)</f>
        <v>693</v>
      </c>
      <c r="Q81" s="38">
        <f ca="1">IFERROR(__xludf.DUMMYFUNCTION("""COMPUTED_VALUE"""),4788)</f>
        <v>4788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IFERROR(__xludf.DUMMYFUNCTION("""COMPUTED_VALUE"""),0)</f>
        <v>0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IFERROR(__xludf.DUMMYFUNCTION("""COMPUTED_VALUE"""),"ASSOC. DE APOIO COL. EST. MANOEL VICENTE SOUZA")</f>
        <v>ASSOC. DE APOIO COL. EST. MANOEL VICENTE SOUZA</v>
      </c>
      <c r="D82" s="41" t="str">
        <f ca="1">IFERROR(__xludf.DUMMYFUNCTION("""COMPUTED_VALUE"""),"01223642000112")</f>
        <v>01223642000112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IFERROR(__xludf.DUMMYFUNCTION("""COMPUTED_VALUE"""),"139297")</f>
        <v>139297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IFERROR(__xludf.DUMMYFUNCTION("""COMPUTED_VALUE"""),0)</f>
        <v>0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IFERROR(__xludf.DUMMYFUNCTION("""COMPUTED_VALUE"""),0)</f>
        <v>0</v>
      </c>
      <c r="Q82" s="43">
        <f ca="1">IFERROR(__xludf.DUMMYFUNCTION("""COMPUTED_VALUE"""),1995)</f>
        <v>1995</v>
      </c>
      <c r="R82" s="43">
        <f ca="1">IFERROR(__xludf.DUMMYFUNCTION("""COMPUTED_VALUE"""),0)</f>
        <v>0</v>
      </c>
      <c r="S82" s="43">
        <f ca="1">IFERROR(__xludf.DUMMYFUNCTION("""COMPUTED_VALUE"""),30386.1999999999)</f>
        <v>30386.199999999899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IFERROR(__xludf.DUMMYFUNCTION("""COMPUTED_VALUE"""),3015)</f>
        <v>3015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IFERROR(__xludf.DUMMYFUNCTION("""COMPUTED_VALUE"""),"A.A. ESCOLA ESTADUAL AUGUSTINOPOLIS")</f>
        <v>A.A. ESCOLA ESTADUAL AUGUSTINOPOLIS</v>
      </c>
      <c r="D83" s="36" t="str">
        <f ca="1">IFERROR(__xludf.DUMMYFUNCTION("""COMPUTED_VALUE"""),"01133692000109")</f>
        <v>01133692000109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IFERROR(__xludf.DUMMYFUNCTION("""COMPUTED_VALUE"""),"019151")</f>
        <v>019151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IFERROR(__xludf.DUMMYFUNCTION("""COMPUTED_VALUE"""),25244.8)</f>
        <v>25244.799999999999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IFERROR(__xludf.DUMMYFUNCTION("""COMPUTED_VALUE"""),357)</f>
        <v>357</v>
      </c>
      <c r="Q83" s="38">
        <f ca="1">IFERROR(__xludf.DUMMYFUNCTION("""COMPUTED_VALUE"""),0)</f>
        <v>0</v>
      </c>
      <c r="R83" s="38">
        <f ca="1">IFERROR(__xludf.DUMMYFUNCTION("""COMPUTED_VALUE"""),0)</f>
        <v>0</v>
      </c>
      <c r="S83" s="38">
        <f ca="1">IFERROR(__xludf.DUMMYFUNCTION("""COMPUTED_VALUE"""),0)</f>
        <v>0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IFERROR(__xludf.DUMMYFUNCTION("""COMPUTED_VALUE"""),0)</f>
        <v>0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IFERROR(__xludf.DUMMYFUNCTION("""COMPUTED_VALUE"""),2095.79999999999)</f>
        <v>2095.7999999999902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IFERROR(__xludf.DUMMYFUNCTION("""COMPUTED_VALUE"""),"ASSOC. DE AP.ESC. EST. FAZ.DEZESSEIS")</f>
        <v>ASSOC. DE AP.ESC. EST. FAZ.DEZESSEIS</v>
      </c>
      <c r="D84" s="41" t="str">
        <f ca="1">IFERROR(__xludf.DUMMYFUNCTION("""COMPUTED_VALUE"""),"01133695000142")</f>
        <v>01133695000142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IFERROR(__xludf.DUMMYFUNCTION("""COMPUTED_VALUE"""),"0019615")</f>
        <v>0019615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IFERROR(__xludf.DUMMYFUNCTION("""COMPUTED_VALUE"""),2142)</f>
        <v>2142</v>
      </c>
      <c r="K84" s="43">
        <f ca="1">IFERROR(__xludf.DUMMYFUNCTION("""COMPUTED_VALUE"""),0)</f>
        <v>0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IFERROR(__xludf.DUMMYFUNCTION("""COMPUTED_VALUE"""),231)</f>
        <v>231</v>
      </c>
      <c r="Q84" s="43">
        <f ca="1">IFERROR(__xludf.DUMMYFUNCTION("""COMPUTED_VALUE"""),945)</f>
        <v>945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IFERROR(__xludf.DUMMYFUNCTION("""COMPUTED_VALUE"""),3360)</f>
        <v>3360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IFERROR(__xludf.DUMMYFUNCTION("""COMPUTED_VALUE"""),0)</f>
        <v>0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IFERROR(__xludf.DUMMYFUNCTION("""COMPUTED_VALUE"""),"A.A. DA ESCOLA EST. SANTA GENOVEVA")</f>
        <v>A.A. DA ESCOLA EST. SANTA GENOVEVA</v>
      </c>
      <c r="D85" s="36" t="str">
        <f ca="1">IFERROR(__xludf.DUMMYFUNCTION("""COMPUTED_VALUE"""),"01068357000174")</f>
        <v>01068357000174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IFERROR(__xludf.DUMMYFUNCTION("""COMPUTED_VALUE"""),"0019461")</f>
        <v>0019461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IFERROR(__xludf.DUMMYFUNCTION("""COMPUTED_VALUE"""),11844)</f>
        <v>11844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IFERROR(__xludf.DUMMYFUNCTION("""COMPUTED_VALUE"""),336)</f>
        <v>336</v>
      </c>
      <c r="Q85" s="38">
        <f ca="1">IFERROR(__xludf.DUMMYFUNCTION("""COMPUTED_VALUE"""),3003)</f>
        <v>3003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IFERROR(__xludf.DUMMYFUNCTION("""COMPUTED_VALUE"""),0)</f>
        <v>0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IFERROR(__xludf.DUMMYFUNCTION("""COMPUTED_VALUE"""),"Axixa do Tocantins")</f>
        <v>Axixa do Tocantins</v>
      </c>
      <c r="C86" s="40" t="str">
        <f ca="1">IFERROR(__xludf.DUMMYFUNCTION("""COMPUTED_VALUE"""),"ASSOC. DE APOIO COLÉGIO. EST. MAL. RIBAS JUNIOR")</f>
        <v>ASSOC. DE APOIO COLÉGIO. EST. MAL. RIBAS JUNIOR</v>
      </c>
      <c r="D86" s="41" t="str">
        <f ca="1">IFERROR(__xludf.DUMMYFUNCTION("""COMPUTED_VALUE"""),"01086979000125")</f>
        <v>01086979000125</v>
      </c>
      <c r="E86" s="42" t="str">
        <f ca="1">IFERROR(__xludf.DUMMYFUNCTION("""COMPUTED_VALUE"""),"001")</f>
        <v>001</v>
      </c>
      <c r="F86" s="43" t="str">
        <f ca="1">IFERROR(__xludf.DUMMYFUNCTION("""COMPUTED_VALUE"""),"1305")</f>
        <v>1305</v>
      </c>
      <c r="G86" s="43" t="str">
        <f ca="1">IFERROR(__xludf.DUMMYFUNCTION("""COMPUTED_VALUE"""),"209201")</f>
        <v>209201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IFERROR(__xludf.DUMMYFUNCTION("""COMPUTED_VALUE"""),0)</f>
        <v>0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IFERROR(__xludf.DUMMYFUNCTION("""COMPUTED_VALUE"""),273)</f>
        <v>273</v>
      </c>
      <c r="Q86" s="43">
        <f ca="1">IFERROR(__xludf.DUMMYFUNCTION("""COMPUTED_VALUE"""),12747)</f>
        <v>12747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IFERROR(__xludf.DUMMYFUNCTION("""COMPUTED_VALUE"""),"A.A. ESC. EST. SAO FRANCISCO DE ASSIS")</f>
        <v>A.A. ESC. EST. SAO FRANCISCO DE ASSIS</v>
      </c>
      <c r="D87" s="36" t="str">
        <f ca="1">IFERROR(__xludf.DUMMYFUNCTION("""COMPUTED_VALUE"""),"01086980000150")</f>
        <v>01086980000150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IFERROR(__xludf.DUMMYFUNCTION("""COMPUTED_VALUE"""),"19399")</f>
        <v>19399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IFERROR(__xludf.DUMMYFUNCTION("""COMPUTED_VALUE"""),4515)</f>
        <v>4515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IFERROR(__xludf.DUMMYFUNCTION("""COMPUTED_VALUE"""),294)</f>
        <v>294</v>
      </c>
      <c r="Q87" s="38">
        <f ca="1">IFERROR(__xludf.DUMMYFUNCTION("""COMPUTED_VALUE"""),0)</f>
        <v>0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IFERROR(__xludf.DUMMYFUNCTION("""COMPUTED_VALUE"""),"Buriti do Tocantins")</f>
        <v>Buriti do Tocantins</v>
      </c>
      <c r="C88" s="40" t="str">
        <f ca="1">IFERROR(__xludf.DUMMYFUNCTION("""COMPUTED_VALUE"""),"A. DE APOIO DO COLEGIO EST. BURITI")</f>
        <v>A. DE APOIO DO COLEGIO EST. BURITI</v>
      </c>
      <c r="D88" s="41" t="str">
        <f ca="1">IFERROR(__xludf.DUMMYFUNCTION("""COMPUTED_VALUE"""),"01206217000115")</f>
        <v>01206217000115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IFERROR(__xludf.DUMMYFUNCTION("""COMPUTED_VALUE"""),"209406")</f>
        <v>209406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IFERROR(__xludf.DUMMYFUNCTION("""COMPUTED_VALUE"""),0)</f>
        <v>0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IFERROR(__xludf.DUMMYFUNCTION("""COMPUTED_VALUE"""),0)</f>
        <v>0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IFERROR(__xludf.DUMMYFUNCTION("""COMPUTED_VALUE"""),14830.4)</f>
        <v>14830.4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IFERROR(__xludf.DUMMYFUNCTION("""COMPUTED_VALUE"""),1447.19999999999)</f>
        <v>1447.19999999999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IFERROR(__xludf.DUMMYFUNCTION("""COMPUTED_VALUE"""),"A.A. DA ESCOLA ESTADUAL DARCYNOPOLIS")</f>
        <v>A.A. DA ESCOLA ESTADUAL DARCYNOPOLIS</v>
      </c>
      <c r="D89" s="36" t="str">
        <f ca="1">IFERROR(__xludf.DUMMYFUNCTION("""COMPUTED_VALUE"""),"01190184000162")</f>
        <v>01190184000162</v>
      </c>
      <c r="E89" s="37" t="str">
        <f ca="1">IFERROR(__xludf.DUMMYFUNCTION("""COMPUTED_VALUE"""),"001")</f>
        <v>001</v>
      </c>
      <c r="F89" s="38" t="str">
        <f ca="1">IFERROR(__xludf.DUMMYFUNCTION("""COMPUTED_VALUE"""),"3975")</f>
        <v>3975</v>
      </c>
      <c r="G89" s="38" t="str">
        <f ca="1">IFERROR(__xludf.DUMMYFUNCTION("""COMPUTED_VALUE"""),"0019275")</f>
        <v>0019275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IFERROR(__xludf.DUMMYFUNCTION("""COMPUTED_VALUE"""),2058)</f>
        <v>2058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IFERROR(__xludf.DUMMYFUNCTION("""COMPUTED_VALUE"""),273)</f>
        <v>273</v>
      </c>
      <c r="Q89" s="38">
        <f ca="1">IFERROR(__xludf.DUMMYFUNCTION("""COMPUTED_VALUE"""),882)</f>
        <v>882</v>
      </c>
      <c r="R89" s="38">
        <f ca="1">IFERROR(__xludf.DUMMYFUNCTION("""COMPUTED_VALUE"""),0)</f>
        <v>0</v>
      </c>
      <c r="S89" s="38">
        <f ca="1">IFERROR(__xludf.DUMMYFUNCTION("""COMPUTED_VALUE"""),0)</f>
        <v>0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IFERROR(__xludf.DUMMYFUNCTION("""COMPUTED_VALUE"""),0)</f>
        <v>0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ESC. ESTADUAL MINISTRO NEY BRAGA")</f>
        <v>A.A. ESC. ESTADUAL MINISTRO NEY BRAGA</v>
      </c>
      <c r="D90" s="41" t="str">
        <f ca="1">IFERROR(__xludf.DUMMYFUNCTION("""COMPUTED_VALUE"""),"01206220000139")</f>
        <v>01206220000139</v>
      </c>
      <c r="E90" s="42" t="str">
        <f ca="1">IFERROR(__xludf.DUMMYFUNCTION("""COMPUTED_VALUE"""),"001")</f>
        <v>001</v>
      </c>
      <c r="F90" s="43" t="str">
        <f ca="1">IFERROR(__xludf.DUMMYFUNCTION("""COMPUTED_VALUE"""),"1305")</f>
        <v>1305</v>
      </c>
      <c r="G90" s="43" t="str">
        <f ca="1">IFERROR(__xludf.DUMMYFUNCTION("""COMPUTED_VALUE"""),"10941X")</f>
        <v>10941X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IFERROR(__xludf.DUMMYFUNCTION("""COMPUTED_VALUE"""),1155)</f>
        <v>1155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IFERROR(__xludf.DUMMYFUNCTION("""COMPUTED_VALUE"""),210)</f>
        <v>210</v>
      </c>
      <c r="Q90" s="43">
        <f ca="1">IFERROR(__xludf.DUMMYFUNCTION("""COMPUTED_VALUE"""),1092)</f>
        <v>1092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IFERROR(__xludf.DUMMYFUNCTION("""COMPUTED_VALUE"""),273)</f>
        <v>273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E.PRES.TANCREDO DE A.NEVES")</f>
        <v>A.A. ESC. E.PRES.TANCREDO DE A.NEVES</v>
      </c>
      <c r="D91" s="36" t="str">
        <f ca="1">IFERROR(__xludf.DUMMYFUNCTION("""COMPUTED_VALUE"""),"01112478000176")</f>
        <v>01112478000176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IFERROR(__xludf.DUMMYFUNCTION("""COMPUTED_VALUE"""),"10924X")</f>
        <v>10924X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IFERROR(__xludf.DUMMYFUNCTION("""COMPUTED_VALUE"""),3738)</f>
        <v>3738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IFERROR(__xludf.DUMMYFUNCTION("""COMPUTED_VALUE"""),777)</f>
        <v>777</v>
      </c>
      <c r="Q91" s="38">
        <f ca="1">IFERROR(__xludf.DUMMYFUNCTION("""COMPUTED_VALUE"""),0)</f>
        <v>0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IFERROR(__xludf.DUMMYFUNCTION("""COMPUTED_VALUE"""),0)</f>
        <v>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EST. VICENTE CARLOS DE SOUSA")</f>
        <v>A.A. ESC. EST. VICENTE CARLOS DE SOUSA</v>
      </c>
      <c r="D92" s="41" t="str">
        <f ca="1">IFERROR(__xludf.DUMMYFUNCTION("""COMPUTED_VALUE"""),"01206288000118")</f>
        <v>01206288000118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IFERROR(__xludf.DUMMYFUNCTION("""COMPUTED_VALUE"""),"0109614")</f>
        <v>0109614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IFERROR(__xludf.DUMMYFUNCTION("""COMPUTED_VALUE"""),8295)</f>
        <v>8295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IFERROR(__xludf.DUMMYFUNCTION("""COMPUTED_VALUE"""),231)</f>
        <v>231</v>
      </c>
      <c r="Q92" s="43">
        <f ca="1">IFERROR(__xludf.DUMMYFUNCTION("""COMPUTED_VALUE"""),2520)</f>
        <v>2520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IFERROR(__xludf.DUMMYFUNCTION("""COMPUTED_VALUE"""),"Carrasco Bonito")</f>
        <v>Carrasco Bonito</v>
      </c>
      <c r="C93" s="35" t="str">
        <f ca="1">IFERROR(__xludf.DUMMYFUNCTION("""COMPUTED_VALUE"""),"A.A. DA ESC. EST. CICERO GOMES")</f>
        <v>A.A. DA ESC. EST. CICERO GOMES</v>
      </c>
      <c r="D93" s="36" t="str">
        <f ca="1">IFERROR(__xludf.DUMMYFUNCTION("""COMPUTED_VALUE"""),"01068377000145")</f>
        <v>01068377000145</v>
      </c>
      <c r="E93" s="37" t="str">
        <f ca="1">IFERROR(__xludf.DUMMYFUNCTION("""COMPUTED_VALUE"""),"001")</f>
        <v>001</v>
      </c>
      <c r="F93" s="38" t="str">
        <f ca="1">IFERROR(__xludf.DUMMYFUNCTION("""COMPUTED_VALUE"""),"3975")</f>
        <v>3975</v>
      </c>
      <c r="G93" s="38" t="str">
        <f ca="1">IFERROR(__xludf.DUMMYFUNCTION("""COMPUTED_VALUE"""),"19291")</f>
        <v>19291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IFERROR(__xludf.DUMMYFUNCTION("""COMPUTED_VALUE"""),1533)</f>
        <v>1533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IFERROR(__xludf.DUMMYFUNCTION("""COMPUTED_VALUE"""),2520)</f>
        <v>2520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 DA ESCOLA ESTADUAL INES VIANA")</f>
        <v>A.A.  DA ESCOLA ESTADUAL INES VIANA</v>
      </c>
      <c r="D94" s="41" t="str">
        <f ca="1">IFERROR(__xludf.DUMMYFUNCTION("""COMPUTED_VALUE"""),"02508340000153")</f>
        <v>02508340000153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IFERROR(__xludf.DUMMYFUNCTION("""COMPUTED_VALUE"""),"51713")</f>
        <v>51713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IFERROR(__xludf.DUMMYFUNCTION("""COMPUTED_VALUE"""),1722)</f>
        <v>1722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IFERROR(__xludf.DUMMYFUNCTION("""COMPUTED_VALUE"""),0)</f>
        <v>0</v>
      </c>
      <c r="Q94" s="43">
        <f ca="1">IFERROR(__xludf.DUMMYFUNCTION("""COMPUTED_VALUE"""),819)</f>
        <v>819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IFERROR(__xludf.DUMMYFUNCTION("""COMPUTED_VALUE"""),"Esperantina")</f>
        <v>Esperantina</v>
      </c>
      <c r="C95" s="35" t="str">
        <f ca="1">IFERROR(__xludf.DUMMYFUNCTION("""COMPUTED_VALUE"""),"A.A. ESC. EST. JOAQUINA MARIA DA SILVA")</f>
        <v>A.A. ESC. EST. JOAQUINA MARIA DA SILVA</v>
      </c>
      <c r="D95" s="36" t="str">
        <f ca="1">IFERROR(__xludf.DUMMYFUNCTION("""COMPUTED_VALUE"""),"01113183000114")</f>
        <v>01113183000114</v>
      </c>
      <c r="E95" s="37" t="str">
        <f ca="1">IFERROR(__xludf.DUMMYFUNCTION("""COMPUTED_VALUE"""),"001")</f>
        <v>001</v>
      </c>
      <c r="F95" s="38" t="str">
        <f ca="1">IFERROR(__xludf.DUMMYFUNCTION("""COMPUTED_VALUE"""),"1305")</f>
        <v>1305</v>
      </c>
      <c r="G95" s="38" t="str">
        <f ca="1">IFERROR(__xludf.DUMMYFUNCTION("""COMPUTED_VALUE"""),"109665")</f>
        <v>109665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IFERROR(__xludf.DUMMYFUNCTION("""COMPUTED_VALUE"""),3255)</f>
        <v>3255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IFERROR(__xludf.DUMMYFUNCTION("""COMPUTED_VALUE"""),5271)</f>
        <v>5271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ESTADUAL ULISSES GUIMARAES")</f>
        <v>A.A. ESC. ESTADUAL ULISSES GUIMARAES</v>
      </c>
      <c r="D96" s="41" t="str">
        <f ca="1">IFERROR(__xludf.DUMMYFUNCTION("""COMPUTED_VALUE"""),"01190183000118")</f>
        <v>01190183000118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IFERROR(__xludf.DUMMYFUNCTION("""COMPUTED_VALUE"""),"109363")</f>
        <v>109363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IFERROR(__xludf.DUMMYFUNCTION("""COMPUTED_VALUE"""),2331)</f>
        <v>2331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IFERROR(__xludf.DUMMYFUNCTION("""COMPUTED_VALUE"""),168)</f>
        <v>168</v>
      </c>
      <c r="Q96" s="43">
        <f ca="1">IFERROR(__xludf.DUMMYFUNCTION("""COMPUTED_VALUE"""),4242)</f>
        <v>4242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FAMÍLIA AGRÍCOLA DO BICO DO PAPAGAIO")</f>
        <v>A.A. ESC. FAMÍLIA AGRÍCOLA DO BICO DO PAPAGAIO</v>
      </c>
      <c r="D97" s="36" t="str">
        <f ca="1">IFERROR(__xludf.DUMMYFUNCTION("""COMPUTED_VALUE"""),"09500499000170")</f>
        <v>09500499000170</v>
      </c>
      <c r="E97" s="37" t="str">
        <f ca="1">IFERROR(__xludf.DUMMYFUNCTION("""COMPUTED_VALUE"""),"001")</f>
        <v>001</v>
      </c>
      <c r="F97" s="38" t="str">
        <f ca="1">IFERROR(__xludf.DUMMYFUNCTION("""COMPUTED_VALUE"""),"3975")</f>
        <v>3975</v>
      </c>
      <c r="G97" s="38" t="str">
        <f ca="1">IFERROR(__xludf.DUMMYFUNCTION("""COMPUTED_VALUE"""),"232653")</f>
        <v>232653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IFERROR(__xludf.DUMMYFUNCTION("""COMPUTED_VALUE"""),0)</f>
        <v>0</v>
      </c>
      <c r="K97" s="38">
        <f ca="1">IFERROR(__xludf.DUMMYFUNCTION("""COMPUTED_VALUE"""),6507.2)</f>
        <v>6507.2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IFERROR(__xludf.DUMMYFUNCTION("""COMPUTED_VALUE"""),0)</f>
        <v>0</v>
      </c>
      <c r="Q97" s="38">
        <f ca="1">IFERROR(__xludf.DUMMYFUNCTION("""COMPUTED_VALUE"""),0)</f>
        <v>0</v>
      </c>
      <c r="R97" s="38">
        <f ca="1">IFERROR(__xludf.DUMMYFUNCTION("""COMPUTED_VALUE"""),8388.8)</f>
        <v>8388.7999999999993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IFERROR(__xludf.DUMMYFUNCTION("""COMPUTED_VALUE"""),28272)</f>
        <v>28272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IFERROR(__xludf.DUMMYFUNCTION("""COMPUTED_VALUE"""),2212.6)</f>
        <v>2212.6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IFERROR(__xludf.DUMMYFUNCTION("""COMPUTED_VALUE"""),"Praia Norte")</f>
        <v>Praia Norte</v>
      </c>
      <c r="C98" s="40" t="str">
        <f ca="1">IFERROR(__xludf.DUMMYFUNCTION("""COMPUTED_VALUE"""),"ASS. DE AP.ESCOLA EST. Iº DE JUNHO")</f>
        <v>ASS. DE AP.ESCOLA EST. Iº DE JUNHO</v>
      </c>
      <c r="D98" s="41" t="str">
        <f ca="1">IFERROR(__xludf.DUMMYFUNCTION("""COMPUTED_VALUE"""),"01392734000126")</f>
        <v>01392734000126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IFERROR(__xludf.DUMMYFUNCTION("""COMPUTED_VALUE"""),"19712")</f>
        <v>19712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IFERROR(__xludf.DUMMYFUNCTION("""COMPUTED_VALUE"""),0)</f>
        <v>0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IFERROR(__xludf.DUMMYFUNCTION("""COMPUTED_VALUE"""),0)</f>
        <v>0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AP.ESC. ESTADUAL GENESIO GOMES")</f>
        <v>ASS. AP.ESC. ESTADUAL GENESIO GOMES</v>
      </c>
      <c r="D99" s="36" t="str">
        <f ca="1">IFERROR(__xludf.DUMMYFUNCTION("""COMPUTED_VALUE"""),"01192607000183")</f>
        <v>01192607000183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IFERROR(__xludf.DUMMYFUNCTION("""COMPUTED_VALUE"""),"19690")</f>
        <v>19690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IFERROR(__xludf.DUMMYFUNCTION("""COMPUTED_VALUE"""),0)</f>
        <v>0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IFERROR(__xludf.DUMMYFUNCTION("""COMPUTED_VALUE"""),0)</f>
        <v>0</v>
      </c>
      <c r="Q99" s="38">
        <f ca="1">IFERROR(__xludf.DUMMYFUNCTION("""COMPUTED_VALUE"""),6888)</f>
        <v>6888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IFERROR(__xludf.DUMMYFUNCTION("""COMPUTED_VALUE"""),1029)</f>
        <v>1029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IFERROR(__xludf.DUMMYFUNCTION("""COMPUTED_VALUE"""),"Sampaio")</f>
        <v>Sampaio</v>
      </c>
      <c r="C100" s="40" t="str">
        <f ca="1">IFERROR(__xludf.DUMMYFUNCTION("""COMPUTED_VALUE"""),"A. DE AP. DA ESCOLA ESTADUAL SAMPAIO")</f>
        <v>A. DE AP. DA ESCOLA ESTADUAL SAMPAIO</v>
      </c>
      <c r="D100" s="41" t="str">
        <f ca="1">IFERROR(__xludf.DUMMYFUNCTION("""COMPUTED_VALUE"""),"01190179000150")</f>
        <v>01190179000150</v>
      </c>
      <c r="E100" s="42" t="str">
        <f ca="1">IFERROR(__xludf.DUMMYFUNCTION("""COMPUTED_VALUE"""),"001")</f>
        <v>001</v>
      </c>
      <c r="F100" s="43" t="str">
        <f ca="1">IFERROR(__xludf.DUMMYFUNCTION("""COMPUTED_VALUE"""),"1305")</f>
        <v>1305</v>
      </c>
      <c r="G100" s="43" t="str">
        <f ca="1">IFERROR(__xludf.DUMMYFUNCTION("""COMPUTED_VALUE"""),"0019178")</f>
        <v>0019178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IFERROR(__xludf.DUMMYFUNCTION("""COMPUTED_VALUE"""),8253)</f>
        <v>8253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IFERROR(__xludf.DUMMYFUNCTION("""COMPUTED_VALUE"""),252)</f>
        <v>252</v>
      </c>
      <c r="Q100" s="43">
        <f ca="1">IFERROR(__xludf.DUMMYFUNCTION("""COMPUTED_VALUE"""),4788)</f>
        <v>4788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IFERROR(__xludf.DUMMYFUNCTION("""COMPUTED_VALUE"""),0)</f>
        <v>0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IFERROR(__xludf.DUMMYFUNCTION("""COMPUTED_VALUE"""),"Sao Bento do Tocantins")</f>
        <v>Sao Bento do Tocantins</v>
      </c>
      <c r="C101" s="35" t="str">
        <f ca="1">IFERROR(__xludf.DUMMYFUNCTION("""COMPUTED_VALUE"""),"A.A. COLEGIO EST. IRMAOS FILGUEIRAS")</f>
        <v>A.A. COLEGIO EST. IRMAOS FILGUEIRAS</v>
      </c>
      <c r="D101" s="36" t="str">
        <f ca="1">IFERROR(__xludf.DUMMYFUNCTION("""COMPUTED_VALUE"""),"01068348000183")</f>
        <v>01068348000183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IFERROR(__xludf.DUMMYFUNCTION("""COMPUTED_VALUE"""),"109134")</f>
        <v>109134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IFERROR(__xludf.DUMMYFUNCTION("""COMPUTED_VALUE"""),4032)</f>
        <v>4032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IFERROR(__xludf.DUMMYFUNCTION("""COMPUTED_VALUE"""),378)</f>
        <v>378</v>
      </c>
      <c r="Q101" s="38">
        <f ca="1">IFERROR(__xludf.DUMMYFUNCTION("""COMPUTED_VALUE"""),4788)</f>
        <v>4788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IFERROR(__xludf.DUMMYFUNCTION("""COMPUTED_VALUE"""),1449)</f>
        <v>1449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ESC. EST. ANAIDES BRITO MIRANDA")</f>
        <v>A.A. ESC. EST. ANAIDES BRITO MIRANDA</v>
      </c>
      <c r="D102" s="41" t="str">
        <f ca="1">IFERROR(__xludf.DUMMYFUNCTION("""COMPUTED_VALUE"""),"01181993000108")</f>
        <v>01181993000108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IFERROR(__xludf.DUMMYFUNCTION("""COMPUTED_VALUE"""),"10938x")</f>
        <v>10938x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IFERROR(__xludf.DUMMYFUNCTION("""COMPUTED_VALUE"""),1617)</f>
        <v>1617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IFERROR(__xludf.DUMMYFUNCTION("""COMPUTED_VALUE"""),252)</f>
        <v>252</v>
      </c>
      <c r="Q102" s="43">
        <f ca="1">IFERROR(__xludf.DUMMYFUNCTION("""COMPUTED_VALUE"""),1029)</f>
        <v>1029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IFERROR(__xludf.DUMMYFUNCTION("""COMPUTED_VALUE"""),315)</f>
        <v>315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Miguel do Tocantins")</f>
        <v>Sao Miguel do Tocantins</v>
      </c>
      <c r="C103" s="35" t="str">
        <f ca="1">IFERROR(__xludf.DUMMYFUNCTION("""COMPUTED_VALUE"""),"A.A.  DA ESCOLA ESTADUAL BELA VISTA")</f>
        <v>A.A.  DA ESCOLA ESTADUAL BELA VISTA</v>
      </c>
      <c r="D103" s="36" t="str">
        <f ca="1">IFERROR(__xludf.DUMMYFUNCTION("""COMPUTED_VALUE"""),"01230238000176")</f>
        <v>01230238000176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IFERROR(__xludf.DUMMYFUNCTION("""COMPUTED_VALUE"""),"0217948")</f>
        <v>0217948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IFERROR(__xludf.DUMMYFUNCTION("""COMPUTED_VALUE"""),5880)</f>
        <v>5880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IFERROR(__xludf.DUMMYFUNCTION("""COMPUTED_VALUE"""),0)</f>
        <v>0</v>
      </c>
      <c r="Q103" s="38">
        <f ca="1">IFERROR(__xludf.DUMMYFUNCTION("""COMPUTED_VALUE"""),4599)</f>
        <v>4599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IFERROR(__xludf.DUMMYFUNCTION("""COMPUTED_VALUE"""),0)</f>
        <v>0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ESCOLA ESTADUAL SAO MIGUEL")</f>
        <v>A.A.  ESCOLA ESTADUAL SAO MIGUEL</v>
      </c>
      <c r="D104" s="41" t="str">
        <f ca="1">IFERROR(__xludf.DUMMYFUNCTION("""COMPUTED_VALUE"""),"01213523000189")</f>
        <v>01213523000189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IFERROR(__xludf.DUMMYFUNCTION("""COMPUTED_VALUE"""),"173576")</f>
        <v>173576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IFERROR(__xludf.DUMMYFUNCTION("""COMPUTED_VALUE"""),4242)</f>
        <v>4242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IFERROR(__xludf.DUMMYFUNCTION("""COMPUTED_VALUE"""),252)</f>
        <v>252</v>
      </c>
      <c r="Q104" s="43">
        <f ca="1">IFERROR(__xludf.DUMMYFUNCTION("""COMPUTED_VALUE"""),5838)</f>
        <v>5838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Sebastiao do Tocantins")</f>
        <v>Sao Sebastiao do Tocantins</v>
      </c>
      <c r="C105" s="35" t="str">
        <f ca="1">IFERROR(__xludf.DUMMYFUNCTION("""COMPUTED_VALUE"""),"A.A.  DO COL. EST.IRIO OLIVEIRA SOUZA")</f>
        <v>A.A.  DO COL. EST.IRIO OLIVEIRA SOUZA</v>
      </c>
      <c r="D105" s="36" t="str">
        <f ca="1">IFERROR(__xludf.DUMMYFUNCTION("""COMPUTED_VALUE"""),"01112477000121")</f>
        <v>01112477000121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IFERROR(__xludf.DUMMYFUNCTION("""COMPUTED_VALUE"""),"0109282")</f>
        <v>0109282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IFERROR(__xludf.DUMMYFUNCTION("""COMPUTED_VALUE"""),0)</f>
        <v>0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IFERROR(__xludf.DUMMYFUNCTION("""COMPUTED_VALUE"""),0)</f>
        <v>0</v>
      </c>
      <c r="Q105" s="38">
        <f ca="1">IFERROR(__xludf.DUMMYFUNCTION("""COMPUTED_VALUE"""),3843)</f>
        <v>3843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E. E. DR.PEDRO LUDOVICO TEIXEIRA")</f>
        <v>A.A. E. E. DR.PEDRO LUDOVICO TEIXEIRA</v>
      </c>
      <c r="D106" s="41" t="str">
        <f ca="1">IFERROR(__xludf.DUMMYFUNCTION("""COMPUTED_VALUE"""),"01186462000108")</f>
        <v>01186462000108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IFERROR(__xludf.DUMMYFUNCTION("""COMPUTED_VALUE"""),"109711")</f>
        <v>109711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IFERROR(__xludf.DUMMYFUNCTION("""COMPUTED_VALUE"""),2961)</f>
        <v>2961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IFERROR(__xludf.DUMMYFUNCTION("""COMPUTED_VALUE"""),315)</f>
        <v>315</v>
      </c>
      <c r="Q106" s="43">
        <f ca="1">IFERROR(__xludf.DUMMYFUNCTION("""COMPUTED_VALUE"""),0)</f>
        <v>0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IFERROR(__xludf.DUMMYFUNCTION("""COMPUTED_VALUE"""),1302)</f>
        <v>1302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IFERROR(__xludf.DUMMYFUNCTION("""COMPUTED_VALUE"""),"Sitio Novo do Tocantins")</f>
        <v>Sitio Novo do Tocantins</v>
      </c>
      <c r="C107" s="35" t="str">
        <f ca="1">IFERROR(__xludf.DUMMYFUNCTION("""COMPUTED_VALUE"""),"A.A. COL. EST. MARECHAEL RIBAS JUNIOR")</f>
        <v>A.A. COL. EST. MARECHAEL RIBAS JUNIOR</v>
      </c>
      <c r="D107" s="36" t="str">
        <f ca="1">IFERROR(__xludf.DUMMYFUNCTION("""COMPUTED_VALUE"""),"01230241000190")</f>
        <v>01230241000190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IFERROR(__xludf.DUMMYFUNCTION("""COMPUTED_VALUE"""),"217964")</f>
        <v>217964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IFERROR(__xludf.DUMMYFUNCTION("""COMPUTED_VALUE"""),2646)</f>
        <v>2646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IFERROR(__xludf.DUMMYFUNCTION("""COMPUTED_VALUE"""),0)</f>
        <v>0</v>
      </c>
      <c r="Q107" s="38">
        <f ca="1">IFERROR(__xludf.DUMMYFUNCTION("""COMPUTED_VALUE"""),6342)</f>
        <v>6342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IFERROR(__xludf.DUMMYFUNCTION("""COMPUTED_VALUE"""),1449)</f>
        <v>1449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E. EST. JOAQUIM TEOTONIO SEGURADO")</f>
        <v>A.A. E. EST. JOAQUIM TEOTONIO SEGURADO</v>
      </c>
      <c r="D108" s="41" t="str">
        <f ca="1">IFERROR(__xludf.DUMMYFUNCTION("""COMPUTED_VALUE"""),"01230240000145")</f>
        <v>01230240000145</v>
      </c>
      <c r="E108" s="42" t="str">
        <f ca="1">IFERROR(__xludf.DUMMYFUNCTION("""COMPUTED_VALUE"""),"001")</f>
        <v>001</v>
      </c>
      <c r="F108" s="43" t="str">
        <f ca="1">IFERROR(__xludf.DUMMYFUNCTION("""COMPUTED_VALUE"""),"0810")</f>
        <v>0810</v>
      </c>
      <c r="G108" s="43" t="str">
        <f ca="1">IFERROR(__xludf.DUMMYFUNCTION("""COMPUTED_VALUE"""),"217972")</f>
        <v>217972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IFERROR(__xludf.DUMMYFUNCTION("""COMPUTED_VALUE"""),924)</f>
        <v>924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IFERROR(__xludf.DUMMYFUNCTION("""COMPUTED_VALUE"""),0)</f>
        <v>0</v>
      </c>
      <c r="Q108" s="43">
        <f ca="1">IFERROR(__xludf.DUMMYFUNCTION("""COMPUTED_VALUE"""),1512)</f>
        <v>1512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IFERROR(__xludf.DUMMYFUNCTION("""COMPUTED_VALUE"""),0)</f>
        <v>0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ESC. EST. MANOEL ESTEVAO DE SOUZA")</f>
        <v>A.A. ESC. EST. MANOEL ESTEVAO DE SOUZA</v>
      </c>
      <c r="D109" s="36" t="str">
        <f ca="1">IFERROR(__xludf.DUMMYFUNCTION("""COMPUTED_VALUE"""),"01213534000169")</f>
        <v>01213534000169</v>
      </c>
      <c r="E109" s="37" t="str">
        <f ca="1">IFERROR(__xludf.DUMMYFUNCTION("""COMPUTED_VALUE"""),"001")</f>
        <v>001</v>
      </c>
      <c r="F109" s="38" t="str">
        <f ca="1">IFERROR(__xludf.DUMMYFUNCTION("""COMPUTED_VALUE"""),"1305")</f>
        <v>1305</v>
      </c>
      <c r="G109" s="38" t="str">
        <f ca="1">IFERROR(__xludf.DUMMYFUNCTION("""COMPUTED_VALUE"""),"181048")</f>
        <v>181048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IFERROR(__xludf.DUMMYFUNCTION("""COMPUTED_VALUE"""),2310)</f>
        <v>2310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IFERROR(__xludf.DUMMYFUNCTION("""COMPUTED_VALUE"""),336)</f>
        <v>336</v>
      </c>
      <c r="Q109" s="38">
        <f ca="1">IFERROR(__xludf.DUMMYFUNCTION("""COMPUTED_VALUE"""),0)</f>
        <v>0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RAIMUNDO NONATO LEITE")</f>
        <v>A.A. ESC. EST. RAIMUNDO NONATO LEITE</v>
      </c>
      <c r="D110" s="41" t="str">
        <f ca="1">IFERROR(__xludf.DUMMYFUNCTION("""COMPUTED_VALUE"""),"01230237000121")</f>
        <v>01230237000121</v>
      </c>
      <c r="E110" s="42" t="str">
        <f ca="1">IFERROR(__xludf.DUMMYFUNCTION("""COMPUTED_VALUE"""),"001")</f>
        <v>001</v>
      </c>
      <c r="F110" s="43" t="str">
        <f ca="1">IFERROR(__xludf.DUMMYFUNCTION("""COMPUTED_VALUE"""),"0810")</f>
        <v>0810</v>
      </c>
      <c r="G110" s="43" t="str">
        <f ca="1">IFERROR(__xludf.DUMMYFUNCTION("""COMPUTED_VALUE"""),"217980")</f>
        <v>217980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IFERROR(__xludf.DUMMYFUNCTION("""COMPUTED_VALUE"""),966)</f>
        <v>966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IFERROR(__xludf.DUMMYFUNCTION("""COMPUTED_VALUE"""),0)</f>
        <v>0</v>
      </c>
      <c r="Q110" s="43">
        <f ca="1">IFERROR(__xludf.DUMMYFUNCTION("""COMPUTED_VALUE"""),1008)</f>
        <v>1008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IFERROR(__xludf.DUMMYFUNCTION("""COMPUTED_VALUE"""),"Arraias")</f>
        <v>Arraias</v>
      </c>
      <c r="B111" s="34" t="str">
        <f ca="1">IFERROR(__xludf.DUMMYFUNCTION("""COMPUTED_VALUE"""),"Arraias")</f>
        <v>Arraias</v>
      </c>
      <c r="C111" s="35" t="str">
        <f ca="1">IFERROR(__xludf.DUMMYFUNCTION("""COMPUTED_VALUE"""),"A. E. COM.COL EST PROFA. JOANA B. CORDEIRO")</f>
        <v>A. E. COM.COL EST PROFA. JOANA B. CORDEIRO</v>
      </c>
      <c r="D111" s="36" t="str">
        <f ca="1">IFERROR(__xludf.DUMMYFUNCTION("""COMPUTED_VALUE"""),"00922190000102")</f>
        <v>00922190000102</v>
      </c>
      <c r="E111" s="37" t="str">
        <f ca="1">IFERROR(__xludf.DUMMYFUNCTION("""COMPUTED_VALUE"""),"001")</f>
        <v>001</v>
      </c>
      <c r="F111" s="38" t="str">
        <f ca="1">IFERROR(__xludf.DUMMYFUNCTION("""COMPUTED_VALUE"""),"0541")</f>
        <v>0541</v>
      </c>
      <c r="G111" s="38" t="str">
        <f ca="1">IFERROR(__xludf.DUMMYFUNCTION("""COMPUTED_VALUE"""),"231770")</f>
        <v>231770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IFERROR(__xludf.DUMMYFUNCTION("""COMPUTED_VALUE"""),0)</f>
        <v>0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IFERROR(__xludf.DUMMYFUNCTION("""COMPUTED_VALUE"""),126)</f>
        <v>126</v>
      </c>
      <c r="Q111" s="38">
        <f ca="1">IFERROR(__xludf.DUMMYFUNCTION("""COMPUTED_VALUE"""),0)</f>
        <v>0</v>
      </c>
      <c r="R111" s="38">
        <f ca="1">IFERROR(__xludf.DUMMYFUNCTION("""COMPUTED_VALUE"""),0)</f>
        <v>0</v>
      </c>
      <c r="S111" s="38">
        <f ca="1">IFERROR(__xludf.DUMMYFUNCTION("""COMPUTED_VALUE"""),4271.79999999999)</f>
        <v>4271.7999999999902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IFERROR(__xludf.DUMMYFUNCTION("""COMPUTED_VALUE"""),482.4)</f>
        <v>482.4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IFERROR(__xludf.DUMMYFUNCTION("""COMPUTED_VALUE"""),"A.A. ESC. AGRÍCOLA DAVID AIRES FRANÇA")</f>
        <v>A.A. ESC. AGRÍCOLA DAVID AIRES FRANÇA</v>
      </c>
      <c r="D112" s="41" t="str">
        <f ca="1">IFERROR(__xludf.DUMMYFUNCTION("""COMPUTED_VALUE"""),"04302970000100")</f>
        <v>04302970000100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IFERROR(__xludf.DUMMYFUNCTION("""COMPUTED_VALUE"""),"94811")</f>
        <v>94811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IFERROR(__xludf.DUMMYFUNCTION("""COMPUTED_VALUE"""),3920)</f>
        <v>3920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IFERROR(__xludf.DUMMYFUNCTION("""COMPUTED_VALUE"""),0)</f>
        <v>0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IFERROR(__xludf.DUMMYFUNCTION("""COMPUTED_VALUE"""),8624.19999999999)</f>
        <v>8624.1999999999898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IFERROR(__xludf.DUMMYFUNCTION("""COMPUTED_VALUE"""),11308.8)</f>
        <v>11308.8</v>
      </c>
      <c r="W112" s="43">
        <f ca="1">IFERROR(__xludf.DUMMYFUNCTION("""COMPUTED_VALUE"""),0)</f>
        <v>0</v>
      </c>
      <c r="X112" s="43">
        <f ca="1">IFERROR(__xludf.DUMMYFUNCTION("""COMPUTED_VALUE"""),1582.4)</f>
        <v>1582.4</v>
      </c>
      <c r="Y112" s="43">
        <f ca="1">IFERROR(__xludf.DUMMYFUNCTION("""COMPUTED_VALUE"""),851)</f>
        <v>851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ESCOL. DA ESC. EST. BRIGADEIRO FELIPE")</f>
        <v>A.A. ESCOL. DA ESC. EST. BRIGADEIRO FELIPE</v>
      </c>
      <c r="D113" s="36" t="str">
        <f ca="1">IFERROR(__xludf.DUMMYFUNCTION("""COMPUTED_VALUE"""),"01221149000163")</f>
        <v>01221149000163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IFERROR(__xludf.DUMMYFUNCTION("""COMPUTED_VALUE"""),"232165")</f>
        <v>232165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IFERROR(__xludf.DUMMYFUNCTION("""COMPUTED_VALUE"""),0)</f>
        <v>0</v>
      </c>
      <c r="V113" s="38">
        <f ca="1">IFERROR(__xludf.DUMMYFUNCTION("""COMPUTED_VALUE"""),0)</f>
        <v>0</v>
      </c>
      <c r="W113" s="38">
        <f ca="1">IFERROR(__xludf.DUMMYFUNCTION("""COMPUTED_VALUE"""),0)</f>
        <v>0</v>
      </c>
      <c r="X113" s="38">
        <f ca="1">IFERROR(__xludf.DUMMYFUNCTION("""COMPUTED_VALUE"""),0)</f>
        <v>0</v>
      </c>
      <c r="Y113" s="38">
        <f ca="1">IFERROR(__xludf.DUMMYFUNCTION("""COMPUTED_VALUE"""),0)</f>
        <v>0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IFERROR(__xludf.DUMMYFUNCTION("""COMPUTED_VALUE"""),"ASS. APOIO ESC. EST. JACY ALVES DE BARROS")</f>
        <v>ASS. APOIO ESC. EST. JACY ALVES DE BARROS</v>
      </c>
      <c r="D114" s="41" t="str">
        <f ca="1">IFERROR(__xludf.DUMMYFUNCTION("""COMPUTED_VALUE"""),"01284634000186")</f>
        <v>01284634000186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IFERROR(__xludf.DUMMYFUNCTION("""COMPUTED_VALUE"""),"232246")</f>
        <v>232246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IFERROR(__xludf.DUMMYFUNCTION("""COMPUTED_VALUE"""),4200)</f>
        <v>4200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IFERROR(__xludf.DUMMYFUNCTION("""COMPUTED_VALUE"""),126)</f>
        <v>126</v>
      </c>
      <c r="Q114" s="43">
        <f ca="1">IFERROR(__xludf.DUMMYFUNCTION("""COMPUTED_VALUE"""),0)</f>
        <v>0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IFERROR(__xludf.DUMMYFUNCTION("""COMPUTED_VALUE"""),"A.A. ESCOLA ESTADUAL CANABRAVA/ZULMIRA MAGALHÃES")</f>
        <v>A.A. ESCOLA ESTADUAL CANABRAVA/ZULMIRA MAGALHÃES</v>
      </c>
      <c r="D115" s="36" t="str">
        <f ca="1">IFERROR(__xludf.DUMMYFUNCTION("""COMPUTED_VALUE"""),"01284633000131")</f>
        <v>01284633000131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IFERROR(__xludf.DUMMYFUNCTION("""COMPUTED_VALUE"""),"23219X")</f>
        <v>23219X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IFERROR(__xludf.DUMMYFUNCTION("""COMPUTED_VALUE"""),2352)</f>
        <v>2352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IFERROR(__xludf.DUMMYFUNCTION("""COMPUTED_VALUE"""),273)</f>
        <v>273</v>
      </c>
      <c r="Q115" s="38">
        <f ca="1">IFERROR(__xludf.DUMMYFUNCTION("""COMPUTED_VALUE"""),1323)</f>
        <v>1323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ESCOLAR DA ESC. EST. SILVA DOURADO")</f>
        <v>A.A. ESCOLAR DA ESC. EST. SILVA DOURADO</v>
      </c>
      <c r="D116" s="41" t="str">
        <f ca="1">IFERROR(__xludf.DUMMYFUNCTION("""COMPUTED_VALUE"""),"01301519000172")</f>
        <v>01301519000172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IFERROR(__xludf.DUMMYFUNCTION("""COMPUTED_VALUE"""),"232297")</f>
        <v>232297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IFERROR(__xludf.DUMMYFUNCTION("""COMPUTED_VALUE"""),3507)</f>
        <v>3507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IFERROR(__xludf.DUMMYFUNCTION("""COMPUTED_VALUE"""),231)</f>
        <v>231</v>
      </c>
      <c r="Q116" s="43">
        <f ca="1">IFERROR(__xludf.DUMMYFUNCTION("""COMPUTED_VALUE"""),0)</f>
        <v>0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IFERROR(__xludf.DUMMYFUNCTION("""COMPUTED_VALUE"""),1092)</f>
        <v>1092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IFERROR(__xludf.DUMMYFUNCTION("""COMPUTED_VALUE"""),"Aurora do Tocantins")</f>
        <v>Aurora do Tocantins</v>
      </c>
      <c r="C117" s="35" t="str">
        <f ca="1">IFERROR(__xludf.DUMMYFUNCTION("""COMPUTED_VALUE"""),"A.A. A ESCOLA/COL. EST.PROF. RANULFA")</f>
        <v>A.A. A ESCOLA/COL. EST.PROF. RANULFA</v>
      </c>
      <c r="D117" s="36" t="str">
        <f ca="1">IFERROR(__xludf.DUMMYFUNCTION("""COMPUTED_VALUE"""),"01133691000164")</f>
        <v>01133691000164</v>
      </c>
      <c r="E117" s="37" t="str">
        <f ca="1">IFERROR(__xludf.DUMMYFUNCTION("""COMPUTED_VALUE"""),"001")</f>
        <v>001</v>
      </c>
      <c r="F117" s="38" t="str">
        <f ca="1">IFERROR(__xludf.DUMMYFUNCTION("""COMPUTED_VALUE"""),"3977")</f>
        <v>3977</v>
      </c>
      <c r="G117" s="38" t="str">
        <f ca="1">IFERROR(__xludf.DUMMYFUNCTION("""COMPUTED_VALUE"""),"102725")</f>
        <v>102725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IFERROR(__xludf.DUMMYFUNCTION("""COMPUTED_VALUE"""),588)</f>
        <v>588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IFERROR(__xludf.DUMMYFUNCTION("""COMPUTED_VALUE"""),168)</f>
        <v>168</v>
      </c>
      <c r="Q117" s="38">
        <f ca="1">IFERROR(__xludf.DUMMYFUNCTION("""COMPUTED_VALUE"""),3528)</f>
        <v>3528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IFERROR(__xludf.DUMMYFUNCTION("""COMPUTED_VALUE"""),0)</f>
        <v>0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IFERROR(__xludf.DUMMYFUNCTION("""COMPUTED_VALUE"""),"ASS. APOIO ESCOLA ESTADUAL DONA INES")</f>
        <v>ASS. APOIO ESCOLA ESTADUAL DONA INES</v>
      </c>
      <c r="D118" s="41" t="str">
        <f ca="1">IFERROR(__xludf.DUMMYFUNCTION("""COMPUTED_VALUE"""),"01190419000116")</f>
        <v>01190419000116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IFERROR(__xludf.DUMMYFUNCTION("""COMPUTED_VALUE"""),"109703")</f>
        <v>109703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IFERROR(__xludf.DUMMYFUNCTION("""COMPUTED_VALUE"""),2436)</f>
        <v>2436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IFERROR(__xludf.DUMMYFUNCTION("""COMPUTED_VALUE"""),0)</f>
        <v>0</v>
      </c>
      <c r="Q118" s="43">
        <f ca="1">IFERROR(__xludf.DUMMYFUNCTION("""COMPUTED_VALUE"""),0)</f>
        <v>0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IFERROR(__xludf.DUMMYFUNCTION("""COMPUTED_VALUE"""),"Combinado")</f>
        <v>Combinado</v>
      </c>
      <c r="C119" s="35" t="str">
        <f ca="1">IFERROR(__xludf.DUMMYFUNCTION("""COMPUTED_VALUE"""),"A.A. DO COL. E.JOAQUIM DE SENA E SILVA")</f>
        <v>A.A. DO COL. E.JOAQUIM DE SENA E SILVA</v>
      </c>
      <c r="D119" s="36" t="str">
        <f ca="1">IFERROR(__xludf.DUMMYFUNCTION("""COMPUTED_VALUE"""),"01230223000108")</f>
        <v>01230223000108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IFERROR(__xludf.DUMMYFUNCTION("""COMPUTED_VALUE"""),"232106")</f>
        <v>232106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IFERROR(__xludf.DUMMYFUNCTION("""COMPUTED_VALUE"""),0)</f>
        <v>0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IFERROR(__xludf.DUMMYFUNCTION("""COMPUTED_VALUE"""),4515)</f>
        <v>4515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DA ESCOLA ESTADUAL COMBINADO")</f>
        <v>A.A. DA ESCOLA ESTADUAL COMBINADO</v>
      </c>
      <c r="D120" s="41" t="str">
        <f ca="1">IFERROR(__xludf.DUMMYFUNCTION("""COMPUTED_VALUE"""),"01136003000110")</f>
        <v>01136003000110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IFERROR(__xludf.DUMMYFUNCTION("""COMPUTED_VALUE"""),"231940")</f>
        <v>231940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IFERROR(__xludf.DUMMYFUNCTION("""COMPUTED_VALUE"""),15131.2)</f>
        <v>15131.2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IFERROR(__xludf.DUMMYFUNCTION("""COMPUTED_VALUE"""),0)</f>
        <v>0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IFERROR(__xludf.DUMMYFUNCTION("""COMPUTED_VALUE"""),1297.39999999999)</f>
        <v>1297.3999999999901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ESC. EST. AUGUSTA VAZ DOS S.TEIXEIRA")</f>
        <v>A.A. ESC. EST. AUGUSTA VAZ DOS S.TEIXEIRA</v>
      </c>
      <c r="D121" s="36" t="str">
        <f ca="1">IFERROR(__xludf.DUMMYFUNCTION("""COMPUTED_VALUE"""),"01186458000140")</f>
        <v>01186458000140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IFERROR(__xludf.DUMMYFUNCTION("""COMPUTED_VALUE"""),"56855")</f>
        <v>56855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IFERROR(__xludf.DUMMYFUNCTION("""COMPUTED_VALUE"""),3234)</f>
        <v>3234</v>
      </c>
      <c r="K121" s="38">
        <f ca="1">IFERROR(__xludf.DUMMYFUNCTION("""COMPUTED_VALUE"""),0)</f>
        <v>0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IFERROR(__xludf.DUMMYFUNCTION("""COMPUTED_VALUE"""),336)</f>
        <v>336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IFERROR(__xludf.DUMMYFUNCTION("""COMPUTED_VALUE"""),0)</f>
        <v>0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IFERROR(__xludf.DUMMYFUNCTION("""COMPUTED_VALUE"""),"Lavandeira")</f>
        <v>Lavandeira</v>
      </c>
      <c r="C122" s="40" t="str">
        <f ca="1">IFERROR(__xludf.DUMMYFUNCTION("""COMPUTED_VALUE"""),"ASSOC. DE APOIO ESC. EST. LAVANDEIRA")</f>
        <v>ASSOC. DE APOIO ESC. EST. LAVANDEIRA</v>
      </c>
      <c r="D122" s="41" t="str">
        <f ca="1">IFERROR(__xludf.DUMMYFUNCTION("""COMPUTED_VALUE"""),"01136024000135")</f>
        <v>01136024000135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IFERROR(__xludf.DUMMYFUNCTION("""COMPUTED_VALUE"""),"231916")</f>
        <v>231916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IFERROR(__xludf.DUMMYFUNCTION("""COMPUTED_VALUE"""),2373)</f>
        <v>2373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IFERROR(__xludf.DUMMYFUNCTION("""COMPUTED_VALUE"""),420)</f>
        <v>420</v>
      </c>
      <c r="Q122" s="43">
        <f ca="1">IFERROR(__xludf.DUMMYFUNCTION("""COMPUTED_VALUE"""),1701)</f>
        <v>1701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IFERROR(__xludf.DUMMYFUNCTION("""COMPUTED_VALUE"""),"Novo Alegre")</f>
        <v>Novo Alegre</v>
      </c>
      <c r="C123" s="35" t="str">
        <f ca="1">IFERROR(__xludf.DUMMYFUNCTION("""COMPUTED_VALUE"""),"ASSOC. DE APOIO COL. EST. DR.JOAO D`ABREU")</f>
        <v>ASSOC. DE APOIO COL. EST. DR.JOAO D`ABREU</v>
      </c>
      <c r="D123" s="36" t="str">
        <f ca="1">IFERROR(__xludf.DUMMYFUNCTION("""COMPUTED_VALUE"""),"01146115000151")</f>
        <v>01146115000151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IFERROR(__xludf.DUMMYFUNCTION("""COMPUTED_VALUE"""),"178845")</f>
        <v>178845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IFERROR(__xludf.DUMMYFUNCTION("""COMPUTED_VALUE"""),4200)</f>
        <v>4200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IFERROR(__xludf.DUMMYFUNCTION("""COMPUTED_VALUE"""),399)</f>
        <v>399</v>
      </c>
      <c r="Q123" s="38">
        <f ca="1">IFERROR(__xludf.DUMMYFUNCTION("""COMPUTED_VALUE"""),1491)</f>
        <v>1491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IFERROR(__xludf.DUMMYFUNCTION("""COMPUTED_VALUE"""),"Parana")</f>
        <v>Parana</v>
      </c>
      <c r="C124" s="40" t="str">
        <f ca="1">IFERROR(__xludf.DUMMYFUNCTION("""COMPUTED_VALUE"""),"A.A. DO COL. EST. DES.VIRGILIO DE M.FRANCO")</f>
        <v>A.A. DO COL. EST. DES.VIRGILIO DE M.FRANCO</v>
      </c>
      <c r="D124" s="41" t="str">
        <f ca="1">IFERROR(__xludf.DUMMYFUNCTION("""COMPUTED_VALUE"""),"01284635000120")</f>
        <v>01284635000120</v>
      </c>
      <c r="E124" s="42" t="str">
        <f ca="1">IFERROR(__xludf.DUMMYFUNCTION("""COMPUTED_VALUE"""),"001")</f>
        <v>001</v>
      </c>
      <c r="F124" s="43" t="str">
        <f ca="1">IFERROR(__xludf.DUMMYFUNCTION("""COMPUTED_VALUE"""),"4790")</f>
        <v>4790</v>
      </c>
      <c r="G124" s="43" t="str">
        <f ca="1">IFERROR(__xludf.DUMMYFUNCTION("""COMPUTED_VALUE"""),"232327")</f>
        <v>232327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IFERROR(__xludf.DUMMYFUNCTION("""COMPUTED_VALUE"""),0)</f>
        <v>0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IFERROR(__xludf.DUMMYFUNCTION("""COMPUTED_VALUE"""),0)</f>
        <v>0</v>
      </c>
      <c r="Q124" s="43">
        <f ca="1">IFERROR(__xludf.DUMMYFUNCTION("""COMPUTED_VALUE"""),6699)</f>
        <v>6699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IFERROR(__xludf.DUMMYFUNCTION("""COMPUTED_VALUE"""),903)</f>
        <v>903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DA ESC. EST.EUCLIDES BEZERRA GERAIS")</f>
        <v>A.A. DA ESC. EST.EUCLIDES BEZERRA GERAIS</v>
      </c>
      <c r="D125" s="36" t="str">
        <f ca="1">IFERROR(__xludf.DUMMYFUNCTION("""COMPUTED_VALUE"""),"01401950000190")</f>
        <v>01401950000190</v>
      </c>
      <c r="E125" s="37" t="str">
        <f ca="1">IFERROR(__xludf.DUMMYFUNCTION("""COMPUTED_VALUE"""),"001")</f>
        <v>001</v>
      </c>
      <c r="F125" s="38" t="str">
        <f ca="1">IFERROR(__xludf.DUMMYFUNCTION("""COMPUTED_VALUE"""),"0541")</f>
        <v>0541</v>
      </c>
      <c r="G125" s="38" t="str">
        <f ca="1">IFERROR(__xludf.DUMMYFUNCTION("""COMPUTED_VALUE"""),"232483")</f>
        <v>232483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IFERROR(__xludf.DUMMYFUNCTION("""COMPUTED_VALUE"""),9198)</f>
        <v>9198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IFERROR(__xludf.DUMMYFUNCTION("""COMPUTED_VALUE"""),399)</f>
        <v>399</v>
      </c>
      <c r="Q125" s="38">
        <f ca="1">IFERROR(__xludf.DUMMYFUNCTION("""COMPUTED_VALUE"""),0)</f>
        <v>0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IFERROR(__xludf.DUMMYFUNCTION("""COMPUTED_VALUE"""),0)</f>
        <v>0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IFERROR(__xludf.DUMMYFUNCTION("""COMPUTED_VALUE"""),"ASSOC. DE APOIO A ESC. EST. REUNIDA FLORESTA")</f>
        <v>ASSOC. DE APOIO A ESC. EST. REUNIDA FLORESTA</v>
      </c>
      <c r="D126" s="41" t="str">
        <f ca="1">IFERROR(__xludf.DUMMYFUNCTION("""COMPUTED_VALUE"""),"03834797000110")</f>
        <v>03834797000110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IFERROR(__xludf.DUMMYFUNCTION("""COMPUTED_VALUE"""),"113247")</f>
        <v>113247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IFERROR(__xludf.DUMMYFUNCTION("""COMPUTED_VALUE"""),1008)</f>
        <v>1008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IFERROR(__xludf.DUMMYFUNCTION("""COMPUTED_VALUE"""),105)</f>
        <v>105</v>
      </c>
      <c r="Q126" s="43">
        <f ca="1">IFERROR(__xludf.DUMMYFUNCTION("""COMPUTED_VALUE"""),651)</f>
        <v>651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IFERROR(__xludf.DUMMYFUNCTION("""COMPUTED_VALUE"""),"A.A. A ESC. EST. REUNIDA SANTA RITA DO RIO PALMA")</f>
        <v>A.A. A ESC. EST. REUNIDA SANTA RITA DO RIO PALMA</v>
      </c>
      <c r="D127" s="36" t="str">
        <f ca="1">IFERROR(__xludf.DUMMYFUNCTION("""COMPUTED_VALUE"""),"03834784000141")</f>
        <v>03834784000141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IFERROR(__xludf.DUMMYFUNCTION("""COMPUTED_VALUE"""),"113638")</f>
        <v>113638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IFERROR(__xludf.DUMMYFUNCTION("""COMPUTED_VALUE"""),1260)</f>
        <v>1260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IFERROR(__xludf.DUMMYFUNCTION("""COMPUTED_VALUE"""),0)</f>
        <v>0</v>
      </c>
      <c r="Q127" s="38">
        <f ca="1">IFERROR(__xludf.DUMMYFUNCTION("""COMPUTED_VALUE"""),966)</f>
        <v>966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IFERROR(__xludf.DUMMYFUNCTION("""COMPUTED_VALUE"""),0)</f>
        <v>0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IFERROR(__xludf.DUMMYFUNCTION("""COMPUTED_VALUE"""),"Colinas")</f>
        <v>Colinas</v>
      </c>
      <c r="B128" s="39" t="str">
        <f ca="1">IFERROR(__xludf.DUMMYFUNCTION("""COMPUTED_VALUE"""),"Arapoema")</f>
        <v>Arapoema</v>
      </c>
      <c r="C128" s="40" t="str">
        <f ca="1">IFERROR(__xludf.DUMMYFUNCTION("""COMPUTED_VALUE"""),"A.AP. COL. EST.RUILON DIAS CARNEIRO")</f>
        <v>A.AP. COL. EST.RUILON DIAS CARNEIRO</v>
      </c>
      <c r="D128" s="41" t="str">
        <f ca="1">IFERROR(__xludf.DUMMYFUNCTION("""COMPUTED_VALUE"""),"01133714000130")</f>
        <v>01133714000130</v>
      </c>
      <c r="E128" s="42" t="str">
        <f ca="1">IFERROR(__xludf.DUMMYFUNCTION("""COMPUTED_VALUE"""),"001")</f>
        <v>001</v>
      </c>
      <c r="F128" s="43" t="str">
        <f ca="1">IFERROR(__xludf.DUMMYFUNCTION("""COMPUTED_VALUE"""),"3974")</f>
        <v>3974</v>
      </c>
      <c r="G128" s="43" t="str">
        <f ca="1">IFERROR(__xludf.DUMMYFUNCTION("""COMPUTED_VALUE"""),"2290X")</f>
        <v>2290X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IFERROR(__xludf.DUMMYFUNCTION("""COMPUTED_VALUE"""),0)</f>
        <v>0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IFERROR(__xludf.DUMMYFUNCTION("""COMPUTED_VALUE"""),5082)</f>
        <v>5082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IFERROR(__xludf.DUMMYFUNCTION("""COMPUTED_VALUE"""),"A.A. E. EST. ANTONIO DELFINO GUIMARAES")</f>
        <v>A.A. E. EST. ANTONIO DELFINO GUIMARAES</v>
      </c>
      <c r="D129" s="36" t="str">
        <f ca="1">IFERROR(__xludf.DUMMYFUNCTION("""COMPUTED_VALUE"""),"01135998000102")</f>
        <v>01135998000102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IFERROR(__xludf.DUMMYFUNCTION("""COMPUTED_VALUE"""),"2287X")</f>
        <v>2287X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IFERROR(__xludf.DUMMYFUNCTION("""COMPUTED_VALUE"""),6804)</f>
        <v>6804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IFERROR(__xludf.DUMMYFUNCTION("""COMPUTED_VALUE"""),525)</f>
        <v>525</v>
      </c>
      <c r="Q129" s="38">
        <f ca="1">IFERROR(__xludf.DUMMYFUNCTION("""COMPUTED_VALUE"""),0)</f>
        <v>0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IFERROR(__xludf.DUMMYFUNCTION("""COMPUTED_VALUE"""),"Bandeirantes do Tocantins")</f>
        <v>Bandeirantes do Tocantins</v>
      </c>
      <c r="C130" s="40" t="str">
        <f ca="1">IFERROR(__xludf.DUMMYFUNCTION("""COMPUTED_VALUE"""),"A.A. E. E. ARCELINO F. DO NASCIMENTO")</f>
        <v>A.A. E. E. ARCELINO F. DO NASCIMENTO</v>
      </c>
      <c r="D130" s="41" t="str">
        <f ca="1">IFERROR(__xludf.DUMMYFUNCTION("""COMPUTED_VALUE"""),"01181179000193")</f>
        <v>01181179000193</v>
      </c>
      <c r="E130" s="42" t="str">
        <f ca="1">IFERROR(__xludf.DUMMYFUNCTION("""COMPUTED_VALUE"""),"001")</f>
        <v>001</v>
      </c>
      <c r="F130" s="43" t="str">
        <f ca="1">IFERROR(__xludf.DUMMYFUNCTION("""COMPUTED_VALUE"""),"0911")</f>
        <v>0911</v>
      </c>
      <c r="G130" s="43" t="str">
        <f ca="1">IFERROR(__xludf.DUMMYFUNCTION("""COMPUTED_VALUE"""),"46578X")</f>
        <v>46578X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IFERROR(__xludf.DUMMYFUNCTION("""COMPUTED_VALUE"""),1512)</f>
        <v>1512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IFERROR(__xludf.DUMMYFUNCTION("""COMPUTED_VALUE"""),105)</f>
        <v>105</v>
      </c>
      <c r="Q130" s="43">
        <f ca="1">IFERROR(__xludf.DUMMYFUNCTION("""COMPUTED_VALUE"""),2856)</f>
        <v>2856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IFERROR(__xludf.DUMMYFUNCTION("""COMPUTED_VALUE"""),"Bernardo Sayao")</f>
        <v>Bernardo Sayao</v>
      </c>
      <c r="C131" s="35" t="str">
        <f ca="1">IFERROR(__xludf.DUMMYFUNCTION("""COMPUTED_VALUE"""),"A.A. COL. EST. BERNARDO SAYAO")</f>
        <v>A.A. COL. EST. BERNARDO SAYAO</v>
      </c>
      <c r="D131" s="36" t="str">
        <f ca="1">IFERROR(__xludf.DUMMYFUNCTION("""COMPUTED_VALUE"""),"01190188000140")</f>
        <v>01190188000140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IFERROR(__xludf.DUMMYFUNCTION("""COMPUTED_VALUE"""),"369403")</f>
        <v>369403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IFERROR(__xludf.DUMMYFUNCTION("""COMPUTED_VALUE"""),1386)</f>
        <v>1386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IFERROR(__xludf.DUMMYFUNCTION("""COMPUTED_VALUE"""),147)</f>
        <v>147</v>
      </c>
      <c r="Q131" s="38">
        <f ca="1">IFERROR(__xludf.DUMMYFUNCTION("""COMPUTED_VALUE"""),3297)</f>
        <v>3297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IFERROR(__xludf.DUMMYFUNCTION("""COMPUTED_VALUE"""),735)</f>
        <v>735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IFERROR(__xludf.DUMMYFUNCTION("""COMPUTED_VALUE"""),"Brasilandia do Tocantins")</f>
        <v>Brasilandia do Tocantins</v>
      </c>
      <c r="C132" s="40" t="str">
        <f ca="1">IFERROR(__xludf.DUMMYFUNCTION("""COMPUTED_VALUE"""),"A.A. COL. EST. SEBASTIAO RODRIGUES SALES")</f>
        <v>A.A. COL. EST. SEBASTIAO RODRIGUES SALES</v>
      </c>
      <c r="D132" s="41" t="str">
        <f ca="1">IFERROR(__xludf.DUMMYFUNCTION("""COMPUTED_VALUE"""),"01138333000144")</f>
        <v>01138333000144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IFERROR(__xludf.DUMMYFUNCTION("""COMPUTED_VALUE"""),"369365")</f>
        <v>369365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IFERROR(__xludf.DUMMYFUNCTION("""COMPUTED_VALUE"""),3066)</f>
        <v>3066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IFERROR(__xludf.DUMMYFUNCTION("""COMPUTED_VALUE"""),0)</f>
        <v>0</v>
      </c>
      <c r="Q132" s="43">
        <f ca="1">IFERROR(__xludf.DUMMYFUNCTION("""COMPUTED_VALUE"""),1260)</f>
        <v>1260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IFERROR(__xludf.DUMMYFUNCTION("""COMPUTED_VALUE"""),0)</f>
        <v>0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IFERROR(__xludf.DUMMYFUNCTION("""COMPUTED_VALUE"""),"Colinas do Tocantins")</f>
        <v>Colinas do Tocantins</v>
      </c>
      <c r="C133" s="35" t="str">
        <f ca="1">IFERROR(__xludf.DUMMYFUNCTION("""COMPUTED_VALUE"""),"ASSOC. DE APOIO DO COL. EST. CASTELO BRANCO")</f>
        <v>ASSOC. DE APOIO DO COL. EST. CASTELO BRANCO</v>
      </c>
      <c r="D133" s="36" t="str">
        <f ca="1">IFERROR(__xludf.DUMMYFUNCTION("""COMPUTED_VALUE"""),"01071413000120")</f>
        <v>01071413000120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IFERROR(__xludf.DUMMYFUNCTION("""COMPUTED_VALUE"""),"187275")</f>
        <v>187275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IFERROR(__xludf.DUMMYFUNCTION("""COMPUTED_VALUE"""),0)</f>
        <v>0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IFERROR(__xludf.DUMMYFUNCTION("""COMPUTED_VALUE"""),273)</f>
        <v>273</v>
      </c>
      <c r="Q133" s="38">
        <f ca="1">IFERROR(__xludf.DUMMYFUNCTION("""COMPUTED_VALUE"""),0)</f>
        <v>0</v>
      </c>
      <c r="R133" s="38">
        <f ca="1">IFERROR(__xludf.DUMMYFUNCTION("""COMPUTED_VALUE"""),0)</f>
        <v>0</v>
      </c>
      <c r="S133" s="38">
        <f ca="1">IFERROR(__xludf.DUMMYFUNCTION("""COMPUTED_VALUE"""),16281.1999999999)</f>
        <v>16281.199999999901</v>
      </c>
      <c r="T133" s="38">
        <f ca="1">IFERROR(__xludf.DUMMYFUNCTION("""COMPUTED_VALUE"""),1596)</f>
        <v>1596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IFERROR(__xludf.DUMMYFUNCTION("""COMPUTED_VALUE"""),1567.8)</f>
        <v>1567.8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IFERROR(__xludf.DUMMYFUNCTION("""COMPUTED_VALUE"""),"A.A. ESCOLA ESTADUAL ERNESTO BARROS")</f>
        <v>A.A. ESCOLA ESTADUAL ERNESTO BARROS</v>
      </c>
      <c r="D134" s="41" t="str">
        <f ca="1">IFERROR(__xludf.DUMMYFUNCTION("""COMPUTED_VALUE"""),"01064857000138")</f>
        <v>01064857000138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IFERROR(__xludf.DUMMYFUNCTION("""COMPUTED_VALUE"""),"0368571")</f>
        <v>0368571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IFERROR(__xludf.DUMMYFUNCTION("""COMPUTED_VALUE"""),23441.6)</f>
        <v>23441.599999999999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IFERROR(__xludf.DUMMYFUNCTION("""COMPUTED_VALUE"""),273)</f>
        <v>273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IFERROR(__xludf.DUMMYFUNCTION("""COMPUTED_VALUE"""),0)</f>
        <v>0</v>
      </c>
      <c r="T134" s="43">
        <f ca="1">IFERROR(__xludf.DUMMYFUNCTION("""COMPUTED_VALUE"""),0)</f>
        <v>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IFERROR(__xludf.DUMMYFUNCTION("""COMPUTED_VALUE"""),0)</f>
        <v>0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IFERROR(__xludf.DUMMYFUNCTION("""COMPUTED_VALUE"""),1996)</f>
        <v>1996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 COLEGIO JOAO XXIII")</f>
        <v>A.A.  COLEGIO JOAO XXIII</v>
      </c>
      <c r="D135" s="36" t="str">
        <f ca="1">IFERROR(__xludf.DUMMYFUNCTION("""COMPUTED_VALUE"""),"01064859000127")</f>
        <v>01064859000127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IFERROR(__xludf.DUMMYFUNCTION("""COMPUTED_VALUE"""),"368555")</f>
        <v>368555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IFERROR(__xludf.DUMMYFUNCTION("""COMPUTED_VALUE"""),9051)</f>
        <v>9051</v>
      </c>
      <c r="K135" s="38">
        <f ca="1">IFERROR(__xludf.DUMMYFUNCTION("""COMPUTED_VALUE"""),0)</f>
        <v>0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IFERROR(__xludf.DUMMYFUNCTION("""COMPUTED_VALUE"""),378)</f>
        <v>378</v>
      </c>
      <c r="Q135" s="38">
        <f ca="1">IFERROR(__xludf.DUMMYFUNCTION("""COMPUTED_VALUE"""),6972)</f>
        <v>6972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IFERROR(__xludf.DUMMYFUNCTION("""COMPUTED_VALUE"""),0)</f>
        <v>0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IFERROR(__xludf.DUMMYFUNCTION("""COMPUTED_VALUE"""),"AAE ESPECIAL GOTA DE ESPERANÇA")</f>
        <v>AAE ESPECIAL GOTA DE ESPERANÇA</v>
      </c>
      <c r="D136" s="41" t="str">
        <f ca="1">IFERROR(__xludf.DUMMYFUNCTION("""COMPUTED_VALUE"""),"07944635000196")</f>
        <v>07944635000196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IFERROR(__xludf.DUMMYFUNCTION("""COMPUTED_VALUE"""),"184861")</f>
        <v>184861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IFERROR(__xludf.DUMMYFUNCTION("""COMPUTED_VALUE"""),651)</f>
        <v>651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IFERROR(__xludf.DUMMYFUNCTION("""COMPUTED_VALUE"""),2541)</f>
        <v>2541</v>
      </c>
      <c r="Q136" s="43">
        <f ca="1">IFERROR(__xludf.DUMMYFUNCTION("""COMPUTED_VALUE"""),0)</f>
        <v>0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IFERROR(__xludf.DUMMYFUNCTION("""COMPUTED_VALUE"""),1890)</f>
        <v>1890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IFERROR(__xludf.DUMMYFUNCTION("""COMPUTED_VALUE"""),"A.A. E. E. FRANCISCO PEREIRA FELICIO")</f>
        <v>A.A. E. E. FRANCISCO PEREIRA FELICIO</v>
      </c>
      <c r="D137" s="36" t="str">
        <f ca="1">IFERROR(__xludf.DUMMYFUNCTION("""COMPUTED_VALUE"""),"01086969000190")</f>
        <v>01086969000190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IFERROR(__xludf.DUMMYFUNCTION("""COMPUTED_VALUE"""),"368814")</f>
        <v>368814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IFERROR(__xludf.DUMMYFUNCTION("""COMPUTED_VALUE"""),2856)</f>
        <v>2856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IFERROR(__xludf.DUMMYFUNCTION("""COMPUTED_VALUE"""),588)</f>
        <v>588</v>
      </c>
      <c r="Q137" s="38">
        <f ca="1">IFERROR(__xludf.DUMMYFUNCTION("""COMPUTED_VALUE"""),9093)</f>
        <v>9093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IFERROR(__xludf.DUMMYFUNCTION("""COMPUTED_VALUE"""),1680)</f>
        <v>1680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LACERDINO OLIVEIRA CAMPOS")</f>
        <v>A.A. E. E. LACERDINO OLIVEIRA CAMPOS</v>
      </c>
      <c r="D138" s="41" t="str">
        <f ca="1">IFERROR(__xludf.DUMMYFUNCTION("""COMPUTED_VALUE"""),"01077439000185")</f>
        <v>01077439000185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IFERROR(__xludf.DUMMYFUNCTION("""COMPUTED_VALUE"""),"368741")</f>
        <v>368741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IFERROR(__xludf.DUMMYFUNCTION("""COMPUTED_VALUE"""),0)</f>
        <v>0</v>
      </c>
      <c r="K138" s="43">
        <f ca="1">IFERROR(__xludf.DUMMYFUNCTION("""COMPUTED_VALUE"""),17561.6)</f>
        <v>17561.599999999999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IFERROR(__xludf.DUMMYFUNCTION("""COMPUTED_VALUE"""),441)</f>
        <v>441</v>
      </c>
      <c r="Q138" s="43">
        <f ca="1">IFERROR(__xludf.DUMMYFUNCTION("""COMPUTED_VALUE"""),3927)</f>
        <v>3927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IFERROR(__xludf.DUMMYFUNCTION("""COMPUTED_VALUE"""),0)</f>
        <v>0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IFERROR(__xludf.DUMMYFUNCTION("""COMPUTED_VALUE"""),1497)</f>
        <v>1497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36" t="str">
        <f ca="1">IFERROR(__xludf.DUMMYFUNCTION("""COMPUTED_VALUE"""),"03421784000110")</f>
        <v>03421784000110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IFERROR(__xludf.DUMMYFUNCTION("""COMPUTED_VALUE"""),"199672")</f>
        <v>199672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IFERROR(__xludf.DUMMYFUNCTION("""COMPUTED_VALUE"""),0)</f>
        <v>0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IFERROR(__xludf.DUMMYFUNCTION("""COMPUTED_VALUE"""),0)</f>
        <v>0</v>
      </c>
      <c r="Q139" s="38">
        <f ca="1">IFERROR(__xludf.DUMMYFUNCTION("""COMPUTED_VALUE"""),0)</f>
        <v>0</v>
      </c>
      <c r="R139" s="38">
        <f ca="1">IFERROR(__xludf.DUMMYFUNCTION("""COMPUTED_VALUE"""),16150.4)</f>
        <v>16150.4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IFERROR(__xludf.DUMMYFUNCTION("""COMPUTED_VALUE"""),30652.8)</f>
        <v>30652.799999999999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IFERROR(__xludf.DUMMYFUNCTION("""COMPUTED_VALUE"""),2382.79999999999)</f>
        <v>2382.7999999999902</v>
      </c>
      <c r="Z139" s="38">
        <f ca="1">IFERROR(__xludf.DUMMYFUNCTION("""COMPUTED_VALUE"""),0)</f>
        <v>0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IFERROR(__xludf.DUMMYFUNCTION("""COMPUTED_VALUE"""),"A.A. E. PRESBITERIANA DE COLINAS")</f>
        <v>A.A. E. PRESBITERIANA DE COLINAS</v>
      </c>
      <c r="D140" s="41" t="str">
        <f ca="1">IFERROR(__xludf.DUMMYFUNCTION("""COMPUTED_VALUE"""),"01071410000196")</f>
        <v>01071410000196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IFERROR(__xludf.DUMMYFUNCTION("""COMPUTED_VALUE"""),"368695")</f>
        <v>368695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IFERROR(__xludf.DUMMYFUNCTION("""COMPUTED_VALUE"""),0)</f>
        <v>0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IFERROR(__xludf.DUMMYFUNCTION("""COMPUTED_VALUE"""),0)</f>
        <v>0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IFERROR(__xludf.DUMMYFUNCTION("""COMPUTED_VALUE"""),"ASSOC. APOIO AO INSTITUTO EDUC. GUNNAR VINGREN")</f>
        <v>ASSOC. APOIO AO INSTITUTO EDUC. GUNNAR VINGREN</v>
      </c>
      <c r="D141" s="36" t="str">
        <f ca="1">IFERROR(__xludf.DUMMYFUNCTION("""COMPUTED_VALUE"""),"05537107000197")</f>
        <v>05537107000197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IFERROR(__xludf.DUMMYFUNCTION("""COMPUTED_VALUE"""),"172286")</f>
        <v>172286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IFERROR(__xludf.DUMMYFUNCTION("""COMPUTED_VALUE"""),1974)</f>
        <v>1974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IFERROR(__xludf.DUMMYFUNCTION("""COMPUTED_VALUE"""),231)</f>
        <v>231</v>
      </c>
      <c r="Q141" s="38">
        <f ca="1">IFERROR(__xludf.DUMMYFUNCTION("""COMPUTED_VALUE"""),441)</f>
        <v>441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IFERROR(__xludf.DUMMYFUNCTION("""COMPUTED_VALUE"""),"Itapiratins")</f>
        <v>Itapiratins</v>
      </c>
      <c r="C142" s="40" t="str">
        <f ca="1">IFERROR(__xludf.DUMMYFUNCTION("""COMPUTED_VALUE"""),"A.A. ESCOLA ESTADUAL REZENDE DE ALMEIDA")</f>
        <v>A.A. ESCOLA ESTADUAL REZENDE DE ALMEIDA</v>
      </c>
      <c r="D142" s="41" t="str">
        <f ca="1">IFERROR(__xludf.DUMMYFUNCTION("""COMPUTED_VALUE"""),"01643863000140")</f>
        <v>01643863000140</v>
      </c>
      <c r="E142" s="42" t="str">
        <f ca="1">IFERROR(__xludf.DUMMYFUNCTION("""COMPUTED_VALUE"""),"001")</f>
        <v>001</v>
      </c>
      <c r="F142" s="43" t="str">
        <f ca="1">IFERROR(__xludf.DUMMYFUNCTION("""COMPUTED_VALUE"""),"2094")</f>
        <v>2094</v>
      </c>
      <c r="G142" s="43" t="str">
        <f ca="1">IFERROR(__xludf.DUMMYFUNCTION("""COMPUTED_VALUE"""),"27278")</f>
        <v>27278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IFERROR(__xludf.DUMMYFUNCTION("""COMPUTED_VALUE"""),5733)</f>
        <v>5733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IFERROR(__xludf.DUMMYFUNCTION("""COMPUTED_VALUE"""),0)</f>
        <v>0</v>
      </c>
      <c r="Q142" s="43">
        <f ca="1">IFERROR(__xludf.DUMMYFUNCTION("""COMPUTED_VALUE"""),4515)</f>
        <v>4515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IFERROR(__xludf.DUMMYFUNCTION("""COMPUTED_VALUE"""),210)</f>
        <v>210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IFERROR(__xludf.DUMMYFUNCTION("""COMPUTED_VALUE"""),"Juarina")</f>
        <v>Juarina</v>
      </c>
      <c r="C143" s="35" t="str">
        <f ca="1">IFERROR(__xludf.DUMMYFUNCTION("""COMPUTED_VALUE"""),"A.A. ESCOLA ESTADUAL ZICO DORNELAS")</f>
        <v>A.A. ESCOLA ESTADUAL ZICO DORNELAS</v>
      </c>
      <c r="D143" s="36" t="str">
        <f ca="1">IFERROR(__xludf.DUMMYFUNCTION("""COMPUTED_VALUE"""),"01136018000188")</f>
        <v>01136018000188</v>
      </c>
      <c r="E143" s="37" t="str">
        <f ca="1">IFERROR(__xludf.DUMMYFUNCTION("""COMPUTED_VALUE"""),"001")</f>
        <v>001</v>
      </c>
      <c r="F143" s="38" t="str">
        <f ca="1">IFERROR(__xludf.DUMMYFUNCTION("""COMPUTED_VALUE"""),"0911")</f>
        <v>0911</v>
      </c>
      <c r="G143" s="38" t="str">
        <f ca="1">IFERROR(__xludf.DUMMYFUNCTION("""COMPUTED_VALUE"""),"369349")</f>
        <v>369349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IFERROR(__xludf.DUMMYFUNCTION("""COMPUTED_VALUE"""),1743)</f>
        <v>1743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IFERROR(__xludf.DUMMYFUNCTION("""COMPUTED_VALUE"""),168)</f>
        <v>168</v>
      </c>
      <c r="Q143" s="38">
        <f ca="1">IFERROR(__xludf.DUMMYFUNCTION("""COMPUTED_VALUE"""),2247)</f>
        <v>2247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IFERROR(__xludf.DUMMYFUNCTION("""COMPUTED_VALUE"""),0)</f>
        <v>0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IFERROR(__xludf.DUMMYFUNCTION("""COMPUTED_VALUE"""),"Palmeirante")</f>
        <v>Palmeirante</v>
      </c>
      <c r="C144" s="40" t="str">
        <f ca="1">IFERROR(__xludf.DUMMYFUNCTION("""COMPUTED_VALUE"""),"ASS. COM. ESC. EST JOAO AIRES GABRIEL")</f>
        <v>ASS. COM. ESC. EST JOAO AIRES GABRIEL</v>
      </c>
      <c r="D144" s="41" t="str">
        <f ca="1">IFERROR(__xludf.DUMMYFUNCTION("""COMPUTED_VALUE"""),"01465793000187")</f>
        <v>01465793000187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IFERROR(__xludf.DUMMYFUNCTION("""COMPUTED_VALUE"""),"342246")</f>
        <v>342246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IFERROR(__xludf.DUMMYFUNCTION("""COMPUTED_VALUE"""),3654)</f>
        <v>3654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IFERROR(__xludf.DUMMYFUNCTION("""COMPUTED_VALUE"""),315)</f>
        <v>315</v>
      </c>
      <c r="Q144" s="43">
        <f ca="1">IFERROR(__xludf.DUMMYFUNCTION("""COMPUTED_VALUE"""),4473)</f>
        <v>4473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IFERROR(__xludf.DUMMYFUNCTION("""COMPUTED_VALUE"""),"Pau D'arco")</f>
        <v>Pau D'arco</v>
      </c>
      <c r="C145" s="35" t="str">
        <f ca="1">IFERROR(__xludf.DUMMYFUNCTION("""COMPUTED_VALUE"""),"A.COM. ESCOLA EST. ULISSES GUIMARAES")</f>
        <v>A.COM. ESCOLA EST. ULISSES GUIMARAES</v>
      </c>
      <c r="D145" s="36" t="str">
        <f ca="1">IFERROR(__xludf.DUMMYFUNCTION("""COMPUTED_VALUE"""),"01181178000149")</f>
        <v>01181178000149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IFERROR(__xludf.DUMMYFUNCTION("""COMPUTED_VALUE"""),"23485")</f>
        <v>23485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IFERROR(__xludf.DUMMYFUNCTION("""COMPUTED_VALUE"""),6006)</f>
        <v>6006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IFERROR(__xludf.DUMMYFUNCTION("""COMPUTED_VALUE"""),546)</f>
        <v>546</v>
      </c>
      <c r="Q145" s="38">
        <f ca="1">IFERROR(__xludf.DUMMYFUNCTION("""COMPUTED_VALUE"""),3444)</f>
        <v>3444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IFERROR(__xludf.DUMMYFUNCTION("""COMPUTED_VALUE"""),"Tupiratins")</f>
        <v>Tupiratins</v>
      </c>
      <c r="C146" s="40" t="str">
        <f ca="1">IFERROR(__xludf.DUMMYFUNCTION("""COMPUTED_VALUE"""),"A. DE AP. DA ESC. EST. SAO TOMAS DE AQUINO")</f>
        <v>A. DE AP. DA ESC. EST. SAO TOMAS DE AQUINO</v>
      </c>
      <c r="D146" s="41" t="str">
        <f ca="1">IFERROR(__xludf.DUMMYFUNCTION("""COMPUTED_VALUE"""),"01334791000159")</f>
        <v>01334791000159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IFERROR(__xludf.DUMMYFUNCTION("""COMPUTED_VALUE"""),"370045")</f>
        <v>370045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IFERROR(__xludf.DUMMYFUNCTION("""COMPUTED_VALUE"""),3108)</f>
        <v>3108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IFERROR(__xludf.DUMMYFUNCTION("""COMPUTED_VALUE"""),0)</f>
        <v>0</v>
      </c>
      <c r="Q146" s="43">
        <f ca="1">IFERROR(__xludf.DUMMYFUNCTION("""COMPUTED_VALUE"""),1680)</f>
        <v>1680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IFERROR(__xludf.DUMMYFUNCTION("""COMPUTED_VALUE"""),"Dianópolis")</f>
        <v>Dianópolis</v>
      </c>
      <c r="B147" s="34" t="str">
        <f ca="1">IFERROR(__xludf.DUMMYFUNCTION("""COMPUTED_VALUE"""),"Almas")</f>
        <v>Almas</v>
      </c>
      <c r="C147" s="35" t="str">
        <f ca="1">IFERROR(__xludf.DUMMYFUNCTION("""COMPUTED_VALUE"""),"A.A. COL. E.II GRAU DR.ABNER A.PACINI")</f>
        <v>A.A. COL. E.II GRAU DR.ABNER A.PACINI</v>
      </c>
      <c r="D147" s="36" t="str">
        <f ca="1">IFERROR(__xludf.DUMMYFUNCTION("""COMPUTED_VALUE"""),"01197160000135")</f>
        <v>01197160000135</v>
      </c>
      <c r="E147" s="37" t="str">
        <f ca="1">IFERROR(__xludf.DUMMYFUNCTION("""COMPUTED_VALUE"""),"001")</f>
        <v>001</v>
      </c>
      <c r="F147" s="38" t="str">
        <f ca="1">IFERROR(__xludf.DUMMYFUNCTION("""COMPUTED_VALUE"""),"1307")</f>
        <v>1307</v>
      </c>
      <c r="G147" s="38" t="str">
        <f ca="1">IFERROR(__xludf.DUMMYFUNCTION("""COMPUTED_VALUE"""),"0107700")</f>
        <v>0107700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IFERROR(__xludf.DUMMYFUNCTION("""COMPUTED_VALUE"""),7581)</f>
        <v>7581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IFERROR(__xludf.DUMMYFUNCTION("""COMPUTED_VALUE"""),420)</f>
        <v>420</v>
      </c>
      <c r="Q147" s="38">
        <f ca="1">IFERROR(__xludf.DUMMYFUNCTION("""COMPUTED_VALUE"""),3822)</f>
        <v>3822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IFERROR(__xludf.DUMMYFUNCTION("""COMPUTED_VALUE"""),"ASSOC.MES.P.EDUC.FUNC.DO COL.AGROP.ALMAS")</f>
        <v>ASSOC.MES.P.EDUC.FUNC.DO COL.AGROP.ALMAS</v>
      </c>
      <c r="D148" s="41" t="str">
        <f ca="1">IFERROR(__xludf.DUMMYFUNCTION("""COMPUTED_VALUE"""),"03751406000102")</f>
        <v>03751406000102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IFERROR(__xludf.DUMMYFUNCTION("""COMPUTED_VALUE"""),"115312")</f>
        <v>115312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IFERROR(__xludf.DUMMYFUNCTION("""COMPUTED_VALUE"""),0)</f>
        <v>0</v>
      </c>
      <c r="K148" s="43">
        <f ca="1">IFERROR(__xludf.DUMMYFUNCTION("""COMPUTED_VALUE"""),3057.6)</f>
        <v>3057.6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IFERROR(__xludf.DUMMYFUNCTION("""COMPUTED_VALUE"""),0)</f>
        <v>0</v>
      </c>
      <c r="Q148" s="43">
        <f ca="1">IFERROR(__xludf.DUMMYFUNCTION("""COMPUTED_VALUE"""),0)</f>
        <v>0</v>
      </c>
      <c r="R148" s="43">
        <f ca="1">IFERROR(__xludf.DUMMYFUNCTION("""COMPUTED_VALUE"""),11838.4)</f>
        <v>11838.4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IFERROR(__xludf.DUMMYFUNCTION("""COMPUTED_VALUE"""),21873.6)</f>
        <v>21873.599999999999</v>
      </c>
      <c r="W148" s="43">
        <f ca="1">IFERROR(__xludf.DUMMYFUNCTION("""COMPUTED_VALUE"""),0)</f>
        <v>0</v>
      </c>
      <c r="X148" s="43">
        <f ca="1">IFERROR(__xludf.DUMMYFUNCTION("""COMPUTED_VALUE"""),791.2)</f>
        <v>791.2</v>
      </c>
      <c r="Y148" s="43">
        <f ca="1">IFERROR(__xludf.DUMMYFUNCTION("""COMPUTED_VALUE"""),1702)</f>
        <v>1702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IFERROR(__xludf.DUMMYFUNCTION("""COMPUTED_VALUE"""),"A.A.  ESC. ESTADUAL DEOCLIDES MUNIZ")</f>
        <v>A.A.  ESC. ESTADUAL DEOCLIDES MUNIZ</v>
      </c>
      <c r="D149" s="36" t="str">
        <f ca="1">IFERROR(__xludf.DUMMYFUNCTION("""COMPUTED_VALUE"""),"01143807000146")</f>
        <v>01143807000146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IFERROR(__xludf.DUMMYFUNCTION("""COMPUTED_VALUE"""),"107786")</f>
        <v>107786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IFERROR(__xludf.DUMMYFUNCTION("""COMPUTED_VALUE"""),0)</f>
        <v>0</v>
      </c>
      <c r="V149" s="38">
        <f ca="1">IFERROR(__xludf.DUMMYFUNCTION("""COMPUTED_VALUE"""),0)</f>
        <v>0</v>
      </c>
      <c r="W149" s="38">
        <f ca="1">IFERROR(__xludf.DUMMYFUNCTION("""COMPUTED_VALUE"""),361.799999999999)</f>
        <v>361.79999999999899</v>
      </c>
      <c r="X149" s="38">
        <f ca="1">IFERROR(__xludf.DUMMYFUNCTION("""COMPUTED_VALUE"""),0)</f>
        <v>0</v>
      </c>
      <c r="Y149" s="38">
        <f ca="1">IFERROR(__xludf.DUMMYFUNCTION("""COMPUTED_VALUE"""),0)</f>
        <v>0</v>
      </c>
      <c r="Z149" s="38">
        <f ca="1">IFERROR(__xludf.DUMMYFUNCTION("""COMPUTED_VALUE"""),1397.2)</f>
        <v>1397.2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IFERROR(__xludf.DUMMYFUNCTION("""COMPUTED_VALUE"""),"Conceicao do Tocantins")</f>
        <v>Conceicao do Tocantins</v>
      </c>
      <c r="C150" s="40" t="str">
        <f ca="1">IFERROR(__xludf.DUMMYFUNCTION("""COMPUTED_VALUE"""),"A.A. E. CEL JOSE FRANCISCO DE AZEVEDO")</f>
        <v>A.A. E. CEL JOSE FRANCISCO DE AZEVEDO</v>
      </c>
      <c r="D150" s="41" t="str">
        <f ca="1">IFERROR(__xludf.DUMMYFUNCTION("""COMPUTED_VALUE"""),"01136040000128")</f>
        <v>01136040000128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IFERROR(__xludf.DUMMYFUNCTION("""COMPUTED_VALUE"""),"106208")</f>
        <v>106208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IFERROR(__xludf.DUMMYFUNCTION("""COMPUTED_VALUE"""),5334)</f>
        <v>5334</v>
      </c>
      <c r="K150" s="43">
        <f ca="1">IFERROR(__xludf.DUMMYFUNCTION("""COMPUTED_VALUE"""),0)</f>
        <v>0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IFERROR(__xludf.DUMMYFUNCTION("""COMPUTED_VALUE"""),357)</f>
        <v>357</v>
      </c>
      <c r="Q150" s="43">
        <f ca="1">IFERROR(__xludf.DUMMYFUNCTION("""COMPUTED_VALUE"""),4284)</f>
        <v>4284</v>
      </c>
      <c r="R150" s="43">
        <f ca="1">IFERROR(__xludf.DUMMYFUNCTION("""COMPUTED_VALUE"""),0)</f>
        <v>0</v>
      </c>
      <c r="S150" s="43">
        <f ca="1">IFERROR(__xludf.DUMMYFUNCTION("""COMPUTED_VALUE"""),0)</f>
        <v>0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IFERROR(__xludf.DUMMYFUNCTION("""COMPUTED_VALUE"""),0)</f>
        <v>0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IFERROR(__xludf.DUMMYFUNCTION("""COMPUTED_VALUE"""),0)</f>
        <v>0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IFERROR(__xludf.DUMMYFUNCTION("""COMPUTED_VALUE"""),"Dianopolis")</f>
        <v>Dianopolis</v>
      </c>
      <c r="C151" s="35" t="str">
        <f ca="1">IFERROR(__xludf.DUMMYFUNCTION("""COMPUTED_VALUE"""),"A. ESC. COMUN.DA E. EST. ANTONIO POVOA")</f>
        <v>A. ESC. COMUN.DA E. EST. ANTONIO POVOA</v>
      </c>
      <c r="D151" s="36" t="str">
        <f ca="1">IFERROR(__xludf.DUMMYFUNCTION("""COMPUTED_VALUE"""),"00895665000100")</f>
        <v>00895665000100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IFERROR(__xludf.DUMMYFUNCTION("""COMPUTED_VALUE"""),"010616X")</f>
        <v>010616X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IFERROR(__xludf.DUMMYFUNCTION("""COMPUTED_VALUE"""),630)</f>
        <v>630</v>
      </c>
      <c r="K151" s="38">
        <f ca="1">IFERROR(__xludf.DUMMYFUNCTION("""COMPUTED_VALUE"""),3136)</f>
        <v>3136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IFERROR(__xludf.DUMMYFUNCTION("""COMPUTED_VALUE"""),0)</f>
        <v>0</v>
      </c>
      <c r="Q151" s="38">
        <f ca="1">IFERROR(__xludf.DUMMYFUNCTION("""COMPUTED_VALUE"""),0)</f>
        <v>0</v>
      </c>
      <c r="R151" s="38">
        <f ca="1">IFERROR(__xludf.DUMMYFUNCTION("""COMPUTED_VALUE"""),0)</f>
        <v>0</v>
      </c>
      <c r="S151" s="38">
        <f ca="1">IFERROR(__xludf.DUMMYFUNCTION("""COMPUTED_VALUE"""),8059.99999999999)</f>
        <v>8059.99999999999</v>
      </c>
      <c r="T151" s="38">
        <f ca="1">IFERROR(__xludf.DUMMYFUNCTION("""COMPUTED_VALUE"""),2121)</f>
        <v>2121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IFERROR(__xludf.DUMMYFUNCTION("""COMPUTED_VALUE"""),844.199999999999)</f>
        <v>844.19999999999902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IFERROR(__xludf.DUMMYFUNCTION("""COMPUTED_VALUE"""),299.4)</f>
        <v>299.39999999999998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DE APOIO AO COLEGIO JOAO DE ABREU")</f>
        <v>A. DE APOIO AO COLEGIO JOAO DE ABREU</v>
      </c>
      <c r="D152" s="41" t="str">
        <f ca="1">IFERROR(__xludf.DUMMYFUNCTION("""COMPUTED_VALUE"""),"05059617000104")</f>
        <v>05059617000104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IFERROR(__xludf.DUMMYFUNCTION("""COMPUTED_VALUE"""),"127027")</f>
        <v>127027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IFERROR(__xludf.DUMMYFUNCTION("""COMPUTED_VALUE"""),12642)</f>
        <v>12642</v>
      </c>
      <c r="K152" s="43">
        <f ca="1">IFERROR(__xludf.DUMMYFUNCTION("""COMPUTED_VALUE"""),0)</f>
        <v>0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IFERROR(__xludf.DUMMYFUNCTION("""COMPUTED_VALUE"""),315)</f>
        <v>315</v>
      </c>
      <c r="Q152" s="43">
        <f ca="1">IFERROR(__xludf.DUMMYFUNCTION("""COMPUTED_VALUE"""),7497)</f>
        <v>7497</v>
      </c>
      <c r="R152" s="43">
        <f ca="1">IFERROR(__xludf.DUMMYFUNCTION("""COMPUTED_VALUE"""),0)</f>
        <v>0</v>
      </c>
      <c r="S152" s="43">
        <f ca="1">IFERROR(__xludf.DUMMYFUNCTION("""COMPUTED_VALUE"""),0)</f>
        <v>0</v>
      </c>
      <c r="T152" s="43">
        <f ca="1">IFERROR(__xludf.DUMMYFUNCTION("""COMPUTED_VALUE"""),0)</f>
        <v>0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IFERROR(__xludf.DUMMYFUNCTION("""COMPUTED_VALUE"""),0)</f>
        <v>0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IFERROR(__xludf.DUMMYFUNCTION("""COMPUTED_VALUE"""),0)</f>
        <v>0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IFERROR(__xludf.DUMMYFUNCTION("""COMPUTED_VALUE"""),"ASSOC. DE APOIO A ESCOLA COOPERATIVA CHAPADÃO/DIANÓPOLIS")</f>
        <v>ASSOC. DE APOIO A ESCOLA COOPERATIVA CHAPADÃO/DIANÓPOLIS</v>
      </c>
      <c r="D153" s="36" t="str">
        <f ca="1">IFERROR(__xludf.DUMMYFUNCTION("""COMPUTED_VALUE"""),"07056712000171")</f>
        <v>07056712000171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IFERROR(__xludf.DUMMYFUNCTION("""COMPUTED_VALUE"""),"15704X")</f>
        <v>15704X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IFERROR(__xludf.DUMMYFUNCTION("""COMPUTED_VALUE"""),2961)</f>
        <v>2961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IFERROR(__xludf.DUMMYFUNCTION("""COMPUTED_VALUE"""),315)</f>
        <v>315</v>
      </c>
      <c r="Q153" s="38">
        <f ca="1">IFERROR(__xludf.DUMMYFUNCTION("""COMPUTED_VALUE"""),525)</f>
        <v>525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IFERROR(__xludf.DUMMYFUNCTION("""COMPUTED_VALUE"""),"ESCOLA ESPECIAL COLIBRI")</f>
        <v>ESCOLA ESPECIAL COLIBRI</v>
      </c>
      <c r="D154" s="41" t="str">
        <f ca="1">IFERROR(__xludf.DUMMYFUNCTION("""COMPUTED_VALUE"""),"15413383000105")</f>
        <v>15413383000105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IFERROR(__xludf.DUMMYFUNCTION("""COMPUTED_VALUE"""),"312967")</f>
        <v>312967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IFERROR(__xludf.DUMMYFUNCTION("""COMPUTED_VALUE"""),483)</f>
        <v>483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IFERROR(__xludf.DUMMYFUNCTION("""COMPUTED_VALUE"""),1491)</f>
        <v>1491</v>
      </c>
      <c r="Q154" s="43">
        <f ca="1">IFERROR(__xludf.DUMMYFUNCTION("""COMPUTED_VALUE"""),0)</f>
        <v>0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IFERROR(__xludf.DUMMYFUNCTION("""COMPUTED_VALUE"""),1071)</f>
        <v>1071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IFERROR(__xludf.DUMMYFUNCTION("""COMPUTED_VALUE"""),"ASS. APOIO ESC. EST.CEL.ABILIO WOLNEY")</f>
        <v>ASS. APOIO ESC. EST.CEL.ABILIO WOLNEY</v>
      </c>
      <c r="D155" s="36" t="str">
        <f ca="1">IFERROR(__xludf.DUMMYFUNCTION("""COMPUTED_VALUE"""),"01197161000180")</f>
        <v>01197161000180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IFERROR(__xludf.DUMMYFUNCTION("""COMPUTED_VALUE"""),"120464")</f>
        <v>120464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IFERROR(__xludf.DUMMYFUNCTION("""COMPUTED_VALUE"""),4935)</f>
        <v>4935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IFERROR(__xludf.DUMMYFUNCTION("""COMPUTED_VALUE"""),0)</f>
        <v>0</v>
      </c>
      <c r="Q155" s="38">
        <f ca="1">IFERROR(__xludf.DUMMYFUNCTION("""COMPUTED_VALUE"""),5103)</f>
        <v>5103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IFERROR(__xludf.DUMMYFUNCTION("""COMPUTED_VALUE"""),0)</f>
        <v>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IFERROR(__xludf.DUMMYFUNCTION("""COMPUTED_VALUE"""),"A.A. ESCOLA ESTADUAL JOCA COSTA")</f>
        <v>A.A. ESCOLA ESTADUAL JOCA COSTA</v>
      </c>
      <c r="D156" s="41" t="str">
        <f ca="1">IFERROR(__xludf.DUMMYFUNCTION("""COMPUTED_VALUE"""),"01138323000109")</f>
        <v>01138323000109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IFERROR(__xludf.DUMMYFUNCTION("""COMPUTED_VALUE"""),"107492")</f>
        <v>107492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IFERROR(__xludf.DUMMYFUNCTION("""COMPUTED_VALUE"""),8022)</f>
        <v>8022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IFERROR(__xludf.DUMMYFUNCTION("""COMPUTED_VALUE"""),441)</f>
        <v>441</v>
      </c>
      <c r="Q156" s="43">
        <f ca="1">IFERROR(__xludf.DUMMYFUNCTION("""COMPUTED_VALUE"""),0)</f>
        <v>0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IFERROR(__xludf.DUMMYFUNCTION("""COMPUTED_VALUE"""),"Novo Jardim")</f>
        <v>Novo Jardim</v>
      </c>
      <c r="C157" s="35" t="str">
        <f ca="1">IFERROR(__xludf.DUMMYFUNCTION("""COMPUTED_VALUE"""),"ASS. DE AP. DA ESCOLA ESTADUAL JARDIM")</f>
        <v>ASS. DE AP. DA ESCOLA ESTADUAL JARDIM</v>
      </c>
      <c r="D157" s="36" t="str">
        <f ca="1">IFERROR(__xludf.DUMMYFUNCTION("""COMPUTED_VALUE"""),"01408711000162")</f>
        <v>01408711000162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IFERROR(__xludf.DUMMYFUNCTION("""COMPUTED_VALUE"""),"106453")</f>
        <v>106453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IFERROR(__xludf.DUMMYFUNCTION("""COMPUTED_VALUE"""),4683)</f>
        <v>4683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IFERROR(__xludf.DUMMYFUNCTION("""COMPUTED_VALUE"""),0)</f>
        <v>0</v>
      </c>
      <c r="Q157" s="38">
        <f ca="1">IFERROR(__xludf.DUMMYFUNCTION("""COMPUTED_VALUE"""),1344)</f>
        <v>1344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IFERROR(__xludf.DUMMYFUNCTION("""COMPUTED_VALUE"""),"Ponte Alta do Bom Jesus")</f>
        <v>Ponte Alta do Bom Jesus</v>
      </c>
      <c r="C158" s="40" t="str">
        <f ca="1">IFERROR(__xludf.DUMMYFUNCTION("""COMPUTED_VALUE"""),"A.A. ESC. E. ANTONIO CARLOS DE FRANCA")</f>
        <v>A.A. ESC. E. ANTONIO CARLOS DE FRANCA</v>
      </c>
      <c r="D158" s="41" t="str">
        <f ca="1">IFERROR(__xludf.DUMMYFUNCTION("""COMPUTED_VALUE"""),"01223633000121")</f>
        <v>01223633000121</v>
      </c>
      <c r="E158" s="42" t="str">
        <f ca="1">IFERROR(__xludf.DUMMYFUNCTION("""COMPUTED_VALUE"""),"001")</f>
        <v>001</v>
      </c>
      <c r="F158" s="43" t="str">
        <f ca="1">IFERROR(__xludf.DUMMYFUNCTION("""COMPUTED_VALUE"""),"2704")</f>
        <v>2704</v>
      </c>
      <c r="G158" s="43" t="str">
        <f ca="1">IFERROR(__xludf.DUMMYFUNCTION("""COMPUTED_VALUE"""),"102733")</f>
        <v>102733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IFERROR(__xludf.DUMMYFUNCTION("""COMPUTED_VALUE"""),3612)</f>
        <v>3612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E. ESC. EST. BOA VISTA DE BELEM")</f>
        <v>A.A. E. ESC. EST. BOA VISTA DE BELEM</v>
      </c>
      <c r="D159" s="36" t="str">
        <f ca="1">IFERROR(__xludf.DUMMYFUNCTION("""COMPUTED_VALUE"""),"01136045000150")</f>
        <v>01136045000150</v>
      </c>
      <c r="E159" s="37" t="str">
        <f ca="1">IFERROR(__xludf.DUMMYFUNCTION("""COMPUTED_VALUE"""),"001")</f>
        <v>001</v>
      </c>
      <c r="F159" s="38" t="str">
        <f ca="1">IFERROR(__xludf.DUMMYFUNCTION("""COMPUTED_VALUE"""),"1307")</f>
        <v>1307</v>
      </c>
      <c r="G159" s="38" t="str">
        <f ca="1">IFERROR(__xludf.DUMMYFUNCTION("""COMPUTED_VALUE"""),"010762X")</f>
        <v>010762X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IFERROR(__xludf.DUMMYFUNCTION("""COMPUTED_VALUE"""),1953)</f>
        <v>1953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IFERROR(__xludf.DUMMYFUNCTION("""COMPUTED_VALUE"""),399)</f>
        <v>399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IFERROR(__xludf.DUMMYFUNCTION("""COMPUTED_VALUE"""),"Porto Alegre do Tocantins")</f>
        <v>Porto Alegre do Tocantins</v>
      </c>
      <c r="C160" s="40" t="str">
        <f ca="1">IFERROR(__xludf.DUMMYFUNCTION("""COMPUTED_VALUE"""),"ASSOC. APOIO ESC. EST. ALFREDO NASSER")</f>
        <v>ASSOC. APOIO ESC. EST. ALFREDO NASSER</v>
      </c>
      <c r="D160" s="41" t="str">
        <f ca="1">IFERROR(__xludf.DUMMYFUNCTION("""COMPUTED_VALUE"""),"01105525000154")</f>
        <v>01105525000154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IFERROR(__xludf.DUMMYFUNCTION("""COMPUTED_VALUE"""),"0106321")</f>
        <v>0106321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IFERROR(__xludf.DUMMYFUNCTION("""COMPUTED_VALUE"""),5208)</f>
        <v>5208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IFERROR(__xludf.DUMMYFUNCTION("""COMPUTED_VALUE"""),504)</f>
        <v>504</v>
      </c>
      <c r="Q160" s="43">
        <f ca="1">IFERROR(__xludf.DUMMYFUNCTION("""COMPUTED_VALUE"""),2583)</f>
        <v>2583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IFERROR(__xludf.DUMMYFUNCTION("""COMPUTED_VALUE"""),"Rio da Conceicao")</f>
        <v>Rio da Conceicao</v>
      </c>
      <c r="C161" s="35" t="str">
        <f ca="1">IFERROR(__xludf.DUMMYFUNCTION("""COMPUTED_VALUE"""),"A.A. E. E.VIRGILIO FERREIRA DE FRANCA")</f>
        <v>A.A. E. E.VIRGILIO FERREIRA DE FRANCA</v>
      </c>
      <c r="D161" s="36" t="str">
        <f ca="1">IFERROR(__xludf.DUMMYFUNCTION("""COMPUTED_VALUE"""),"01136115000170")</f>
        <v>01136115000170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IFERROR(__xludf.DUMMYFUNCTION("""COMPUTED_VALUE"""),"106305")</f>
        <v>106305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IFERROR(__xludf.DUMMYFUNCTION("""COMPUTED_VALUE"""),2793)</f>
        <v>2793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IFERROR(__xludf.DUMMYFUNCTION("""COMPUTED_VALUE"""),147)</f>
        <v>147</v>
      </c>
      <c r="Q161" s="38">
        <f ca="1">IFERROR(__xludf.DUMMYFUNCTION("""COMPUTED_VALUE"""),1302)</f>
        <v>1302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IFERROR(__xludf.DUMMYFUNCTION("""COMPUTED_VALUE"""),"Taguatinga")</f>
        <v>Taguatinga</v>
      </c>
      <c r="C162" s="40" t="str">
        <f ca="1">IFERROR(__xludf.DUMMYFUNCTION("""COMPUTED_VALUE"""),"A.A.  ESCOLA EST. JUSTINO DE ALMEIDA")</f>
        <v>A.A.  ESCOLA EST. JUSTINO DE ALMEIDA</v>
      </c>
      <c r="D162" s="41" t="str">
        <f ca="1">IFERROR(__xludf.DUMMYFUNCTION("""COMPUTED_VALUE"""),"01184379000108")</f>
        <v>01184379000108</v>
      </c>
      <c r="E162" s="42" t="str">
        <f ca="1">IFERROR(__xludf.DUMMYFUNCTION("""COMPUTED_VALUE"""),"001")</f>
        <v>001</v>
      </c>
      <c r="F162" s="43" t="str">
        <f ca="1">IFERROR(__xludf.DUMMYFUNCTION("""COMPUTED_VALUE"""),"2704")</f>
        <v>2704</v>
      </c>
      <c r="G162" s="43" t="str">
        <f ca="1">IFERROR(__xludf.DUMMYFUNCTION("""COMPUTED_VALUE"""),"102563")</f>
        <v>102563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IFERROR(__xludf.DUMMYFUNCTION("""COMPUTED_VALUE"""),5208)</f>
        <v>5208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IFERROR(__xludf.DUMMYFUNCTION("""COMPUTED_VALUE"""),252)</f>
        <v>252</v>
      </c>
      <c r="Q162" s="43">
        <f ca="1">IFERROR(__xludf.DUMMYFUNCTION("""COMPUTED_VALUE"""),7665)</f>
        <v>7665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IFERROR(__xludf.DUMMYFUNCTION("""COMPUTED_VALUE"""),3192)</f>
        <v>3192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COL. EST. PROFESSOR AURELIANO")</f>
        <v>A.A. COL. EST. PROFESSOR AURELIANO</v>
      </c>
      <c r="D163" s="36" t="str">
        <f ca="1">IFERROR(__xludf.DUMMYFUNCTION("""COMPUTED_VALUE"""),"01133709000128")</f>
        <v>01133709000128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IFERROR(__xludf.DUMMYFUNCTION("""COMPUTED_VALUE"""),"102717")</f>
        <v>102717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IFERROR(__xludf.DUMMYFUNCTION("""COMPUTED_VALUE"""),0)</f>
        <v>0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IFERROR(__xludf.DUMMYFUNCTION("""COMPUTED_VALUE"""),231)</f>
        <v>231</v>
      </c>
      <c r="Q163" s="38">
        <f ca="1">IFERROR(__xludf.DUMMYFUNCTION("""COMPUTED_VALUE"""),0)</f>
        <v>0</v>
      </c>
      <c r="R163" s="38">
        <f ca="1">IFERROR(__xludf.DUMMYFUNCTION("""COMPUTED_VALUE"""),0)</f>
        <v>0</v>
      </c>
      <c r="S163" s="38">
        <f ca="1">IFERROR(__xludf.DUMMYFUNCTION("""COMPUTED_VALUE"""),11203.4)</f>
        <v>11203.4</v>
      </c>
      <c r="T163" s="38">
        <f ca="1">IFERROR(__xludf.DUMMYFUNCTION("""COMPUTED_VALUE"""),0)</f>
        <v>0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IFERROR(__xludf.DUMMYFUNCTION("""COMPUTED_VALUE"""),1085.39999999999)</f>
        <v>1085.3999999999901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ESC. EST. AGOSTINHO DE ALMEIDA")</f>
        <v>A.A. ESC. EST. AGOSTINHO DE ALMEIDA</v>
      </c>
      <c r="D164" s="41" t="str">
        <f ca="1">IFERROR(__xludf.DUMMYFUNCTION("""COMPUTED_VALUE"""),"01197159000100")</f>
        <v>01197159000100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IFERROR(__xludf.DUMMYFUNCTION("""COMPUTED_VALUE"""),"102555")</f>
        <v>102555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IFERROR(__xludf.DUMMYFUNCTION("""COMPUTED_VALUE"""),6888)</f>
        <v>6888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IFERROR(__xludf.DUMMYFUNCTION("""COMPUTED_VALUE"""),420)</f>
        <v>420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IFERROR(__xludf.DUMMYFUNCTION("""COMPUTED_VALUE"""),0)</f>
        <v>0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IFERROR(__xludf.DUMMYFUNCTION("""COMPUTED_VALUE"""),0)</f>
        <v>0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IFERROR(__xludf.DUMMYFUNCTION("""COMPUTED_VALUE"""),"Taipas do Tocantins")</f>
        <v>Taipas do Tocantins</v>
      </c>
      <c r="C165" s="35" t="str">
        <f ca="1">IFERROR(__xludf.DUMMYFUNCTION("""COMPUTED_VALUE"""),"A.A. E. EST. JOAQUIM FRANCISCO AZEVEDO")</f>
        <v>A.A. E. EST. JOAQUIM FRANCISCO AZEVEDO</v>
      </c>
      <c r="D165" s="36" t="str">
        <f ca="1">IFERROR(__xludf.DUMMYFUNCTION("""COMPUTED_VALUE"""),"01136011000166")</f>
        <v>01136011000166</v>
      </c>
      <c r="E165" s="37" t="str">
        <f ca="1">IFERROR(__xludf.DUMMYFUNCTION("""COMPUTED_VALUE"""),"001")</f>
        <v>001</v>
      </c>
      <c r="F165" s="38" t="str">
        <f ca="1">IFERROR(__xludf.DUMMYFUNCTION("""COMPUTED_VALUE"""),"1307")</f>
        <v>1307</v>
      </c>
      <c r="G165" s="38" t="str">
        <f ca="1">IFERROR(__xludf.DUMMYFUNCTION("""COMPUTED_VALUE"""),"0106291")</f>
        <v>0106291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IFERROR(__xludf.DUMMYFUNCTION("""COMPUTED_VALUE"""),3801)</f>
        <v>3801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IFERROR(__xludf.DUMMYFUNCTION("""COMPUTED_VALUE"""),294)</f>
        <v>294</v>
      </c>
      <c r="Q165" s="38">
        <f ca="1">IFERROR(__xludf.DUMMYFUNCTION("""COMPUTED_VALUE"""),1470)</f>
        <v>1470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IFERROR(__xludf.DUMMYFUNCTION("""COMPUTED_VALUE"""),399)</f>
        <v>399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IFERROR(__xludf.DUMMYFUNCTION("""COMPUTED_VALUE"""),"Guaraí")</f>
        <v>Guaraí</v>
      </c>
      <c r="B166" s="39" t="str">
        <f ca="1">IFERROR(__xludf.DUMMYFUNCTION("""COMPUTED_VALUE"""),"Colmeia")</f>
        <v>Colmeia</v>
      </c>
      <c r="C166" s="40" t="str">
        <f ca="1">IFERROR(__xludf.DUMMYFUNCTION("""COMPUTED_VALUE"""),"A.A.  COL. EST. SERRA DAS CORDILHEIRAS")</f>
        <v>A.A.  COL. EST. SERRA DAS CORDILHEIRAS</v>
      </c>
      <c r="D166" s="41" t="str">
        <f ca="1">IFERROR(__xludf.DUMMYFUNCTION("""COMPUTED_VALUE"""),"01138330000100")</f>
        <v>01138330000100</v>
      </c>
      <c r="E166" s="42" t="str">
        <f ca="1">IFERROR(__xludf.DUMMYFUNCTION("""COMPUTED_VALUE"""),"001")</f>
        <v>001</v>
      </c>
      <c r="F166" s="43" t="str">
        <f ca="1">IFERROR(__xludf.DUMMYFUNCTION("""COMPUTED_VALUE"""),"1306")</f>
        <v>1306</v>
      </c>
      <c r="G166" s="43" t="str">
        <f ca="1">IFERROR(__xludf.DUMMYFUNCTION("""COMPUTED_VALUE"""),"102776")</f>
        <v>102776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IFERROR(__xludf.DUMMYFUNCTION("""COMPUTED_VALUE"""),3087)</f>
        <v>3087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IFERROR(__xludf.DUMMYFUNCTION("""COMPUTED_VALUE"""),357)</f>
        <v>357</v>
      </c>
      <c r="Q166" s="43">
        <f ca="1">IFERROR(__xludf.DUMMYFUNCTION("""COMPUTED_VALUE"""),6153)</f>
        <v>6153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IFERROR(__xludf.DUMMYFUNCTION("""COMPUTED_VALUE"""),756)</f>
        <v>756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IFERROR(__xludf.DUMMYFUNCTION("""COMPUTED_VALUE"""),"A..A. ESC. ESPECIAL  FILHOS DA LUZ")</f>
        <v>A..A. ESC. ESPECIAL  FILHOS DA LUZ</v>
      </c>
      <c r="D167" s="36" t="str">
        <f ca="1">IFERROR(__xludf.DUMMYFUNCTION("""COMPUTED_VALUE"""),"07921086000134")</f>
        <v>07921086000134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IFERROR(__xludf.DUMMYFUNCTION("""COMPUTED_VALUE"""),"167940")</f>
        <v>167940</v>
      </c>
      <c r="H167" s="38">
        <f ca="1">IFERROR(__xludf.DUMMYFUNCTION("""COMPUTED_VALUE"""),0)</f>
        <v>0</v>
      </c>
      <c r="I167" s="38">
        <f ca="1">IFERROR(__xludf.DUMMYFUNCTION("""COMPUTED_VALUE"""),189)</f>
        <v>189</v>
      </c>
      <c r="J167" s="38">
        <f ca="1">IFERROR(__xludf.DUMMYFUNCTION("""COMPUTED_VALUE"""),0)</f>
        <v>0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IFERROR(__xludf.DUMMYFUNCTION("""COMPUTED_VALUE"""),336)</f>
        <v>336</v>
      </c>
      <c r="Q167" s="38">
        <f ca="1">IFERROR(__xludf.DUMMYFUNCTION("""COMPUTED_VALUE"""),0)</f>
        <v>0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IFERROR(__xludf.DUMMYFUNCTION("""COMPUTED_VALUE"""),2016)</f>
        <v>2016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IFERROR(__xludf.DUMMYFUNCTION("""COMPUTED_VALUE"""),"A.A. ESC. EST. ARY RIBEIRO VALADAO FILHO")</f>
        <v>A.A. ESC. EST. ARY RIBEIRO VALADAO FILHO</v>
      </c>
      <c r="D168" s="41" t="str">
        <f ca="1">IFERROR(__xludf.DUMMYFUNCTION("""COMPUTED_VALUE"""),"01138331000155")</f>
        <v>01138331000155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IFERROR(__xludf.DUMMYFUNCTION("""COMPUTED_VALUE"""),"102806")</f>
        <v>102806</v>
      </c>
      <c r="H168" s="43">
        <f ca="1">IFERROR(__xludf.DUMMYFUNCTION("""COMPUTED_VALUE"""),0)</f>
        <v>0</v>
      </c>
      <c r="I168" s="43">
        <f ca="1">IFERROR(__xludf.DUMMYFUNCTION("""COMPUTED_VALUE"""),0)</f>
        <v>0</v>
      </c>
      <c r="J168" s="43">
        <f ca="1">IFERROR(__xludf.DUMMYFUNCTION("""COMPUTED_VALUE"""),4410)</f>
        <v>4410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IFERROR(__xludf.DUMMYFUNCTION("""COMPUTED_VALUE"""),189)</f>
        <v>189</v>
      </c>
      <c r="Q168" s="43">
        <f ca="1">IFERROR(__xludf.DUMMYFUNCTION("""COMPUTED_VALUE"""),714)</f>
        <v>714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IFERROR(__xludf.DUMMYFUNCTION("""COMPUTED_VALUE"""),0)</f>
        <v>0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JUSCELINO K. DE OLIVEIRA")</f>
        <v>A.A. ESC. EST. JUSCELINO K. DE OLIVEIRA</v>
      </c>
      <c r="D169" s="36" t="str">
        <f ca="1">IFERROR(__xludf.DUMMYFUNCTION("""COMPUTED_VALUE"""),"01138328000131")</f>
        <v>01138328000131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IFERROR(__xludf.DUMMYFUNCTION("""COMPUTED_VALUE"""),"102768")</f>
        <v>102768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IFERROR(__xludf.DUMMYFUNCTION("""COMPUTED_VALUE"""),525)</f>
        <v>525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IFERROR(__xludf.DUMMYFUNCTION("""COMPUTED_VALUE"""),0)</f>
        <v>0</v>
      </c>
      <c r="Q169" s="38">
        <f ca="1">IFERROR(__xludf.DUMMYFUNCTION("""COMPUTED_VALUE"""),399)</f>
        <v>399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IFERROR(__xludf.DUMMYFUNCTION("""COMPUTED_VALUE"""),"Couto Magalhaes")</f>
        <v>Couto Magalhaes</v>
      </c>
      <c r="C170" s="40" t="str">
        <f ca="1">IFERROR(__xludf.DUMMYFUNCTION("""COMPUTED_VALUE"""),"A.A. COL. EST. ARCHANGELA MILHOMEM")</f>
        <v>A.A. COL. EST. ARCHANGELA MILHOMEM</v>
      </c>
      <c r="D170" s="41" t="str">
        <f ca="1">IFERROR(__xludf.DUMMYFUNCTION("""COMPUTED_VALUE"""),"01138334000199")</f>
        <v>01138334000199</v>
      </c>
      <c r="E170" s="42" t="str">
        <f ca="1">IFERROR(__xludf.DUMMYFUNCTION("""COMPUTED_VALUE"""),"001")</f>
        <v>001</v>
      </c>
      <c r="F170" s="43" t="str">
        <f ca="1">IFERROR(__xludf.DUMMYFUNCTION("""COMPUTED_VALUE"""),"2094")</f>
        <v>2094</v>
      </c>
      <c r="G170" s="43" t="str">
        <f ca="1">IFERROR(__xludf.DUMMYFUNCTION("""COMPUTED_VALUE"""),"50385")</f>
        <v>50385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IFERROR(__xludf.DUMMYFUNCTION("""COMPUTED_VALUE"""),0)</f>
        <v>0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IFERROR(__xludf.DUMMYFUNCTION("""COMPUTED_VALUE"""),1302)</f>
        <v>1302</v>
      </c>
      <c r="R170" s="43">
        <f ca="1">IFERROR(__xludf.DUMMYFUNCTION("""COMPUTED_VALUE"""),13092.8)</f>
        <v>13092.8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IFERROR(__xludf.DUMMYFUNCTION("""COMPUTED_VALUE"""),1097.8)</f>
        <v>1097.8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ESC. ESPECIAL  DEUS É FIEL")</f>
        <v>A.A. ESC. ESPECIAL  DEUS É FIEL</v>
      </c>
      <c r="D171" s="36" t="str">
        <f ca="1">IFERROR(__xludf.DUMMYFUNCTION("""COMPUTED_VALUE"""),"17467216000164")</f>
        <v>17467216000164</v>
      </c>
      <c r="E171" s="37" t="str">
        <f ca="1">IFERROR(__xludf.DUMMYFUNCTION("""COMPUTED_VALUE"""),"001")</f>
        <v>001</v>
      </c>
      <c r="F171" s="38" t="str">
        <f ca="1">IFERROR(__xludf.DUMMYFUNCTION("""COMPUTED_VALUE"""),"1306")</f>
        <v>1306</v>
      </c>
      <c r="G171" s="38" t="str">
        <f ca="1">IFERROR(__xludf.DUMMYFUNCTION("""COMPUTED_VALUE"""),"265969")</f>
        <v>265969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IFERROR(__xludf.DUMMYFUNCTION("""COMPUTED_VALUE"""),294)</f>
        <v>294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IFERROR(__xludf.DUMMYFUNCTION("""COMPUTED_VALUE"""),672)</f>
        <v>672</v>
      </c>
      <c r="Q171" s="38">
        <f ca="1">IFERROR(__xludf.DUMMYFUNCTION("""COMPUTED_VALUE"""),0)</f>
        <v>0</v>
      </c>
      <c r="R171" s="38">
        <f ca="1">IFERROR(__xludf.DUMMYFUNCTION("""COMPUTED_VALUE"""),0)</f>
        <v>0</v>
      </c>
      <c r="S171" s="38">
        <f ca="1">IFERROR(__xludf.DUMMYFUNCTION("""COMPUTED_VALUE"""),0)</f>
        <v>0</v>
      </c>
      <c r="T171" s="38">
        <f ca="1">IFERROR(__xludf.DUMMYFUNCTION("""COMPUTED_VALUE"""),1050)</f>
        <v>1050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IFERROR(__xludf.DUMMYFUNCTION("""COMPUTED_VALUE"""),0)</f>
        <v>0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EST. ARLINDA ROSA DE SOUZA")</f>
        <v>A.A. ESC. EST. ARLINDA ROSA DE SOUZA</v>
      </c>
      <c r="D172" s="41" t="str">
        <f ca="1">IFERROR(__xludf.DUMMYFUNCTION("""COMPUTED_VALUE"""),"01221143000196")</f>
        <v>01221143000196</v>
      </c>
      <c r="E172" s="42" t="str">
        <f ca="1">IFERROR(__xludf.DUMMYFUNCTION("""COMPUTED_VALUE"""),"001")</f>
        <v>001</v>
      </c>
      <c r="F172" s="43" t="str">
        <f ca="1">IFERROR(__xludf.DUMMYFUNCTION("""COMPUTED_VALUE"""),"2094")</f>
        <v>2094</v>
      </c>
      <c r="G172" s="43" t="str">
        <f ca="1">IFERROR(__xludf.DUMMYFUNCTION("""COMPUTED_VALUE"""),"50350")</f>
        <v>50350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IFERROR(__xludf.DUMMYFUNCTION("""COMPUTED_VALUE"""),2625)</f>
        <v>2625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IFERROR(__xludf.DUMMYFUNCTION("""COMPUTED_VALUE"""),0)</f>
        <v>0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IFERROR(__xludf.DUMMYFUNCTION("""COMPUTED_VALUE"""),0)</f>
        <v>0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ESCOLAR DA E. EST.ULTIMO DE CARVALHO")</f>
        <v>A.A. ESCOLAR DA E. EST.ULTIMO DE CARVALHO</v>
      </c>
      <c r="D173" s="36" t="str">
        <f ca="1">IFERROR(__xludf.DUMMYFUNCTION("""COMPUTED_VALUE"""),"04315063000198")</f>
        <v>04315063000198</v>
      </c>
      <c r="E173" s="37" t="str">
        <f ca="1">IFERROR(__xludf.DUMMYFUNCTION("""COMPUTED_VALUE"""),"001")</f>
        <v>001</v>
      </c>
      <c r="F173" s="38" t="str">
        <f ca="1">IFERROR(__xludf.DUMMYFUNCTION("""COMPUTED_VALUE"""),"1306")</f>
        <v>1306</v>
      </c>
      <c r="G173" s="38" t="str">
        <f ca="1">IFERROR(__xludf.DUMMYFUNCTION("""COMPUTED_VALUE"""),"74802")</f>
        <v>74802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IFERROR(__xludf.DUMMYFUNCTION("""COMPUTED_VALUE"""),1449)</f>
        <v>1449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IFERROR(__xludf.DUMMYFUNCTION("""COMPUTED_VALUE"""),294)</f>
        <v>294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IFERROR(__xludf.DUMMYFUNCTION("""COMPUTED_VALUE"""),462)</f>
        <v>462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IFERROR(__xludf.DUMMYFUNCTION("""COMPUTED_VALUE"""),"Fortaleza do Tabocao")</f>
        <v>Fortaleza do Tabocao</v>
      </c>
      <c r="C174" s="40" t="str">
        <f ca="1">IFERROR(__xludf.DUMMYFUNCTION("""COMPUTED_VALUE"""),"ASSOC. DE APOIO A ESCOLA ESPECIAL EDSON DUTRA")</f>
        <v>ASSOC. DE APOIO A ESCOLA ESPECIAL EDSON DUTRA</v>
      </c>
      <c r="D174" s="41" t="str">
        <f ca="1">IFERROR(__xludf.DUMMYFUNCTION("""COMPUTED_VALUE"""),"09405159000160")</f>
        <v>09405159000160</v>
      </c>
      <c r="E174" s="42" t="str">
        <f ca="1">IFERROR(__xludf.DUMMYFUNCTION("""COMPUTED_VALUE"""),"104")</f>
        <v>104</v>
      </c>
      <c r="F174" s="43" t="str">
        <f ca="1">IFERROR(__xludf.DUMMYFUNCTION("""COMPUTED_VALUE"""),"4481")</f>
        <v>4481</v>
      </c>
      <c r="G174" s="43" t="str">
        <f ca="1">IFERROR(__xludf.DUMMYFUNCTION("""COMPUTED_VALUE"""),"3982")</f>
        <v>3982</v>
      </c>
      <c r="H174" s="43">
        <f ca="1">IFERROR(__xludf.DUMMYFUNCTION("""COMPUTED_VALUE"""),0)</f>
        <v>0</v>
      </c>
      <c r="I174" s="43">
        <f ca="1">IFERROR(__xludf.DUMMYFUNCTION("""COMPUTED_VALUE"""),63)</f>
        <v>63</v>
      </c>
      <c r="J174" s="43">
        <f ca="1">IFERROR(__xludf.DUMMYFUNCTION("""COMPUTED_VALUE"""),42)</f>
        <v>42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IFERROR(__xludf.DUMMYFUNCTION("""COMPUTED_VALUE"""),399)</f>
        <v>399</v>
      </c>
      <c r="Q174" s="43">
        <f ca="1">IFERROR(__xludf.DUMMYFUNCTION("""COMPUTED_VALUE"""),0)</f>
        <v>0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IFERROR(__xludf.DUMMYFUNCTION("""COMPUTED_VALUE"""),294)</f>
        <v>294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IFERROR(__xludf.DUMMYFUNCTION("""COMPUTED_VALUE"""),"A.A. DA ESC. EST. MAJOR JUVENAL P.DE SOUZA")</f>
        <v>A.A. DA ESC. EST. MAJOR JUVENAL P.DE SOUZA</v>
      </c>
      <c r="D175" s="36" t="str">
        <f ca="1">IFERROR(__xludf.DUMMYFUNCTION("""COMPUTED_VALUE"""),"01408714000104")</f>
        <v>01408714000104</v>
      </c>
      <c r="E175" s="37" t="str">
        <f ca="1">IFERROR(__xludf.DUMMYFUNCTION("""COMPUTED_VALUE"""),"001")</f>
        <v>001</v>
      </c>
      <c r="F175" s="38" t="str">
        <f ca="1">IFERROR(__xludf.DUMMYFUNCTION("""COMPUTED_VALUE"""),"2094")</f>
        <v>2094</v>
      </c>
      <c r="G175" s="38" t="str">
        <f ca="1">IFERROR(__xludf.DUMMYFUNCTION("""COMPUTED_VALUE"""),"46743X")</f>
        <v>46743X</v>
      </c>
      <c r="H175" s="38">
        <f ca="1">IFERROR(__xludf.DUMMYFUNCTION("""COMPUTED_VALUE"""),0)</f>
        <v>0</v>
      </c>
      <c r="I175" s="38">
        <f ca="1">IFERROR(__xludf.DUMMYFUNCTION("""COMPUTED_VALUE"""),0)</f>
        <v>0</v>
      </c>
      <c r="J175" s="38">
        <f ca="1">IFERROR(__xludf.DUMMYFUNCTION("""COMPUTED_VALUE"""),0)</f>
        <v>0</v>
      </c>
      <c r="K175" s="38">
        <f ca="1">IFERROR(__xludf.DUMMYFUNCTION("""COMPUTED_VALUE"""),7761.6)</f>
        <v>7761.6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IFERROR(__xludf.DUMMYFUNCTION("""COMPUTED_VALUE"""),336)</f>
        <v>336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IFERROR(__xludf.DUMMYFUNCTION("""COMPUTED_VALUE"""),11606.4)</f>
        <v>11606.4</v>
      </c>
      <c r="T175" s="38">
        <f ca="1">IFERROR(__xludf.DUMMYFUNCTION("""COMPUTED_VALUE"""),0)</f>
        <v>0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IFERROR(__xludf.DUMMYFUNCTION("""COMPUTED_VALUE"""),1206)</f>
        <v>1206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IFERROR(__xludf.DUMMYFUNCTION("""COMPUTED_VALUE"""),698.6)</f>
        <v>698.6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IFERROR(__xludf.DUMMYFUNCTION("""COMPUTED_VALUE"""),"Goianorte")</f>
        <v>Goianorte</v>
      </c>
      <c r="C176" s="40" t="str">
        <f ca="1">IFERROR(__xludf.DUMMYFUNCTION("""COMPUTED_VALUE"""),"A.A. DA ESC. EST. ANTENOR BARREIRA")</f>
        <v>A.A. DA ESC. EST. ANTENOR BARREIRA</v>
      </c>
      <c r="D176" s="41" t="str">
        <f ca="1">IFERROR(__xludf.DUMMYFUNCTION("""COMPUTED_VALUE"""),"02069808000150")</f>
        <v>02069808000150</v>
      </c>
      <c r="E176" s="42" t="str">
        <f ca="1">IFERROR(__xludf.DUMMYFUNCTION("""COMPUTED_VALUE"""),"001")</f>
        <v>001</v>
      </c>
      <c r="F176" s="43" t="str">
        <f ca="1">IFERROR(__xludf.DUMMYFUNCTION("""COMPUTED_VALUE"""),"1306")</f>
        <v>1306</v>
      </c>
      <c r="G176" s="43" t="str">
        <f ca="1">IFERROR(__xludf.DUMMYFUNCTION("""COMPUTED_VALUE"""),"54186")</f>
        <v>54186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IFERROR(__xludf.DUMMYFUNCTION("""COMPUTED_VALUE"""),2415)</f>
        <v>2415</v>
      </c>
      <c r="K176" s="43">
        <f ca="1">IFERROR(__xludf.DUMMYFUNCTION("""COMPUTED_VALUE"""),0)</f>
        <v>0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IFERROR(__xludf.DUMMYFUNCTION("""COMPUTED_VALUE"""),336)</f>
        <v>336</v>
      </c>
      <c r="Q176" s="43">
        <f ca="1">IFERROR(__xludf.DUMMYFUNCTION("""COMPUTED_VALUE"""),4158)</f>
        <v>4158</v>
      </c>
      <c r="R176" s="43">
        <f ca="1">IFERROR(__xludf.DUMMYFUNCTION("""COMPUTED_VALUE"""),0)</f>
        <v>0</v>
      </c>
      <c r="S176" s="43">
        <f ca="1">IFERROR(__xludf.DUMMYFUNCTION("""COMPUTED_VALUE"""),0)</f>
        <v>0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IFERROR(__xludf.DUMMYFUNCTION("""COMPUTED_VALUE"""),0)</f>
        <v>0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IFERROR(__xludf.DUMMYFUNCTION("""COMPUTED_VALUE"""),0)</f>
        <v>0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IFERROR(__xludf.DUMMYFUNCTION("""COMPUTED_VALUE"""),"ASSOC. DE APOIO DA ESCOLA ESPECIAL NOVOV PARAÍSO - APAE")</f>
        <v>ASSOC. DE APOIO DA ESCOLA ESPECIAL NOVOV PARAÍSO - APAE</v>
      </c>
      <c r="D177" s="36" t="str">
        <f ca="1">IFERROR(__xludf.DUMMYFUNCTION("""COMPUTED_VALUE"""),"09510602000163")</f>
        <v>09510602000163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IFERROR(__xludf.DUMMYFUNCTION("""COMPUTED_VALUE"""),"138258")</f>
        <v>138258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IFERROR(__xludf.DUMMYFUNCTION("""COMPUTED_VALUE"""),1365)</f>
        <v>1365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IFERROR(__xludf.DUMMYFUNCTION("""COMPUTED_VALUE"""),630)</f>
        <v>630</v>
      </c>
      <c r="Q177" s="38">
        <f ca="1">IFERROR(__xludf.DUMMYFUNCTION("""COMPUTED_VALUE"""),0)</f>
        <v>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IFERROR(__xludf.DUMMYFUNCTION("""COMPUTED_VALUE"""),441)</f>
        <v>441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IFERROR(__xludf.DUMMYFUNCTION("""COMPUTED_VALUE"""),"A.A.  DA ESCOLA ESTADUAL MORRO DO MATO")</f>
        <v>A.A.  DA ESCOLA ESTADUAL MORRO DO MATO</v>
      </c>
      <c r="D178" s="41" t="str">
        <f ca="1">IFERROR(__xludf.DUMMYFUNCTION("""COMPUTED_VALUE"""),"01990368000107")</f>
        <v>01990368000107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IFERROR(__xludf.DUMMYFUNCTION("""COMPUTED_VALUE"""),"54178")</f>
        <v>54178</v>
      </c>
      <c r="H178" s="43">
        <f ca="1">IFERROR(__xludf.DUMMYFUNCTION("""COMPUTED_VALUE"""),0)</f>
        <v>0</v>
      </c>
      <c r="I178" s="43">
        <f ca="1">IFERROR(__xludf.DUMMYFUNCTION("""COMPUTED_VALUE"""),0)</f>
        <v>0</v>
      </c>
      <c r="J178" s="43">
        <f ca="1">IFERROR(__xludf.DUMMYFUNCTION("""COMPUTED_VALUE"""),4200)</f>
        <v>4200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IFERROR(__xludf.DUMMYFUNCTION("""COMPUTED_VALUE"""),630)</f>
        <v>630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IFERROR(__xludf.DUMMYFUNCTION("""COMPUTED_VALUE"""),1890)</f>
        <v>1890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IFERROR(__xludf.DUMMYFUNCTION("""COMPUTED_VALUE"""),"Guarai")</f>
        <v>Guarai</v>
      </c>
      <c r="C179" s="35" t="str">
        <f ca="1">IFERROR(__xludf.DUMMYFUNCTION("""COMPUTED_VALUE"""),"ASSOC. DE APOIO ESC. EST. OQUERLINA TORRES")</f>
        <v>ASSOC. DE APOIO ESC. EST. OQUERLINA TORRES</v>
      </c>
      <c r="D179" s="36" t="str">
        <f ca="1">IFERROR(__xludf.DUMMYFUNCTION("""COMPUTED_VALUE"""),"01421201000125")</f>
        <v>01421201000125</v>
      </c>
      <c r="E179" s="37" t="str">
        <f ca="1">IFERROR(__xludf.DUMMYFUNCTION("""COMPUTED_VALUE"""),"001")</f>
        <v>001</v>
      </c>
      <c r="F179" s="38" t="str">
        <f ca="1">IFERROR(__xludf.DUMMYFUNCTION("""COMPUTED_VALUE"""),"2094")</f>
        <v>2094</v>
      </c>
      <c r="G179" s="38" t="str">
        <f ca="1">IFERROR(__xludf.DUMMYFUNCTION("""COMPUTED_VALUE"""),"19266X")</f>
        <v>19266X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IFERROR(__xludf.DUMMYFUNCTION("""COMPUTED_VALUE"""),0)</f>
        <v>0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IFERROR(__xludf.DUMMYFUNCTION("""COMPUTED_VALUE"""),315)</f>
        <v>315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IFERROR(__xludf.DUMMYFUNCTION("""COMPUTED_VALUE"""),20230.6)</f>
        <v>20230.599999999999</v>
      </c>
      <c r="T179" s="38">
        <f ca="1">IFERROR(__xludf.DUMMYFUNCTION("""COMPUTED_VALUE"""),0)</f>
        <v>0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IFERROR(__xludf.DUMMYFUNCTION("""COMPUTED_VALUE"""),2050.2)</f>
        <v>2050.1999999999998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IFERROR(__xludf.DUMMYFUNCTION("""COMPUTED_VALUE"""),"A.A.  AS ESC. EST. ANTONIO ALENCAR LEAO")</f>
        <v>A.A.  AS ESC. EST. ANTONIO ALENCAR LEAO</v>
      </c>
      <c r="D180" s="41" t="str">
        <f ca="1">IFERROR(__xludf.DUMMYFUNCTION("""COMPUTED_VALUE"""),"01575370000110")</f>
        <v>01575370000110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IFERROR(__xludf.DUMMYFUNCTION("""COMPUTED_VALUE"""),"476536")</f>
        <v>476536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IFERROR(__xludf.DUMMYFUNCTION("""COMPUTED_VALUE"""),8358)</f>
        <v>8358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IFERROR(__xludf.DUMMYFUNCTION("""COMPUTED_VALUE"""),210)</f>
        <v>210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IFERROR(__xludf.DUMMYFUNCTION("""COMPUTED_VALUE"""),0)</f>
        <v>0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IFERROR(__xludf.DUMMYFUNCTION("""COMPUTED_VALUE"""),0)</f>
        <v>0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DO COL. EST. DONA ANAIDES B.MIRANDA")</f>
        <v>A.A. DO COL. EST. DONA ANAIDES B.MIRANDA</v>
      </c>
      <c r="D181" s="36" t="str">
        <f ca="1">IFERROR(__xludf.DUMMYFUNCTION("""COMPUTED_VALUE"""),"01867376000160")</f>
        <v>01867376000160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IFERROR(__xludf.DUMMYFUNCTION("""COMPUTED_VALUE"""),"472123")</f>
        <v>472123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IFERROR(__xludf.DUMMYFUNCTION("""COMPUTED_VALUE"""),7476)</f>
        <v>7476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IFERROR(__xludf.DUMMYFUNCTION("""COMPUTED_VALUE"""),4704)</f>
        <v>4704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 ESCOLAR COM.COL. EST.RAIMUNDO A.LEAO")</f>
        <v>A. ESCOLAR COM.COL. EST.RAIMUNDO A.LEAO</v>
      </c>
      <c r="D182" s="41" t="str">
        <f ca="1">IFERROR(__xludf.DUMMYFUNCTION("""COMPUTED_VALUE"""),"00880649000144")</f>
        <v>00880649000144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IFERROR(__xludf.DUMMYFUNCTION("""COMPUTED_VALUE"""),"0472719")</f>
        <v>0472719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IFERROR(__xludf.DUMMYFUNCTION("""COMPUTED_VALUE"""),3591)</f>
        <v>3591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IFERROR(__xludf.DUMMYFUNCTION("""COMPUTED_VALUE"""),231)</f>
        <v>231</v>
      </c>
      <c r="Q182" s="43">
        <f ca="1">IFERROR(__xludf.DUMMYFUNCTION("""COMPUTED_VALUE"""),0)</f>
        <v>0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IFERROR(__xludf.DUMMYFUNCTION("""COMPUTED_VALUE"""),4683)</f>
        <v>4683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IFERROR(__xludf.DUMMYFUNCTION("""COMPUTED_VALUE"""),"ASSOCIAÇÃO DE APOIO A ESCOLA ESPECIAL ESTRELA DA ESPERANÇA")</f>
        <v>ASSOCIAÇÃO DE APOIO A ESCOLA ESPECIAL ESTRELA DA ESPERANÇA</v>
      </c>
      <c r="D183" s="36" t="str">
        <f ca="1">IFERROR(__xludf.DUMMYFUNCTION("""COMPUTED_VALUE"""),"07938604000122")</f>
        <v>07938604000122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IFERROR(__xludf.DUMMYFUNCTION("""COMPUTED_VALUE"""),"211621")</f>
        <v>211621</v>
      </c>
      <c r="H183" s="38">
        <f ca="1">IFERROR(__xludf.DUMMYFUNCTION("""COMPUTED_VALUE"""),0)</f>
        <v>0</v>
      </c>
      <c r="I183" s="38">
        <f ca="1">IFERROR(__xludf.DUMMYFUNCTION("""COMPUTED_VALUE"""),63)</f>
        <v>63</v>
      </c>
      <c r="J183" s="38">
        <f ca="1">IFERROR(__xludf.DUMMYFUNCTION("""COMPUTED_VALUE"""),420)</f>
        <v>420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IFERROR(__xludf.DUMMYFUNCTION("""COMPUTED_VALUE"""),336)</f>
        <v>336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IFERROR(__xludf.DUMMYFUNCTION("""COMPUTED_VALUE"""),1281)</f>
        <v>1281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IFERROR(__xludf.DUMMYFUNCTION("""COMPUTED_VALUE"""),"A.A. ESC. EST.IRINEU ALBANO HENDGES")</f>
        <v>A.A. ESC. EST.IRINEU ALBANO HENDGES</v>
      </c>
      <c r="D184" s="41" t="str">
        <f ca="1">IFERROR(__xludf.DUMMYFUNCTION("""COMPUTED_VALUE"""),"01136012000100")</f>
        <v>01136012000100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IFERROR(__xludf.DUMMYFUNCTION("""COMPUTED_VALUE"""),"0472433")</f>
        <v>0472433</v>
      </c>
      <c r="H184" s="43">
        <f ca="1">IFERROR(__xludf.DUMMYFUNCTION("""COMPUTED_VALUE"""),0)</f>
        <v>0</v>
      </c>
      <c r="I184" s="43">
        <f ca="1">IFERROR(__xludf.DUMMYFUNCTION("""COMPUTED_VALUE"""),0)</f>
        <v>0</v>
      </c>
      <c r="J184" s="43">
        <f ca="1">IFERROR(__xludf.DUMMYFUNCTION("""COMPUTED_VALUE"""),4767)</f>
        <v>4767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IFERROR(__xludf.DUMMYFUNCTION("""COMPUTED_VALUE"""),9198)</f>
        <v>9198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IFERROR(__xludf.DUMMYFUNCTION("""COMPUTED_VALUE"""),0)</f>
        <v>0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ESCOLA EST. JOSE COSTA SOARES")</f>
        <v>A.A. ESCOLA EST. JOSE COSTA SOARES</v>
      </c>
      <c r="D185" s="36" t="str">
        <f ca="1">IFERROR(__xludf.DUMMYFUNCTION("""COMPUTED_VALUE"""),"01421200000180")</f>
        <v>01421200000180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IFERROR(__xludf.DUMMYFUNCTION("""COMPUTED_VALUE"""),"471577")</f>
        <v>471577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IFERROR(__xludf.DUMMYFUNCTION("""COMPUTED_VALUE"""),3192)</f>
        <v>3192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IFERROR(__xludf.DUMMYFUNCTION("""COMPUTED_VALUE"""),0)</f>
        <v>0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IFERROR(__xludf.DUMMYFUNCTION("""COMPUTED_VALUE"""),"Itapora do Tocantins")</f>
        <v>Itapora do Tocantins</v>
      </c>
      <c r="C186" s="40" t="str">
        <f ca="1">IFERROR(__xludf.DUMMYFUNCTION("""COMPUTED_VALUE"""),"A.A. COL. EST. FRANCISCA ALVES ALENCAR")</f>
        <v>A.A. COL. EST. FRANCISCA ALVES ALENCAR</v>
      </c>
      <c r="D186" s="41" t="str">
        <f ca="1">IFERROR(__xludf.DUMMYFUNCTION("""COMPUTED_VALUE"""),"01190193000153")</f>
        <v>01190193000153</v>
      </c>
      <c r="E186" s="42" t="str">
        <f ca="1">IFERROR(__xludf.DUMMYFUNCTION("""COMPUTED_VALUE"""),"001")</f>
        <v>001</v>
      </c>
      <c r="F186" s="43" t="str">
        <f ca="1">IFERROR(__xludf.DUMMYFUNCTION("""COMPUTED_VALUE"""),"1306")</f>
        <v>1306</v>
      </c>
      <c r="G186" s="43" t="str">
        <f ca="1">IFERROR(__xludf.DUMMYFUNCTION("""COMPUTED_VALUE"""),"102865")</f>
        <v>102865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IFERROR(__xludf.DUMMYFUNCTION("""COMPUTED_VALUE"""),2499)</f>
        <v>2499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IFERROR(__xludf.DUMMYFUNCTION("""COMPUTED_VALUE"""),210)</f>
        <v>210</v>
      </c>
      <c r="Q186" s="43">
        <f ca="1">IFERROR(__xludf.DUMMYFUNCTION("""COMPUTED_VALUE"""),1827)</f>
        <v>1827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IFERROR(__xludf.DUMMYFUNCTION("""COMPUTED_VALUE"""),1092)</f>
        <v>1092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IFERROR(__xludf.DUMMYFUNCTION("""COMPUTED_VALUE"""),"Pequizeiro")</f>
        <v>Pequizeiro</v>
      </c>
      <c r="C187" s="35" t="str">
        <f ca="1">IFERROR(__xludf.DUMMYFUNCTION("""COMPUTED_VALUE"""),"ASSOC. DE APOIO ESC. EST. 1º DE JUNHO")</f>
        <v>ASSOC. DE APOIO ESC. EST. 1º DE JUNHO</v>
      </c>
      <c r="D187" s="36" t="str">
        <f ca="1">IFERROR(__xludf.DUMMYFUNCTION("""COMPUTED_VALUE"""),"02060455000128")</f>
        <v>02060455000128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IFERROR(__xludf.DUMMYFUNCTION("""COMPUTED_VALUE"""),"147214")</f>
        <v>147214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IFERROR(__xludf.DUMMYFUNCTION("""COMPUTED_VALUE"""),0)</f>
        <v>0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IFERROR(__xludf.DUMMYFUNCTION("""COMPUTED_VALUE"""),0)</f>
        <v>0</v>
      </c>
      <c r="Q187" s="38">
        <f ca="1">IFERROR(__xludf.DUMMYFUNCTION("""COMPUTED_VALUE"""),4347)</f>
        <v>4347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IFERROR(__xludf.DUMMYFUNCTION("""COMPUTED_VALUE"""),0)</f>
        <v>0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IFERROR(__xludf.DUMMYFUNCTION("""COMPUTED_VALUE"""),"A.A. DO COLEGIO ESTADUAL BERNARDO SAYAO")</f>
        <v>A.A. DO COLEGIO ESTADUAL BERNARDO SAYAO</v>
      </c>
      <c r="D188" s="41" t="str">
        <f ca="1">IFERROR(__xludf.DUMMYFUNCTION("""COMPUTED_VALUE"""),"02160863000151")</f>
        <v>02160863000151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IFERROR(__xludf.DUMMYFUNCTION("""COMPUTED_VALUE"""),"53910")</f>
        <v>53910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IFERROR(__xludf.DUMMYFUNCTION("""COMPUTED_VALUE"""),3234)</f>
        <v>3234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IFERROR(__xludf.DUMMYFUNCTION("""COMPUTED_VALUE"""),525)</f>
        <v>525</v>
      </c>
      <c r="Q188" s="43">
        <f ca="1">IFERROR(__xludf.DUMMYFUNCTION("""COMPUTED_VALUE"""),0)</f>
        <v>0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IFERROR(__xludf.DUMMYFUNCTION("""COMPUTED_VALUE"""),420)</f>
        <v>420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IFERROR(__xludf.DUMMYFUNCTION("""COMPUTED_VALUE"""),"Presidente Kennedy")</f>
        <v>Presidente Kennedy</v>
      </c>
      <c r="C189" s="35" t="str">
        <f ca="1">IFERROR(__xludf.DUMMYFUNCTION("""COMPUTED_VALUE"""),"A.PAIS E M.COL. EST. JUSCELINO KUBITSCHEK")</f>
        <v>A.PAIS E M.COL. EST. JUSCELINO KUBITSCHEK</v>
      </c>
      <c r="D189" s="36" t="str">
        <f ca="1">IFERROR(__xludf.DUMMYFUNCTION("""COMPUTED_VALUE"""),"02060456000172")</f>
        <v>02060456000172</v>
      </c>
      <c r="E189" s="37" t="str">
        <f ca="1">IFERROR(__xludf.DUMMYFUNCTION("""COMPUTED_VALUE"""),"001")</f>
        <v>001</v>
      </c>
      <c r="F189" s="38" t="str">
        <f ca="1">IFERROR(__xludf.DUMMYFUNCTION("""COMPUTED_VALUE"""),"2094")</f>
        <v>2094</v>
      </c>
      <c r="G189" s="38" t="str">
        <f ca="1">IFERROR(__xludf.DUMMYFUNCTION("""COMPUTED_VALUE"""),"047553X")</f>
        <v>047553X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IFERROR(__xludf.DUMMYFUNCTION("""COMPUTED_VALUE"""),2982)</f>
        <v>2982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IFERROR(__xludf.DUMMYFUNCTION("""COMPUTED_VALUE"""),252)</f>
        <v>252</v>
      </c>
      <c r="Q189" s="38">
        <f ca="1">IFERROR(__xludf.DUMMYFUNCTION("""COMPUTED_VALUE"""),1890)</f>
        <v>1890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IFERROR(__xludf.DUMMYFUNCTION("""COMPUTED_VALUE"""),0)</f>
        <v>0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IFERROR(__xludf.DUMMYFUNCTION("""COMPUTED_VALUE"""),"Gurupi")</f>
        <v>Gurupi</v>
      </c>
      <c r="B190" s="39" t="str">
        <f ca="1">IFERROR(__xludf.DUMMYFUNCTION("""COMPUTED_VALUE"""),"Alianca do Tocantins")</f>
        <v>Alianca do Tocantins</v>
      </c>
      <c r="C190" s="40" t="str">
        <f ca="1">IFERROR(__xludf.DUMMYFUNCTION("""COMPUTED_VALUE"""),"ASS. APOIO COL. EST. ANITA CASSIMIRO MORENO")</f>
        <v>ASS. APOIO COL. EST. ANITA CASSIMIRO MORENO</v>
      </c>
      <c r="D190" s="41" t="str">
        <f ca="1">IFERROR(__xludf.DUMMYFUNCTION("""COMPUTED_VALUE"""),"01304570000138")</f>
        <v>01304570000138</v>
      </c>
      <c r="E190" s="42" t="str">
        <f ca="1">IFERROR(__xludf.DUMMYFUNCTION("""COMPUTED_VALUE"""),"001")</f>
        <v>001</v>
      </c>
      <c r="F190" s="43" t="str">
        <f ca="1">IFERROR(__xludf.DUMMYFUNCTION("""COMPUTED_VALUE"""),"3972")</f>
        <v>3972</v>
      </c>
      <c r="G190" s="43" t="str">
        <f ca="1">IFERROR(__xludf.DUMMYFUNCTION("""COMPUTED_VALUE"""),"245984")</f>
        <v>245984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IFERROR(__xludf.DUMMYFUNCTION("""COMPUTED_VALUE"""),1995)</f>
        <v>1995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IFERROR(__xludf.DUMMYFUNCTION("""COMPUTED_VALUE"""),0)</f>
        <v>0</v>
      </c>
      <c r="Q190" s="43">
        <f ca="1">IFERROR(__xludf.DUMMYFUNCTION("""COMPUTED_VALUE"""),3402)</f>
        <v>3402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IFERROR(__xludf.DUMMYFUNCTION("""COMPUTED_VALUE"""),"A.A.  AO EDUCANDARIO EVANGELICO JERUSALEM")</f>
        <v>A.A.  AO EDUCANDARIO EVANGELICO JERUSALEM</v>
      </c>
      <c r="D191" s="36" t="str">
        <f ca="1">IFERROR(__xludf.DUMMYFUNCTION("""COMPUTED_VALUE"""),"03172227000102")</f>
        <v>03172227000102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IFERROR(__xludf.DUMMYFUNCTION("""COMPUTED_VALUE"""),"54666")</f>
        <v>54666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IFERROR(__xludf.DUMMYFUNCTION("""COMPUTED_VALUE"""),2226)</f>
        <v>2226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IFERROR(__xludf.DUMMYFUNCTION("""COMPUTED_VALUE"""),0)</f>
        <v>0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IFERROR(__xludf.DUMMYFUNCTION("""COMPUTED_VALUE"""),"ASSOCIAÇÃO DE APOIO A ESCOLA ESPECIAL AMOR FRATERNAL")</f>
        <v>ASSOCIAÇÃO DE APOIO A ESCOLA ESPECIAL AMOR FRATERNAL</v>
      </c>
      <c r="D192" s="41" t="str">
        <f ca="1">IFERROR(__xludf.DUMMYFUNCTION("""COMPUTED_VALUE"""),"07953958000146")</f>
        <v>07953958000146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IFERROR(__xludf.DUMMYFUNCTION("""COMPUTED_VALUE"""),"90115")</f>
        <v>90115</v>
      </c>
      <c r="H192" s="43">
        <f ca="1">IFERROR(__xludf.DUMMYFUNCTION("""COMPUTED_VALUE"""),0)</f>
        <v>0</v>
      </c>
      <c r="I192" s="43">
        <f ca="1">IFERROR(__xludf.DUMMYFUNCTION("""COMPUTED_VALUE"""),189)</f>
        <v>189</v>
      </c>
      <c r="J192" s="43">
        <f ca="1">IFERROR(__xludf.DUMMYFUNCTION("""COMPUTED_VALUE"""),0)</f>
        <v>0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IFERROR(__xludf.DUMMYFUNCTION("""COMPUTED_VALUE"""),735)</f>
        <v>735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IFERROR(__xludf.DUMMYFUNCTION("""COMPUTED_VALUE"""),1386)</f>
        <v>1386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IFERROR(__xludf.DUMMYFUNCTION("""COMPUTED_VALUE"""),"A. PAIS E MESTRES ESC. EST.N.SRA.DO CARMO")</f>
        <v>A. PAIS E MESTRES ESC. EST.N.SRA.DO CARMO</v>
      </c>
      <c r="D193" s="36" t="str">
        <f ca="1">IFERROR(__xludf.DUMMYFUNCTION("""COMPUTED_VALUE"""),"01034192000110")</f>
        <v>01034192000110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IFERROR(__xludf.DUMMYFUNCTION("""COMPUTED_VALUE"""),"243590")</f>
        <v>243590</v>
      </c>
      <c r="H193" s="38">
        <f ca="1">IFERROR(__xludf.DUMMYFUNCTION("""COMPUTED_VALUE"""),0)</f>
        <v>0</v>
      </c>
      <c r="I193" s="38">
        <f ca="1">IFERROR(__xludf.DUMMYFUNCTION("""COMPUTED_VALUE"""),0)</f>
        <v>0</v>
      </c>
      <c r="J193" s="38">
        <f ca="1">IFERROR(__xludf.DUMMYFUNCTION("""COMPUTED_VALUE"""),0)</f>
        <v>0</v>
      </c>
      <c r="K193" s="38">
        <f ca="1">IFERROR(__xludf.DUMMYFUNCTION("""COMPUTED_VALUE"""),11054.4)</f>
        <v>11054.4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IFERROR(__xludf.DUMMYFUNCTION("""COMPUTED_VALUE"""),462)</f>
        <v>462</v>
      </c>
      <c r="Q193" s="38">
        <f ca="1">IFERROR(__xludf.DUMMYFUNCTION("""COMPUTED_VALUE"""),0)</f>
        <v>0</v>
      </c>
      <c r="R193" s="38">
        <f ca="1">IFERROR(__xludf.DUMMYFUNCTION("""COMPUTED_VALUE"""),2273.6)</f>
        <v>2273.6</v>
      </c>
      <c r="S193" s="38">
        <f ca="1">IFERROR(__xludf.DUMMYFUNCTION("""COMPUTED_VALUE"""),0)</f>
        <v>0</v>
      </c>
      <c r="T193" s="38">
        <f ca="1">IFERROR(__xludf.DUMMYFUNCTION("""COMPUTED_VALUE"""),0)</f>
        <v>0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IFERROR(__xludf.DUMMYFUNCTION("""COMPUTED_VALUE"""),1097.8)</f>
        <v>1097.8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IFERROR(__xludf.DUMMYFUNCTION("""COMPUTED_VALUE"""),"Alvorada")</f>
        <v>Alvorada</v>
      </c>
      <c r="C194" s="40" t="str">
        <f ca="1">IFERROR(__xludf.DUMMYFUNCTION("""COMPUTED_VALUE"""),"ASS. APOIO COL. EST. ADJULIO BALTHAZAR")</f>
        <v>ASS. APOIO COL. EST. ADJULIO BALTHAZAR</v>
      </c>
      <c r="D194" s="41" t="str">
        <f ca="1">IFERROR(__xludf.DUMMYFUNCTION("""COMPUTED_VALUE"""),"01138432000126")</f>
        <v>01138432000126</v>
      </c>
      <c r="E194" s="42" t="str">
        <f ca="1">IFERROR(__xludf.DUMMYFUNCTION("""COMPUTED_VALUE"""),"001")</f>
        <v>001</v>
      </c>
      <c r="F194" s="43" t="str">
        <f ca="1">IFERROR(__xludf.DUMMYFUNCTION("""COMPUTED_VALUE"""),"1303")</f>
        <v>1303</v>
      </c>
      <c r="G194" s="43" t="str">
        <f ca="1">IFERROR(__xludf.DUMMYFUNCTION("""COMPUTED_VALUE"""),"103462")</f>
        <v>103462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IFERROR(__xludf.DUMMYFUNCTION("""COMPUTED_VALUE"""),4746)</f>
        <v>4746</v>
      </c>
      <c r="K194" s="43">
        <f ca="1">IFERROR(__xludf.DUMMYFUNCTION("""COMPUTED_VALUE"""),0)</f>
        <v>0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IFERROR(__xludf.DUMMYFUNCTION("""COMPUTED_VALUE"""),0)</f>
        <v>0</v>
      </c>
      <c r="Q194" s="43">
        <f ca="1">IFERROR(__xludf.DUMMYFUNCTION("""COMPUTED_VALUE"""),0)</f>
        <v>0</v>
      </c>
      <c r="R194" s="43">
        <f ca="1">IFERROR(__xludf.DUMMYFUNCTION("""COMPUTED_VALUE"""),0)</f>
        <v>0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IFERROR(__xludf.DUMMYFUNCTION("""COMPUTED_VALUE"""),0)</f>
        <v>0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IFERROR(__xludf.DUMMYFUNCTION("""COMPUTED_VALUE"""),"A.A.  COLEGIO ESTADUAL DE ALVORADA")</f>
        <v>A.A.  COLEGIO ESTADUAL DE ALVORADA</v>
      </c>
      <c r="D195" s="36" t="str">
        <f ca="1">IFERROR(__xludf.DUMMYFUNCTION("""COMPUTED_VALUE"""),"01269283000134")</f>
        <v>01269283000134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IFERROR(__xludf.DUMMYFUNCTION("""COMPUTED_VALUE"""),"0088544")</f>
        <v>0088544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IFERROR(__xludf.DUMMYFUNCTION("""COMPUTED_VALUE"""),0)</f>
        <v>0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IFERROR(__xludf.DUMMYFUNCTION("""COMPUTED_VALUE"""),6741)</f>
        <v>6741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IFERROR(__xludf.DUMMYFUNCTION("""COMPUTED_VALUE"""),"A.P.A.DOS EXCEP. DE ALVORADA-APAE")</f>
        <v>A.P.A.DOS EXCEP. DE ALVORADA-APAE</v>
      </c>
      <c r="D196" s="41" t="str">
        <f ca="1">IFERROR(__xludf.DUMMYFUNCTION("""COMPUTED_VALUE"""),"02201735000109")</f>
        <v>02201735000109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IFERROR(__xludf.DUMMYFUNCTION("""COMPUTED_VALUE"""),"101826")</f>
        <v>101826</v>
      </c>
      <c r="H196" s="43">
        <f ca="1">IFERROR(__xludf.DUMMYFUNCTION("""COMPUTED_VALUE"""),0)</f>
        <v>0</v>
      </c>
      <c r="I196" s="43">
        <f ca="1">IFERROR(__xludf.DUMMYFUNCTION("""COMPUTED_VALUE"""),273)</f>
        <v>273</v>
      </c>
      <c r="J196" s="43">
        <f ca="1">IFERROR(__xludf.DUMMYFUNCTION("""COMPUTED_VALUE"""),126)</f>
        <v>126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IFERROR(__xludf.DUMMYFUNCTION("""COMPUTED_VALUE"""),1596)</f>
        <v>1596</v>
      </c>
      <c r="Q196" s="43">
        <f ca="1">IFERROR(__xludf.DUMMYFUNCTION("""COMPUTED_VALUE"""),0)</f>
        <v>0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IFERROR(__xludf.DUMMYFUNCTION("""COMPUTED_VALUE"""),1575)</f>
        <v>1575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IFERROR(__xludf.DUMMYFUNCTION("""COMPUTED_VALUE"""),"ASS. APOIO ESC. EST. ANA MARIA DE JESUS")</f>
        <v>ASS. APOIO ESC. EST. ANA MARIA DE JESUS</v>
      </c>
      <c r="D197" s="36" t="str">
        <f ca="1">IFERROR(__xludf.DUMMYFUNCTION("""COMPUTED_VALUE"""),"01221145000185")</f>
        <v>01221145000185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IFERROR(__xludf.DUMMYFUNCTION("""COMPUTED_VALUE"""),"103691")</f>
        <v>103691</v>
      </c>
      <c r="H197" s="38">
        <f ca="1">IFERROR(__xludf.DUMMYFUNCTION("""COMPUTED_VALUE"""),0)</f>
        <v>0</v>
      </c>
      <c r="I197" s="38">
        <f ca="1">IFERROR(__xludf.DUMMYFUNCTION("""COMPUTED_VALUE"""),0)</f>
        <v>0</v>
      </c>
      <c r="J197" s="38">
        <f ca="1">IFERROR(__xludf.DUMMYFUNCTION("""COMPUTED_VALUE"""),1197)</f>
        <v>1197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IFERROR(__xludf.DUMMYFUNCTION("""COMPUTED_VALUE"""),147)</f>
        <v>147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IFERROR(__xludf.DUMMYFUNCTION("""COMPUTED_VALUE"""),1953)</f>
        <v>1953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IFERROR(__xludf.DUMMYFUNCTION("""COMPUTED_VALUE"""),"Araguacu")</f>
        <v>Araguacu</v>
      </c>
      <c r="C198" s="40" t="str">
        <f ca="1">IFERROR(__xludf.DUMMYFUNCTION("""COMPUTED_VALUE"""),"ASS. APOIO ESC. EST. JOAO TAVARES MARTINS")</f>
        <v>ASS. APOIO ESC. EST. JOAO TAVARES MARTINS</v>
      </c>
      <c r="D198" s="41" t="str">
        <f ca="1">IFERROR(__xludf.DUMMYFUNCTION("""COMPUTED_VALUE"""),"01133707000139")</f>
        <v>01133707000139</v>
      </c>
      <c r="E198" s="42" t="str">
        <f ca="1">IFERROR(__xludf.DUMMYFUNCTION("""COMPUTED_VALUE"""),"001")</f>
        <v>001</v>
      </c>
      <c r="F198" s="43" t="str">
        <f ca="1">IFERROR(__xludf.DUMMYFUNCTION("""COMPUTED_VALUE"""),"1304")</f>
        <v>1304</v>
      </c>
      <c r="G198" s="43" t="str">
        <f ca="1">IFERROR(__xludf.DUMMYFUNCTION("""COMPUTED_VALUE"""),"112542")</f>
        <v>112542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IFERROR(__xludf.DUMMYFUNCTION("""COMPUTED_VALUE"""),0)</f>
        <v>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IFERROR(__xludf.DUMMYFUNCTION("""COMPUTED_VALUE"""),0)</f>
        <v>0</v>
      </c>
      <c r="Q198" s="43">
        <f ca="1">IFERROR(__xludf.DUMMYFUNCTION("""COMPUTED_VALUE"""),6090)</f>
        <v>6090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IFERROR(__xludf.DUMMYFUNCTION("""COMPUTED_VALUE"""),0)</f>
        <v>0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IFERROR(__xludf.DUMMYFUNCTION("""COMPUTED_VALUE"""),"A..A. ESC. ESPECIAL  ABELINHA EM BUSCA DO SABER")</f>
        <v>A..A. ESC. ESPECIAL  ABELINHA EM BUSCA DO SABER</v>
      </c>
      <c r="D199" s="36" t="str">
        <f ca="1">IFERROR(__xludf.DUMMYFUNCTION("""COMPUTED_VALUE"""),"07924466000122")</f>
        <v>07924466000122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IFERROR(__xludf.DUMMYFUNCTION("""COMPUTED_VALUE"""),"136417")</f>
        <v>136417</v>
      </c>
      <c r="H199" s="38">
        <f ca="1">IFERROR(__xludf.DUMMYFUNCTION("""COMPUTED_VALUE"""),0)</f>
        <v>0</v>
      </c>
      <c r="I199" s="38">
        <f ca="1">IFERROR(__xludf.DUMMYFUNCTION("""COMPUTED_VALUE"""),84)</f>
        <v>84</v>
      </c>
      <c r="J199" s="38">
        <f ca="1">IFERROR(__xludf.DUMMYFUNCTION("""COMPUTED_VALUE"""),126)</f>
        <v>126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IFERROR(__xludf.DUMMYFUNCTION("""COMPUTED_VALUE"""),1659)</f>
        <v>1659</v>
      </c>
      <c r="Q199" s="38">
        <f ca="1">IFERROR(__xludf.DUMMYFUNCTION("""COMPUTED_VALUE"""),0)</f>
        <v>0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IFERROR(__xludf.DUMMYFUNCTION("""COMPUTED_VALUE"""),1449)</f>
        <v>1449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IFERROR(__xludf.DUMMYFUNCTION("""COMPUTED_VALUE"""),"ASS. APOIO ESC. EST. SALVADOR CAETANO")</f>
        <v>ASS. APOIO ESC. EST. SALVADOR CAETANO</v>
      </c>
      <c r="D200" s="41" t="str">
        <f ca="1">IFERROR(__xludf.DUMMYFUNCTION("""COMPUTED_VALUE"""),"01341484000103")</f>
        <v>01341484000103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IFERROR(__xludf.DUMMYFUNCTION("""COMPUTED_VALUE"""),"0105589")</f>
        <v>0105589</v>
      </c>
      <c r="H200" s="43">
        <f ca="1">IFERROR(__xludf.DUMMYFUNCTION("""COMPUTED_VALUE"""),0)</f>
        <v>0</v>
      </c>
      <c r="I200" s="43">
        <f ca="1">IFERROR(__xludf.DUMMYFUNCTION("""COMPUTED_VALUE"""),0)</f>
        <v>0</v>
      </c>
      <c r="J200" s="43">
        <f ca="1">IFERROR(__xludf.DUMMYFUNCTION("""COMPUTED_VALUE"""),4998)</f>
        <v>4998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IFERROR(__xludf.DUMMYFUNCTION("""COMPUTED_VALUE"""),546)</f>
        <v>546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IFERROR(__xludf.DUMMYFUNCTION("""COMPUTED_VALUE"""),0)</f>
        <v>0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IFERROR(__xludf.DUMMYFUNCTION("""COMPUTED_VALUE"""),"Cariri do Tocantins")</f>
        <v>Cariri do Tocantins</v>
      </c>
      <c r="C201" s="35" t="str">
        <f ca="1">IFERROR(__xludf.DUMMYFUNCTION("""COMPUTED_VALUE"""),"ASS. APOIO ESCOLA ESTADUAL TARSO DUTRA")</f>
        <v>ASS. APOIO ESCOLA ESTADUAL TARSO DUTRA</v>
      </c>
      <c r="D201" s="36" t="str">
        <f ca="1">IFERROR(__xludf.DUMMYFUNCTION("""COMPUTED_VALUE"""),"01239275000145")</f>
        <v>01239275000145</v>
      </c>
      <c r="E201" s="37" t="str">
        <f ca="1">IFERROR(__xludf.DUMMYFUNCTION("""COMPUTED_VALUE"""),"001")</f>
        <v>001</v>
      </c>
      <c r="F201" s="38" t="str">
        <f ca="1">IFERROR(__xludf.DUMMYFUNCTION("""COMPUTED_VALUE"""),"0794")</f>
        <v>0794</v>
      </c>
      <c r="G201" s="38" t="str">
        <f ca="1">IFERROR(__xludf.DUMMYFUNCTION("""COMPUTED_VALUE"""),"245496")</f>
        <v>245496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IFERROR(__xludf.DUMMYFUNCTION("""COMPUTED_VALUE"""),1449)</f>
        <v>1449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IFERROR(__xludf.DUMMYFUNCTION("""COMPUTED_VALUE"""),0)</f>
        <v>0</v>
      </c>
      <c r="Q201" s="38">
        <f ca="1">IFERROR(__xludf.DUMMYFUNCTION("""COMPUTED_VALUE"""),3381)</f>
        <v>3381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IFERROR(__xludf.DUMMYFUNCTION("""COMPUTED_VALUE"""),609)</f>
        <v>609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IFERROR(__xludf.DUMMYFUNCTION("""COMPUTED_VALUE"""),"Crixas do Tocantins")</f>
        <v>Crixas do Tocantins</v>
      </c>
      <c r="C202" s="40" t="str">
        <f ca="1">IFERROR(__xludf.DUMMYFUNCTION("""COMPUTED_VALUE"""),"ASSOC. DE AP. DA ESC. EST. OLAVO BILAC")</f>
        <v>ASSOC. DE AP. DA ESC. EST. OLAVO BILAC</v>
      </c>
      <c r="D202" s="41" t="str">
        <f ca="1">IFERROR(__xludf.DUMMYFUNCTION("""COMPUTED_VALUE"""),"01892440000163")</f>
        <v>01892440000163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IFERROR(__xludf.DUMMYFUNCTION("""COMPUTED_VALUE"""),"13498")</f>
        <v>13498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IFERROR(__xludf.DUMMYFUNCTION("""COMPUTED_VALUE"""),1218)</f>
        <v>1218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IFERROR(__xludf.DUMMYFUNCTION("""COMPUTED_VALUE"""),1239)</f>
        <v>1239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IFERROR(__xludf.DUMMYFUNCTION("""COMPUTED_VALUE"""),0)</f>
        <v>0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IFERROR(__xludf.DUMMYFUNCTION("""COMPUTED_VALUE"""),"Duere")</f>
        <v>Duere</v>
      </c>
      <c r="C203" s="35" t="str">
        <f ca="1">IFERROR(__xludf.DUMMYFUNCTION("""COMPUTED_VALUE"""),"A.P.MESTRES DA ESCOLA EST.ELESBAO LIMA")</f>
        <v>A.P.MESTRES DA ESCOLA EST.ELESBAO LIMA</v>
      </c>
      <c r="D203" s="36" t="str">
        <f ca="1">IFERROR(__xludf.DUMMYFUNCTION("""COMPUTED_VALUE"""),"01865387000101")</f>
        <v>01865387000101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IFERROR(__xludf.DUMMYFUNCTION("""COMPUTED_VALUE"""),"6758X")</f>
        <v>6758X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IFERROR(__xludf.DUMMYFUNCTION("""COMPUTED_VALUE"""),6279)</f>
        <v>6279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IFERROR(__xludf.DUMMYFUNCTION("""COMPUTED_VALUE"""),462)</f>
        <v>462</v>
      </c>
      <c r="Q203" s="38">
        <f ca="1">IFERROR(__xludf.DUMMYFUNCTION("""COMPUTED_VALUE"""),3045)</f>
        <v>3045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IFERROR(__xludf.DUMMYFUNCTION("""COMPUTED_VALUE"""),"Figueiropolis")</f>
        <v>Figueiropolis</v>
      </c>
      <c r="C204" s="40" t="str">
        <f ca="1">IFERROR(__xludf.DUMMYFUNCTION("""COMPUTED_VALUE"""),"A. APOIO COL. EST. ALAIR SENA CONCEICAO")</f>
        <v>A. APOIO COL. EST. ALAIR SENA CONCEICAO</v>
      </c>
      <c r="D204" s="41" t="str">
        <f ca="1">IFERROR(__xludf.DUMMYFUNCTION("""COMPUTED_VALUE"""),"01257080000128")</f>
        <v>01257080000128</v>
      </c>
      <c r="E204" s="42" t="str">
        <f ca="1">IFERROR(__xludf.DUMMYFUNCTION("""COMPUTED_VALUE"""),"001")</f>
        <v>001</v>
      </c>
      <c r="F204" s="43" t="str">
        <f ca="1">IFERROR(__xludf.DUMMYFUNCTION("""COMPUTED_VALUE"""),"3978")</f>
        <v>3978</v>
      </c>
      <c r="G204" s="43" t="str">
        <f ca="1">IFERROR(__xludf.DUMMYFUNCTION("""COMPUTED_VALUE"""),"52639")</f>
        <v>52639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IFERROR(__xludf.DUMMYFUNCTION("""COMPUTED_VALUE"""),0)</f>
        <v>0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IFERROR(__xludf.DUMMYFUNCTION("""COMPUTED_VALUE"""),0)</f>
        <v>0</v>
      </c>
      <c r="Q204" s="43">
        <f ca="1">IFERROR(__xludf.DUMMYFUNCTION("""COMPUTED_VALUE"""),3612)</f>
        <v>3612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COLEGIO EST. CANDIDO FIGUEIRA")</f>
        <v>A. APOIO COLEGIO EST. CANDIDO FIGUEIRA</v>
      </c>
      <c r="D205" s="36" t="str">
        <f ca="1">IFERROR(__xludf.DUMMYFUNCTION("""COMPUTED_VALUE"""),"01262902000169")</f>
        <v>01262902000169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IFERROR(__xludf.DUMMYFUNCTION("""COMPUTED_VALUE"""),"4802X")</f>
        <v>4802X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IFERROR(__xludf.DUMMYFUNCTION("""COMPUTED_VALUE"""),7098)</f>
        <v>7098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IFERROR(__xludf.DUMMYFUNCTION("""COMPUTED_VALUE"""),231)</f>
        <v>231</v>
      </c>
      <c r="Q205" s="38">
        <f ca="1">IFERROR(__xludf.DUMMYFUNCTION("""COMPUTED_VALUE"""),0)</f>
        <v>0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IFERROR(__xludf.DUMMYFUNCTION("""COMPUTED_VALUE"""),"Formoso do Araguaia")</f>
        <v>Formoso do Araguaia</v>
      </c>
      <c r="C206" s="40" t="str">
        <f ca="1">IFERROR(__xludf.DUMMYFUNCTION("""COMPUTED_VALUE"""),"A.P.E MESTRES DA E. E.BENEDITO P.BANDEIRA")</f>
        <v>A.P.E MESTRES DA E. E.BENEDITO P.BANDEIRA</v>
      </c>
      <c r="D206" s="41" t="str">
        <f ca="1">IFERROR(__xludf.DUMMYFUNCTION("""COMPUTED_VALUE"""),"01136026000124")</f>
        <v>01136026000124</v>
      </c>
      <c r="E206" s="42" t="str">
        <f ca="1">IFERROR(__xludf.DUMMYFUNCTION("""COMPUTED_VALUE"""),"001")</f>
        <v>001</v>
      </c>
      <c r="F206" s="43" t="str">
        <f ca="1">IFERROR(__xludf.DUMMYFUNCTION("""COMPUTED_VALUE"""),"3123")</f>
        <v>3123</v>
      </c>
      <c r="G206" s="43" t="str">
        <f ca="1">IFERROR(__xludf.DUMMYFUNCTION("""COMPUTED_VALUE"""),"0303240")</f>
        <v>0303240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IFERROR(__xludf.DUMMYFUNCTION("""COMPUTED_VALUE"""),2079)</f>
        <v>2079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IFERROR(__xludf.DUMMYFUNCTION("""COMPUTED_VALUE"""),0)</f>
        <v>0</v>
      </c>
      <c r="Q206" s="43">
        <f ca="1">IFERROR(__xludf.DUMMYFUNCTION("""COMPUTED_VALUE"""),1785)</f>
        <v>1785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IFERROR(__xludf.DUMMYFUNCTION("""COMPUTED_VALUE"""),"A.A. COLEGIO ESTADUAL TIRADENTES")</f>
        <v>A.A. COLEGIO ESTADUAL TIRADENTES</v>
      </c>
      <c r="D207" s="36" t="str">
        <f ca="1">IFERROR(__xludf.DUMMYFUNCTION("""COMPUTED_VALUE"""),"01263350000103")</f>
        <v>01263350000103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IFERROR(__xludf.DUMMYFUNCTION("""COMPUTED_VALUE"""),"302988")</f>
        <v>302988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IFERROR(__xludf.DUMMYFUNCTION("""COMPUTED_VALUE"""),0)</f>
        <v>0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IFERROR(__xludf.DUMMYFUNCTION("""COMPUTED_VALUE"""),5376)</f>
        <v>5376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ESC ESPECIAL ANJO DA GUARDA")</f>
        <v>A.A. ESC ESPECIAL ANJO DA GUARDA</v>
      </c>
      <c r="D208" s="41" t="str">
        <f ca="1">IFERROR(__xludf.DUMMYFUNCTION("""COMPUTED_VALUE"""),"17617389000111")</f>
        <v>17617389000111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IFERROR(__xludf.DUMMYFUNCTION("""COMPUTED_VALUE"""),"168211")</f>
        <v>168211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IFERROR(__xludf.DUMMYFUNCTION("""COMPUTED_VALUE"""),588)</f>
        <v>588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IFERROR(__xludf.DUMMYFUNCTION("""COMPUTED_VALUE"""),735)</f>
        <v>735</v>
      </c>
      <c r="Q208" s="43">
        <f ca="1">IFERROR(__xludf.DUMMYFUNCTION("""COMPUTED_VALUE"""),0)</f>
        <v>0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IFERROR(__xludf.DUMMYFUNCTION("""COMPUTED_VALUE"""),1029)</f>
        <v>1029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ESC. EST. DONA GERCINA BORGES TEIXEIRA")</f>
        <v>A.A. ESC. EST. DONA GERCINA BORGES TEIXEIRA</v>
      </c>
      <c r="D209" s="36" t="str">
        <f ca="1">IFERROR(__xludf.DUMMYFUNCTION("""COMPUTED_VALUE"""),"01268334000103")</f>
        <v>01268334000103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IFERROR(__xludf.DUMMYFUNCTION("""COMPUTED_VALUE"""),"302880")</f>
        <v>302880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IFERROR(__xludf.DUMMYFUNCTION("""COMPUTED_VALUE"""),8274)</f>
        <v>8274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IFERROR(__xludf.DUMMYFUNCTION("""COMPUTED_VALUE"""),630)</f>
        <v>630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IFERROR(__xludf.DUMMYFUNCTION("""COMPUTED_VALUE"""),2394)</f>
        <v>2394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IFERROR(__xludf.DUMMYFUNCTION("""COMPUTED_VALUE"""),"ASSOCIAÇÃO DE APOIO DA ESCOLA INDÍGENA TAINÁ DA ALDEIA CANUANA")</f>
        <v>ASSOCIAÇÃO DE APOIO DA ESCOLA INDÍGENA TAINÁ DA ALDEIA CANUANA</v>
      </c>
      <c r="D210" s="41" t="str">
        <f ca="1">IFERROR(__xludf.DUMMYFUNCTION("""COMPUTED_VALUE"""),"27701257000127")</f>
        <v>27701257000127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IFERROR(__xludf.DUMMYFUNCTION("""COMPUTED_VALUE"""),"171174")</f>
        <v>171174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IFERROR(__xludf.DUMMYFUNCTION("""COMPUTED_VALUE"""),0)</f>
        <v>0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IFERROR(__xludf.DUMMYFUNCTION("""COMPUTED_VALUE"""),2751)</f>
        <v>2751</v>
      </c>
      <c r="P210" s="43">
        <f ca="1">IFERROR(__xludf.DUMMYFUNCTION("""COMPUTED_VALUE"""),0)</f>
        <v>0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IFERROR(__xludf.DUMMYFUNCTION("""COMPUTED_VALUE"""),0)</f>
        <v>0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IFERROR(__xludf.DUMMYFUNCTION("""COMPUTED_VALUE"""),"Gurupi")</f>
        <v>Gurupi</v>
      </c>
      <c r="C211" s="35" t="str">
        <f ca="1">IFERROR(__xludf.DUMMYFUNCTION("""COMPUTED_VALUE"""),"A.A. ESC. EST.ISOL.E IND.REG.DE GURUPI")</f>
        <v>A.A. ESC. EST.ISOL.E IND.REG.DE GURUPI</v>
      </c>
      <c r="D211" s="36" t="str">
        <f ca="1">IFERROR(__xludf.DUMMYFUNCTION("""COMPUTED_VALUE"""),"03011592000135")</f>
        <v>03011592000135</v>
      </c>
      <c r="E211" s="37" t="str">
        <f ca="1">IFERROR(__xludf.DUMMYFUNCTION("""COMPUTED_VALUE"""),"001")</f>
        <v>001</v>
      </c>
      <c r="F211" s="38" t="str">
        <f ca="1">IFERROR(__xludf.DUMMYFUNCTION("""COMPUTED_VALUE"""),"0794")</f>
        <v>0794</v>
      </c>
      <c r="G211" s="38" t="str">
        <f ca="1">IFERROR(__xludf.DUMMYFUNCTION("""COMPUTED_VALUE"""),"67563")</f>
        <v>67563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IFERROR(__xludf.DUMMYFUNCTION("""COMPUTED_VALUE"""),10521)</f>
        <v>10521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IFERROR(__xludf.DUMMYFUNCTION("""COMPUTED_VALUE"""),"Gurupi")</f>
        <v>Gurupi</v>
      </c>
      <c r="C212" s="40" t="str">
        <f ca="1">IFERROR(__xludf.DUMMYFUNCTION("""COMPUTED_VALUE"""),"ASSOC. A. CENTRO DE ENS. MÉDIO ARY R. VALADÃO FILHO")</f>
        <v>ASSOC. A. CENTRO DE ENS. MÉDIO ARY R. VALADÃO FILHO</v>
      </c>
      <c r="D212" s="41" t="str">
        <f ca="1">IFERROR(__xludf.DUMMYFUNCTION("""COMPUTED_VALUE"""),"02152392000130")</f>
        <v>02152392000130</v>
      </c>
      <c r="E212" s="42" t="str">
        <f ca="1">IFERROR(__xludf.DUMMYFUNCTION("""COMPUTED_VALUE"""),"001")</f>
        <v>001</v>
      </c>
      <c r="F212" s="43" t="str">
        <f ca="1">IFERROR(__xludf.DUMMYFUNCTION("""COMPUTED_VALUE"""),"0794")</f>
        <v>0794</v>
      </c>
      <c r="G212" s="43" t="str">
        <f ca="1">IFERROR(__xludf.DUMMYFUNCTION("""COMPUTED_VALUE"""),"420646")</f>
        <v>420646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IFERROR(__xludf.DUMMYFUNCTION("""COMPUTED_VALUE"""),0)</f>
        <v>0</v>
      </c>
      <c r="P212" s="43">
        <f ca="1">IFERROR(__xludf.DUMMYFUNCTION("""COMPUTED_VALUE"""),630)</f>
        <v>630</v>
      </c>
      <c r="Q212" s="43">
        <f ca="1">IFERROR(__xludf.DUMMYFUNCTION("""COMPUTED_VALUE"""),16779)</f>
        <v>16779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IFERROR(__xludf.DUMMYFUNCTION("""COMPUTED_VALUE"""),"Gurupi")</f>
        <v>Gurupi</v>
      </c>
      <c r="C213" s="35" t="str">
        <f ca="1">IFERROR(__xludf.DUMMYFUNCTION("""COMPUTED_VALUE"""),"ASSOC. DE APOIO ESC. EST. BOM JESUS")</f>
        <v>ASSOC. DE APOIO ESC. EST. BOM JESUS</v>
      </c>
      <c r="D213" s="36" t="str">
        <f ca="1">IFERROR(__xludf.DUMMYFUNCTION("""COMPUTED_VALUE"""),"01865430000139")</f>
        <v>01865430000139</v>
      </c>
      <c r="E213" s="37" t="str">
        <f ca="1">IFERROR(__xludf.DUMMYFUNCTION("""COMPUTED_VALUE"""),"001")</f>
        <v>001</v>
      </c>
      <c r="F213" s="38" t="str">
        <f ca="1">IFERROR(__xludf.DUMMYFUNCTION("""COMPUTED_VALUE"""),"0794")</f>
        <v>0794</v>
      </c>
      <c r="G213" s="38" t="str">
        <f ca="1">IFERROR(__xludf.DUMMYFUNCTION("""COMPUTED_VALUE"""),"420603")</f>
        <v>420603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IFERROR(__xludf.DUMMYFUNCTION("""COMPUTED_VALUE"""),0)</f>
        <v>0</v>
      </c>
      <c r="P213" s="38">
        <f ca="1">IFERROR(__xludf.DUMMYFUNCTION("""COMPUTED_VALUE"""),336)</f>
        <v>336</v>
      </c>
      <c r="Q213" s="38">
        <f ca="1">IFERROR(__xludf.DUMMYFUNCTION("""COMPUTED_VALUE"""),0)</f>
        <v>0</v>
      </c>
      <c r="R213" s="38">
        <f ca="1">IFERROR(__xludf.DUMMYFUNCTION("""COMPUTED_VALUE"""),0)</f>
        <v>0</v>
      </c>
      <c r="S213" s="38">
        <f ca="1">IFERROR(__xludf.DUMMYFUNCTION("""COMPUTED_VALUE"""),25953.1999999999)</f>
        <v>25953.199999999899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IFERROR(__xludf.DUMMYFUNCTION("""COMPUTED_VALUE"""),2532.6)</f>
        <v>2532.6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IFERROR(__xludf.DUMMYFUNCTION("""COMPUTED_VALUE"""),"Gurupi")</f>
        <v>Gurupi</v>
      </c>
      <c r="C214" s="40" t="str">
        <f ca="1">IFERROR(__xludf.DUMMYFUNCTION("""COMPUTED_VALUE"""),"ASSOC. DE APOIO COL. EST. DE GURUPI")</f>
        <v>ASSOC. DE APOIO COL. EST. DE GURUPI</v>
      </c>
      <c r="D214" s="41" t="str">
        <f ca="1">IFERROR(__xludf.DUMMYFUNCTION("""COMPUTED_VALUE"""),"01887135000183")</f>
        <v>01887135000183</v>
      </c>
      <c r="E214" s="42" t="str">
        <f ca="1">IFERROR(__xludf.DUMMYFUNCTION("""COMPUTED_VALUE"""),"001")</f>
        <v>001</v>
      </c>
      <c r="F214" s="43" t="str">
        <f ca="1">IFERROR(__xludf.DUMMYFUNCTION("""COMPUTED_VALUE"""),"0794")</f>
        <v>0794</v>
      </c>
      <c r="G214" s="43" t="str">
        <f ca="1">IFERROR(__xludf.DUMMYFUNCTION("""COMPUTED_VALUE"""),"420700")</f>
        <v>420700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IFERROR(__xludf.DUMMYFUNCTION("""COMPUTED_VALUE"""),0)</f>
        <v>0</v>
      </c>
      <c r="P214" s="43">
        <f ca="1">IFERROR(__xludf.DUMMYFUNCTION("""COMPUTED_VALUE"""),168)</f>
        <v>168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IFERROR(__xludf.DUMMYFUNCTION("""COMPUTED_VALUE"""),7415.2)</f>
        <v>7415.2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IFERROR(__xludf.DUMMYFUNCTION("""COMPUTED_VALUE"""),723.599999999999)</f>
        <v>723.599999999999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IFERROR(__xludf.DUMMYFUNCTION("""COMPUTED_VALUE"""),"A.A.  DO COL. PAROQUIAL BERNARDO SAYAO")</f>
        <v>A.A.  DO COL. PAROQUIAL BERNARDO SAYAO</v>
      </c>
      <c r="D215" s="36" t="str">
        <f ca="1">IFERROR(__xludf.DUMMYFUNCTION("""COMPUTED_VALUE"""),"01865371000107")</f>
        <v>01865371000107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IFERROR(__xludf.DUMMYFUNCTION("""COMPUTED_VALUE"""),"66796")</f>
        <v>66796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IFERROR(__xludf.DUMMYFUNCTION("""COMPUTED_VALUE"""),10899)</f>
        <v>10899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IFERROR(__xludf.DUMMYFUNCTION("""COMPUTED_VALUE"""),0)</f>
        <v>0</v>
      </c>
      <c r="P215" s="38">
        <f ca="1">IFERROR(__xludf.DUMMYFUNCTION("""COMPUTED_VALUE"""),693)</f>
        <v>693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IFERROR(__xludf.DUMMYFUNCTION("""COMPUTED_VALUE"""),0)</f>
        <v>0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IFERROR(__xludf.DUMMYFUNCTION("""COMPUTED_VALUE"""),0)</f>
        <v>0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IFERROR(__xludf.DUMMYFUNCTION("""COMPUTED_VALUE"""),"A.A.  ESCOLAR DO COL. EST. JOSE SEABRA")</f>
        <v>A.A.  ESCOLAR DO COL. EST. JOSE SEABRA</v>
      </c>
      <c r="D216" s="41" t="str">
        <f ca="1">IFERROR(__xludf.DUMMYFUNCTION("""COMPUTED_VALUE"""),"01910570000181")</f>
        <v>01910570000181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IFERROR(__xludf.DUMMYFUNCTION("""COMPUTED_VALUE"""),"66982")</f>
        <v>66982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IFERROR(__xludf.DUMMYFUNCTION("""COMPUTED_VALUE"""),0)</f>
        <v>0</v>
      </c>
      <c r="K216" s="43">
        <f ca="1">IFERROR(__xludf.DUMMYFUNCTION("""COMPUTED_VALUE"""),24696)</f>
        <v>24696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IFERROR(__xludf.DUMMYFUNCTION("""COMPUTED_VALUE"""),0)</f>
        <v>0</v>
      </c>
      <c r="Q216" s="43">
        <f ca="1">IFERROR(__xludf.DUMMYFUNCTION("""COMPUTED_VALUE"""),0)</f>
        <v>0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IFERROR(__xludf.DUMMYFUNCTION("""COMPUTED_VALUE"""),2095.79999999999)</f>
        <v>2095.7999999999902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IFERROR(__xludf.DUMMYFUNCTION("""COMPUTED_VALUE"""),"A.P.M.AL.MAIORES DE ID.C.POSITIVO GURUPI")</f>
        <v>A.P.M.AL.MAIORES DE ID.C.POSITIVO GURUPI</v>
      </c>
      <c r="D217" s="36" t="str">
        <f ca="1">IFERROR(__xludf.DUMMYFUNCTION("""COMPUTED_VALUE"""),"01865432000128")</f>
        <v>01865432000128</v>
      </c>
      <c r="E217" s="37" t="str">
        <f ca="1">IFERROR(__xludf.DUMMYFUNCTION("""COMPUTED_VALUE"""),"104")</f>
        <v>104</v>
      </c>
      <c r="F217" s="38" t="str">
        <f ca="1">IFERROR(__xludf.DUMMYFUNCTION("""COMPUTED_VALUE"""),"0793")</f>
        <v>0793</v>
      </c>
      <c r="G217" s="38" t="str">
        <f ca="1">IFERROR(__xludf.DUMMYFUNCTION("""COMPUTED_VALUE"""),"12138")</f>
        <v>12138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IFERROR(__xludf.DUMMYFUNCTION("""COMPUTED_VALUE"""),9177)</f>
        <v>9177</v>
      </c>
      <c r="K217" s="38">
        <f ca="1">IFERROR(__xludf.DUMMYFUNCTION("""COMPUTED_VALUE"""),0)</f>
        <v>0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IFERROR(__xludf.DUMMYFUNCTION("""COMPUTED_VALUE"""),0)</f>
        <v>0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IFERROR(__xludf.DUMMYFUNCTION("""COMPUTED_VALUE"""),0)</f>
        <v>0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IFERROR(__xludf.DUMMYFUNCTION("""COMPUTED_VALUE"""),0)</f>
        <v>0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IFERROR(__xludf.DUMMYFUNCTION("""COMPUTED_VALUE"""),0)</f>
        <v>0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IFERROR(__xludf.DUMMYFUNCTION("""COMPUTED_VALUE"""),"INSTITUTO SOCIAL EVANG DE GURUPI/EDUC. EVANG. EBENÉZER")</f>
        <v>INSTITUTO SOCIAL EVANG DE GURUPI/EDUC. EVANG. EBENÉZER</v>
      </c>
      <c r="D218" s="41" t="str">
        <f ca="1">IFERROR(__xludf.DUMMYFUNCTION("""COMPUTED_VALUE"""),"17194297000176")</f>
        <v>17194297000176</v>
      </c>
      <c r="E218" s="42" t="str">
        <f ca="1">IFERROR(__xludf.DUMMYFUNCTION("""COMPUTED_VALUE"""),"001")</f>
        <v>001</v>
      </c>
      <c r="F218" s="43" t="str">
        <f ca="1">IFERROR(__xludf.DUMMYFUNCTION("""COMPUTED_VALUE"""),"0794")</f>
        <v>0794</v>
      </c>
      <c r="G218" s="43" t="str">
        <f ca="1">IFERROR(__xludf.DUMMYFUNCTION("""COMPUTED_VALUE"""),"493066")</f>
        <v>493066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IFERROR(__xludf.DUMMYFUNCTION("""COMPUTED_VALUE"""),15750)</f>
        <v>15750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IFERROR(__xludf.DUMMYFUNCTION("""COMPUTED_VALUE"""),0)</f>
        <v>0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IFERROR(__xludf.DUMMYFUNCTION("""COMPUTED_VALUE"""),0)</f>
        <v>0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IFERROR(__xludf.DUMMYFUNCTION("""COMPUTED_VALUE"""),0)</f>
        <v>0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IFERROR(__xludf.DUMMYFUNCTION("""COMPUTED_VALUE"""),"ASSOCIAÇÃO DE APOIO A ESCOLA ESPECIAL SÃO FRANCISCO DE ASSIS")</f>
        <v>ASSOCIAÇÃO DE APOIO A ESCOLA ESPECIAL SÃO FRANCISCO DE ASSIS</v>
      </c>
      <c r="D219" s="36" t="str">
        <f ca="1">IFERROR(__xludf.DUMMYFUNCTION("""COMPUTED_VALUE"""),"07947356000186")</f>
        <v>07947356000186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IFERROR(__xludf.DUMMYFUNCTION("""COMPUTED_VALUE"""),"431109")</f>
        <v>431109</v>
      </c>
      <c r="H219" s="38">
        <f ca="1">IFERROR(__xludf.DUMMYFUNCTION("""COMPUTED_VALUE"""),0)</f>
        <v>0</v>
      </c>
      <c r="I219" s="38">
        <f ca="1">IFERROR(__xludf.DUMMYFUNCTION("""COMPUTED_VALUE"""),420)</f>
        <v>420</v>
      </c>
      <c r="J219" s="38">
        <f ca="1">IFERROR(__xludf.DUMMYFUNCTION("""COMPUTED_VALUE"""),462)</f>
        <v>462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IFERROR(__xludf.DUMMYFUNCTION("""COMPUTED_VALUE"""),378)</f>
        <v>378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IFERROR(__xludf.DUMMYFUNCTION("""COMPUTED_VALUE"""),2352)</f>
        <v>2352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IFERROR(__xludf.DUMMYFUNCTION("""COMPUTED_VALUE"""),"A.A. ESC. EST. DR. JOAQUIM P. DA COSTA")</f>
        <v>A.A. ESC. EST. DR. JOAQUIM P. DA COSTA</v>
      </c>
      <c r="D220" s="41" t="str">
        <f ca="1">IFERROR(__xludf.DUMMYFUNCTION("""COMPUTED_VALUE"""),"01865386000167")</f>
        <v>01865386000167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IFERROR(__xludf.DUMMYFUNCTION("""COMPUTED_VALUE"""),"67288")</f>
        <v>67288</v>
      </c>
      <c r="H220" s="43">
        <f ca="1">IFERROR(__xludf.DUMMYFUNCTION("""COMPUTED_VALUE"""),0)</f>
        <v>0</v>
      </c>
      <c r="I220" s="43">
        <f ca="1">IFERROR(__xludf.DUMMYFUNCTION("""COMPUTED_VALUE"""),0)</f>
        <v>0</v>
      </c>
      <c r="J220" s="43">
        <f ca="1">IFERROR(__xludf.DUMMYFUNCTION("""COMPUTED_VALUE"""),4536)</f>
        <v>4536</v>
      </c>
      <c r="K220" s="43">
        <f ca="1">IFERROR(__xludf.DUMMYFUNCTION("""COMPUTED_VALUE"""),0)</f>
        <v>0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IFERROR(__xludf.DUMMYFUNCTION("""COMPUTED_VALUE"""),651)</f>
        <v>651</v>
      </c>
      <c r="Q220" s="43">
        <f ca="1">IFERROR(__xludf.DUMMYFUNCTION("""COMPUTED_VALUE"""),14364)</f>
        <v>14364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IFERROR(__xludf.DUMMYFUNCTION("""COMPUTED_VALUE"""),1722)</f>
        <v>1722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IFERROR(__xludf.DUMMYFUNCTION("""COMPUTED_VALUE"""),0)</f>
        <v>0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IFERROR(__xludf.DUMMYFUNCTION("""COMPUTED_VALUE"""),"A.A. ESCOLAR DA ESC. EST. DR.WALDIR LINS")</f>
        <v>A.A. ESCOLAR DA ESC. EST. DR.WALDIR LINS</v>
      </c>
      <c r="D221" s="36" t="str">
        <f ca="1">IFERROR(__xludf.DUMMYFUNCTION("""COMPUTED_VALUE"""),"01936535000131")</f>
        <v>01936535000131</v>
      </c>
      <c r="E221" s="37" t="str">
        <f ca="1">IFERROR(__xludf.DUMMYFUNCTION("""COMPUTED_VALUE"""),"001")</f>
        <v>001</v>
      </c>
      <c r="F221" s="38" t="str">
        <f ca="1">IFERROR(__xludf.DUMMYFUNCTION("""COMPUTED_VALUE"""),"0794")</f>
        <v>0794</v>
      </c>
      <c r="G221" s="38" t="str">
        <f ca="1">IFERROR(__xludf.DUMMYFUNCTION("""COMPUTED_VALUE"""),"66966")</f>
        <v>66966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IFERROR(__xludf.DUMMYFUNCTION("""COMPUTED_VALUE"""),126)</f>
        <v>126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IFERROR(__xludf.DUMMYFUNCTION("""COMPUTED_VALUE"""),252)</f>
        <v>252</v>
      </c>
      <c r="Q221" s="38">
        <f ca="1">IFERROR(__xludf.DUMMYFUNCTION("""COMPUTED_VALUE"""),2646)</f>
        <v>2646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IFERROR(__xludf.DUMMYFUNCTION("""COMPUTED_VALUE"""),0)</f>
        <v>0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IFERROR(__xludf.DUMMYFUNCTION("""COMPUTED_VALUE"""),"A. EDUCACIONAL PRES. COSTA E SILVA")</f>
        <v>A. EDUCACIONAL PRES. COSTA E SILVA</v>
      </c>
      <c r="D222" s="41" t="str">
        <f ca="1">IFERROR(__xludf.DUMMYFUNCTION("""COMPUTED_VALUE"""),"01888719000173")</f>
        <v>01888719000173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IFERROR(__xludf.DUMMYFUNCTION("""COMPUTED_VALUE"""),"67490")</f>
        <v>67490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IFERROR(__xludf.DUMMYFUNCTION("""COMPUTED_VALUE"""),0)</f>
        <v>0</v>
      </c>
      <c r="K222" s="43">
        <f ca="1">IFERROR(__xludf.DUMMYFUNCTION("""COMPUTED_VALUE"""),34888)</f>
        <v>34888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IFERROR(__xludf.DUMMYFUNCTION("""COMPUTED_VALUE"""),588)</f>
        <v>588</v>
      </c>
      <c r="Q222" s="43">
        <f ca="1">IFERROR(__xludf.DUMMYFUNCTION("""COMPUTED_VALUE"""),0)</f>
        <v>0</v>
      </c>
      <c r="R222" s="43">
        <f ca="1">IFERROR(__xludf.DUMMYFUNCTION("""COMPUTED_VALUE"""),12936)</f>
        <v>12936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IFERROR(__xludf.DUMMYFUNCTION("""COMPUTED_VALUE"""),4091.79999999999)</f>
        <v>4091.7999999999902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IFERROR(__xludf.DUMMYFUNCTION("""COMPUTED_VALUE"""),"A.A. ESC. EST. HERCILIA CARVALHO DA SILVA")</f>
        <v>A.A. ESC. EST. HERCILIA CARVALHO DA SILVA</v>
      </c>
      <c r="D223" s="36" t="str">
        <f ca="1">IFERROR(__xludf.DUMMYFUNCTION("""COMPUTED_VALUE"""),"01465790000143")</f>
        <v>01465790000143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IFERROR(__xludf.DUMMYFUNCTION("""COMPUTED_VALUE"""),"66834")</f>
        <v>66834</v>
      </c>
      <c r="H223" s="38">
        <f ca="1">IFERROR(__xludf.DUMMYFUNCTION("""COMPUTED_VALUE"""),0)</f>
        <v>0</v>
      </c>
      <c r="I223" s="38">
        <f ca="1">IFERROR(__xludf.DUMMYFUNCTION("""COMPUTED_VALUE"""),0)</f>
        <v>0</v>
      </c>
      <c r="J223" s="38">
        <f ca="1">IFERROR(__xludf.DUMMYFUNCTION("""COMPUTED_VALUE"""),6615)</f>
        <v>6615</v>
      </c>
      <c r="K223" s="38">
        <f ca="1">IFERROR(__xludf.DUMMYFUNCTION("""COMPUTED_VALUE"""),0)</f>
        <v>0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IFERROR(__xludf.DUMMYFUNCTION("""COMPUTED_VALUE"""),420)</f>
        <v>420</v>
      </c>
      <c r="Q223" s="38">
        <f ca="1">IFERROR(__xludf.DUMMYFUNCTION("""COMPUTED_VALUE"""),4095)</f>
        <v>4095</v>
      </c>
      <c r="R223" s="38">
        <f ca="1">IFERROR(__xludf.DUMMYFUNCTION("""COMPUTED_VALUE"""),0)</f>
        <v>0</v>
      </c>
      <c r="S223" s="38">
        <f ca="1">IFERROR(__xludf.DUMMYFUNCTION("""COMPUTED_VALUE"""),0)</f>
        <v>0</v>
      </c>
      <c r="T223" s="38">
        <f ca="1">IFERROR(__xludf.DUMMYFUNCTION("""COMPUTED_VALUE"""),0)</f>
        <v>0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IFERROR(__xludf.DUMMYFUNCTION("""COMPUTED_VALUE"""),0)</f>
        <v>0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DA ESCOLA ESTADUAL RUI BARBOSA")</f>
        <v>A.A. DA ESCOLA ESTADUAL RUI BARBOSA</v>
      </c>
      <c r="D224" s="41" t="str">
        <f ca="1">IFERROR(__xludf.DUMMYFUNCTION("""COMPUTED_VALUE"""),"43753475000161")</f>
        <v>43753475000161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IFERROR(__xludf.DUMMYFUNCTION("""COMPUTED_VALUE"""),"682969")</f>
        <v>682969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IFERROR(__xludf.DUMMYFUNCTION("""COMPUTED_VALUE"""),0)</f>
        <v>0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IFERROR(__xludf.DUMMYFUNCTION("""COMPUTED_VALUE"""),0)</f>
        <v>0</v>
      </c>
      <c r="Q224" s="43">
        <f ca="1">IFERROR(__xludf.DUMMYFUNCTION("""COMPUTED_VALUE"""),0)</f>
        <v>0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IFERROR(__xludf.DUMMYFUNCTION("""COMPUTED_VALUE"""),5187)</f>
        <v>5187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 DE PAIS E MESTRES/ESC. EST. VILA GUARACY")</f>
        <v>A. DE PAIS E MESTRES/ESC. EST. VILA GUARACY</v>
      </c>
      <c r="D225" s="36" t="str">
        <f ca="1">IFERROR(__xludf.DUMMYFUNCTION("""COMPUTED_VALUE"""),"01918955000195")</f>
        <v>01918955000195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IFERROR(__xludf.DUMMYFUNCTION("""COMPUTED_VALUE"""),"67008")</f>
        <v>67008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IFERROR(__xludf.DUMMYFUNCTION("""COMPUTED_VALUE"""),3780)</f>
        <v>3780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IFERROR(__xludf.DUMMYFUNCTION("""COMPUTED_VALUE"""),315)</f>
        <v>315</v>
      </c>
      <c r="Q225" s="38">
        <f ca="1">IFERROR(__xludf.DUMMYFUNCTION("""COMPUTED_VALUE"""),0)</f>
        <v>0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IFERROR(__xludf.DUMMYFUNCTION("""COMPUTED_VALUE"""),0)</f>
        <v>0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IFERROR(__xludf.DUMMYFUNCTION("""COMPUTED_VALUE"""),"APM. DA INSTITUIÇÃO BENEFICENTE IRMÃ DULCE")</f>
        <v>APM. DA INSTITUIÇÃO BENEFICENTE IRMÃ DULCE</v>
      </c>
      <c r="D226" s="41" t="str">
        <f ca="1">IFERROR(__xludf.DUMMYFUNCTION("""COMPUTED_VALUE"""),"10807313000100")</f>
        <v>10807313000100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IFERROR(__xludf.DUMMYFUNCTION("""COMPUTED_VALUE"""),"447218")</f>
        <v>447218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IFERROR(__xludf.DUMMYFUNCTION("""COMPUTED_VALUE"""),0)</f>
        <v>0</v>
      </c>
      <c r="K226" s="43">
        <f ca="1">IFERROR(__xludf.DUMMYFUNCTION("""COMPUTED_VALUE"""),11524.8)</f>
        <v>11524.8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IFERROR(__xludf.DUMMYFUNCTION("""COMPUTED_VALUE"""),0)</f>
        <v>0</v>
      </c>
      <c r="Q226" s="43">
        <f ca="1">IFERROR(__xludf.DUMMYFUNCTION("""COMPUTED_VALUE"""),0)</f>
        <v>0</v>
      </c>
      <c r="R226" s="43">
        <f ca="1">IFERROR(__xludf.DUMMYFUNCTION("""COMPUTED_VALUE"""),0)</f>
        <v>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IFERROR(__xludf.DUMMYFUNCTION("""COMPUTED_VALUE"""),998)</f>
        <v>998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IFERROR(__xludf.DUMMYFUNCTION("""COMPUTED_VALUE"""),"ASSOC APOIO INSTITUTO EDUCACIONAL PASSO A PASSO")</f>
        <v>ASSOC APOIO INSTITUTO EDUCACIONAL PASSO A PASSO</v>
      </c>
      <c r="D227" s="36" t="str">
        <f ca="1">IFERROR(__xludf.DUMMYFUNCTION("""COMPUTED_VALUE"""),"10450172000110")</f>
        <v>10450172000110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IFERROR(__xludf.DUMMYFUNCTION("""COMPUTED_VALUE"""),"414263")</f>
        <v>414263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IFERROR(__xludf.DUMMYFUNCTION("""COMPUTED_VALUE"""),8946)</f>
        <v>8946</v>
      </c>
      <c r="K227" s="38">
        <f ca="1">IFERROR(__xludf.DUMMYFUNCTION("""COMPUTED_VALUE"""),0)</f>
        <v>0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IFERROR(__xludf.DUMMYFUNCTION("""COMPUTED_VALUE"""),0)</f>
        <v>0</v>
      </c>
      <c r="Q227" s="38">
        <f ca="1">IFERROR(__xludf.DUMMYFUNCTION("""COMPUTED_VALUE"""),0)</f>
        <v>0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IFERROR(__xludf.DUMMYFUNCTION("""COMPUTED_VALUE"""),0)</f>
        <v>0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IFERROR(__xludf.DUMMYFUNCTION("""COMPUTED_VALUE"""),"A.A. DO INSTITUTO PRESBITERIANO ARAGUAIA")</f>
        <v>A.A. DO INSTITUTO PRESBITERIANO ARAGUAIA</v>
      </c>
      <c r="D228" s="41" t="str">
        <f ca="1">IFERROR(__xludf.DUMMYFUNCTION("""COMPUTED_VALUE"""),"03060918000114")</f>
        <v>03060918000114</v>
      </c>
      <c r="E228" s="42" t="str">
        <f ca="1">IFERROR(__xludf.DUMMYFUNCTION("""COMPUTED_VALUE"""),"104")</f>
        <v>104</v>
      </c>
      <c r="F228" s="43" t="str">
        <f ca="1">IFERROR(__xludf.DUMMYFUNCTION("""COMPUTED_VALUE"""),"0793")</f>
        <v>0793</v>
      </c>
      <c r="G228" s="43" t="str">
        <f ca="1">IFERROR(__xludf.DUMMYFUNCTION("""COMPUTED_VALUE"""),"12090")</f>
        <v>12090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IFERROR(__xludf.DUMMYFUNCTION("""COMPUTED_VALUE"""),13293)</f>
        <v>13293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IFERROR(__xludf.DUMMYFUNCTION("""COMPUTED_VALUE"""),567)</f>
        <v>567</v>
      </c>
      <c r="Q228" s="43">
        <f ca="1">IFERROR(__xludf.DUMMYFUNCTION("""COMPUTED_VALUE"""),9660)</f>
        <v>9660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IFERROR(__xludf.DUMMYFUNCTION("""COMPUTED_VALUE"""),0)</f>
        <v>0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IFERROR(__xludf.DUMMYFUNCTION("""COMPUTED_VALUE"""),"A.A. DO INSTITUTO PRESBITERIANO EDUCACIONAL")</f>
        <v>A.A. DO INSTITUTO PRESBITERIANO EDUCACIONAL</v>
      </c>
      <c r="D229" s="36" t="str">
        <f ca="1">IFERROR(__xludf.DUMMYFUNCTION("""COMPUTED_VALUE"""),"07217559000117")</f>
        <v>07217559000117</v>
      </c>
      <c r="E229" s="37" t="str">
        <f ca="1">IFERROR(__xludf.DUMMYFUNCTION("""COMPUTED_VALUE"""),"104")</f>
        <v>104</v>
      </c>
      <c r="F229" s="38" t="str">
        <f ca="1">IFERROR(__xludf.DUMMYFUNCTION("""COMPUTED_VALUE"""),"0793")</f>
        <v>0793</v>
      </c>
      <c r="G229" s="38" t="str">
        <f ca="1">IFERROR(__xludf.DUMMYFUNCTION("""COMPUTED_VALUE"""),"2663")</f>
        <v>2663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IFERROR(__xludf.DUMMYFUNCTION("""COMPUTED_VALUE"""),5523)</f>
        <v>5523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IFERROR(__xludf.DUMMYFUNCTION("""COMPUTED_VALUE"""),0)</f>
        <v>0</v>
      </c>
      <c r="Q229" s="38">
        <f ca="1">IFERROR(__xludf.DUMMYFUNCTION("""COMPUTED_VALUE"""),0)</f>
        <v>0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IFERROR(__xludf.DUMMYFUNCTION("""COMPUTED_VALUE"""),"Jau do Tocantins")</f>
        <v>Jau do Tocantins</v>
      </c>
      <c r="C230" s="40" t="str">
        <f ca="1">IFERROR(__xludf.DUMMYFUNCTION("""COMPUTED_VALUE"""),"AAEC PEDRO LUIZ BONFIM/ADELÁIDE FRANCISCO SOARES")</f>
        <v>AAEC PEDRO LUIZ BONFIM/ADELÁIDE FRANCISCO SOARES</v>
      </c>
      <c r="D230" s="41" t="str">
        <f ca="1">IFERROR(__xludf.DUMMYFUNCTION("""COMPUTED_VALUE"""),"02080228000164")</f>
        <v>02080228000164</v>
      </c>
      <c r="E230" s="42" t="str">
        <f ca="1">IFERROR(__xludf.DUMMYFUNCTION("""COMPUTED_VALUE"""),"001")</f>
        <v>001</v>
      </c>
      <c r="F230" s="43" t="str">
        <f ca="1">IFERROR(__xludf.DUMMYFUNCTION("""COMPUTED_VALUE"""),"0794")</f>
        <v>0794</v>
      </c>
      <c r="G230" s="43" t="str">
        <f ca="1">IFERROR(__xludf.DUMMYFUNCTION("""COMPUTED_VALUE"""),"420743")</f>
        <v>420743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IFERROR(__xludf.DUMMYFUNCTION("""COMPUTED_VALUE"""),0)</f>
        <v>0</v>
      </c>
      <c r="K230" s="43">
        <f ca="1">IFERROR(__xludf.DUMMYFUNCTION("""COMPUTED_VALUE"""),0)</f>
        <v>0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IFERROR(__xludf.DUMMYFUNCTION("""COMPUTED_VALUE"""),2982)</f>
        <v>2982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IFERROR(__xludf.DUMMYFUNCTION("""COMPUTED_VALUE"""),0)</f>
        <v>0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IFERROR(__xludf.DUMMYFUNCTION("""COMPUTED_VALUE"""),"Palmeiropolis")</f>
        <v>Palmeiropolis</v>
      </c>
      <c r="C231" s="35" t="str">
        <f ca="1">IFERROR(__xludf.DUMMYFUNCTION("""COMPUTED_VALUE"""),"A.A. ESCOLA ESTADUAL PROFESSORA ONEIDES")</f>
        <v>A.A. ESCOLA ESTADUAL PROFESSORA ONEIDES</v>
      </c>
      <c r="D231" s="36" t="str">
        <f ca="1">IFERROR(__xludf.DUMMYFUNCTION("""COMPUTED_VALUE"""),"01262903000103")</f>
        <v>01262903000103</v>
      </c>
      <c r="E231" s="37" t="str">
        <f ca="1">IFERROR(__xludf.DUMMYFUNCTION("""COMPUTED_VALUE"""),"001")</f>
        <v>001</v>
      </c>
      <c r="F231" s="38" t="str">
        <f ca="1">IFERROR(__xludf.DUMMYFUNCTION("""COMPUTED_VALUE"""),"4608")</f>
        <v>4608</v>
      </c>
      <c r="G231" s="38" t="str">
        <f ca="1">IFERROR(__xludf.DUMMYFUNCTION("""COMPUTED_VALUE"""),"79758")</f>
        <v>79758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IFERROR(__xludf.DUMMYFUNCTION("""COMPUTED_VALUE"""),4725)</f>
        <v>4725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IFERROR(__xludf.DUMMYFUNCTION("""COMPUTED_VALUE"""),504)</f>
        <v>504</v>
      </c>
      <c r="Q231" s="38">
        <f ca="1">IFERROR(__xludf.DUMMYFUNCTION("""COMPUTED_VALUE"""),3423)</f>
        <v>3423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IFERROR(__xludf.DUMMYFUNCTION("""COMPUTED_VALUE"""),294)</f>
        <v>294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IFERROR(__xludf.DUMMYFUNCTION("""COMPUTED_VALUE"""),"Palmeiropolis")</f>
        <v>Palmeiropolis</v>
      </c>
      <c r="C232" s="40" t="str">
        <f ca="1">IFERROR(__xludf.DUMMYFUNCTION("""COMPUTED_VALUE"""),"A. A.DO COLEGIO EST. DE PALMEIROPOLIS (COLÉGIO MILITAR)")</f>
        <v>A. A.DO COLEGIO EST. DE PALMEIROPOLIS (COLÉGIO MILITAR)</v>
      </c>
      <c r="D232" s="41" t="str">
        <f ca="1">IFERROR(__xludf.DUMMYFUNCTION("""COMPUTED_VALUE"""),"01210496000190")</f>
        <v>01210496000190</v>
      </c>
      <c r="E232" s="42" t="str">
        <f ca="1">IFERROR(__xludf.DUMMYFUNCTION("""COMPUTED_VALUE"""),"001")</f>
        <v>001</v>
      </c>
      <c r="F232" s="43" t="str">
        <f ca="1">IFERROR(__xludf.DUMMYFUNCTION("""COMPUTED_VALUE"""),"1303")</f>
        <v>1303</v>
      </c>
      <c r="G232" s="43" t="str">
        <f ca="1">IFERROR(__xludf.DUMMYFUNCTION("""COMPUTED_VALUE"""),"97438")</f>
        <v>97438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IFERROR(__xludf.DUMMYFUNCTION("""COMPUTED_VALUE"""),4914)</f>
        <v>4914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IFERROR(__xludf.DUMMYFUNCTION("""COMPUTED_VALUE"""),294)</f>
        <v>294</v>
      </c>
      <c r="Q232" s="43">
        <f ca="1">IFERROR(__xludf.DUMMYFUNCTION("""COMPUTED_VALUE"""),3507)</f>
        <v>3507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IFERROR(__xludf.DUMMYFUNCTION("""COMPUTED_VALUE"""),0)</f>
        <v>0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IFERROR(__xludf.DUMMYFUNCTION("""COMPUTED_VALUE"""),"Peixe")</f>
        <v>Peixe</v>
      </c>
      <c r="C233" s="35" t="str">
        <f ca="1">IFERROR(__xludf.DUMMYFUNCTION("""COMPUTED_VALUE"""),"A.A. AO COLEGIO ESTADUAL D. ALANO")</f>
        <v>A.A. AO COLEGIO ESTADUAL D. ALANO</v>
      </c>
      <c r="D233" s="36" t="str">
        <f ca="1">IFERROR(__xludf.DUMMYFUNCTION("""COMPUTED_VALUE"""),"01133705000140")</f>
        <v>01133705000140</v>
      </c>
      <c r="E233" s="37" t="str">
        <f ca="1">IFERROR(__xludf.DUMMYFUNCTION("""COMPUTED_VALUE"""),"001")</f>
        <v>001</v>
      </c>
      <c r="F233" s="38" t="str">
        <f ca="1">IFERROR(__xludf.DUMMYFUNCTION("""COMPUTED_VALUE"""),"3979")</f>
        <v>3979</v>
      </c>
      <c r="G233" s="38" t="str">
        <f ca="1">IFERROR(__xludf.DUMMYFUNCTION("""COMPUTED_VALUE"""),"53155")</f>
        <v>53155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IFERROR(__xludf.DUMMYFUNCTION("""COMPUTED_VALUE"""),0)</f>
        <v>0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IFERROR(__xludf.DUMMYFUNCTION("""COMPUTED_VALUE"""),0)</f>
        <v>0</v>
      </c>
      <c r="Q233" s="38">
        <f ca="1">IFERROR(__xludf.DUMMYFUNCTION("""COMPUTED_VALUE"""),5565)</f>
        <v>5565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IFERROR(__xludf.DUMMYFUNCTION("""COMPUTED_VALUE"""),966)</f>
        <v>966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IFERROR(__xludf.DUMMYFUNCTION("""COMPUTED_VALUE"""),"Peixe")</f>
        <v>Peixe</v>
      </c>
      <c r="C234" s="40" t="str">
        <f ca="1">IFERROR(__xludf.DUMMYFUNCTION("""COMPUTED_VALUE"""),"A.A.  ESC. EST.TANCREDO DE ALMEIDA NEVES")</f>
        <v>A.A.  ESC. EST.TANCREDO DE ALMEIDA NEVES</v>
      </c>
      <c r="D234" s="41" t="str">
        <f ca="1">IFERROR(__xludf.DUMMYFUNCTION("""COMPUTED_VALUE"""),"01136008000142")</f>
        <v>01136008000142</v>
      </c>
      <c r="E234" s="42" t="str">
        <f ca="1">IFERROR(__xludf.DUMMYFUNCTION("""COMPUTED_VALUE"""),"001")</f>
        <v>001</v>
      </c>
      <c r="F234" s="43" t="str">
        <f ca="1">IFERROR(__xludf.DUMMYFUNCTION("""COMPUTED_VALUE"""),"3979")</f>
        <v>3979</v>
      </c>
      <c r="G234" s="43" t="str">
        <f ca="1">IFERROR(__xludf.DUMMYFUNCTION("""COMPUTED_VALUE"""),"52914")</f>
        <v>52914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IFERROR(__xludf.DUMMYFUNCTION("""COMPUTED_VALUE"""),7791)</f>
        <v>7791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IFERROR(__xludf.DUMMYFUNCTION("""COMPUTED_VALUE"""),0)</f>
        <v>0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IFERROR(__xludf.DUMMYFUNCTION("""COMPUTED_VALUE"""),0)</f>
        <v>0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IFERROR(__xludf.DUMMYFUNCTION("""COMPUTED_VALUE"""),"Sandolandia")</f>
        <v>Sandolandia</v>
      </c>
      <c r="C235" s="35" t="str">
        <f ca="1">IFERROR(__xludf.DUMMYFUNCTION("""COMPUTED_VALUE"""),"A.A. A ESC. EST.NOSSA SENHORA APARECIDA")</f>
        <v>A.A. A ESC. EST.NOSSA SENHORA APARECIDA</v>
      </c>
      <c r="D235" s="36" t="str">
        <f ca="1">IFERROR(__xludf.DUMMYFUNCTION("""COMPUTED_VALUE"""),"01393269000148")</f>
        <v>01393269000148</v>
      </c>
      <c r="E235" s="37" t="str">
        <f ca="1">IFERROR(__xludf.DUMMYFUNCTION("""COMPUTED_VALUE"""),"001")</f>
        <v>001</v>
      </c>
      <c r="F235" s="38" t="str">
        <f ca="1">IFERROR(__xludf.DUMMYFUNCTION("""COMPUTED_VALUE"""),"1304")</f>
        <v>1304</v>
      </c>
      <c r="G235" s="38" t="str">
        <f ca="1">IFERROR(__xludf.DUMMYFUNCTION("""COMPUTED_VALUE"""),"105163")</f>
        <v>105163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IFERROR(__xludf.DUMMYFUNCTION("""COMPUTED_VALUE"""),4809)</f>
        <v>4809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IFERROR(__xludf.DUMMYFUNCTION("""COMPUTED_VALUE"""),399)</f>
        <v>399</v>
      </c>
      <c r="Q235" s="38">
        <f ca="1">IFERROR(__xludf.DUMMYFUNCTION("""COMPUTED_VALUE"""),2667)</f>
        <v>2667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IFERROR(__xludf.DUMMYFUNCTION("""COMPUTED_VALUE"""),0)</f>
        <v>0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IFERROR(__xludf.DUMMYFUNCTION("""COMPUTED_VALUE"""),"Sandolandia")</f>
        <v>Sandolandia</v>
      </c>
      <c r="C236" s="40" t="str">
        <f ca="1">IFERROR(__xludf.DUMMYFUNCTION("""COMPUTED_VALUE"""),"ASS. DE APOIO ESC. EST.PE.JOSE DE ANCHIETA")</f>
        <v>ASS. DE APOIO ESC. EST.PE.JOSE DE ANCHIETA</v>
      </c>
      <c r="D236" s="41" t="str">
        <f ca="1">IFERROR(__xludf.DUMMYFUNCTION("""COMPUTED_VALUE"""),"01190190000110")</f>
        <v>01190190000110</v>
      </c>
      <c r="E236" s="42" t="str">
        <f ca="1">IFERROR(__xludf.DUMMYFUNCTION("""COMPUTED_VALUE"""),"001")</f>
        <v>001</v>
      </c>
      <c r="F236" s="43" t="str">
        <f ca="1">IFERROR(__xludf.DUMMYFUNCTION("""COMPUTED_VALUE"""),"1304")</f>
        <v>1304</v>
      </c>
      <c r="G236" s="43" t="str">
        <f ca="1">IFERROR(__xludf.DUMMYFUNCTION("""COMPUTED_VALUE"""),"105171")</f>
        <v>105171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IFERROR(__xludf.DUMMYFUNCTION("""COMPUTED_VALUE"""),882)</f>
        <v>882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IFERROR(__xludf.DUMMYFUNCTION("""COMPUTED_VALUE"""),0)</f>
        <v>0</v>
      </c>
      <c r="Q236" s="43">
        <f ca="1">IFERROR(__xludf.DUMMYFUNCTION("""COMPUTED_VALUE"""),378)</f>
        <v>378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IFERROR(__xludf.DUMMYFUNCTION("""COMPUTED_VALUE"""),"Sao Salvador do Tocantins")</f>
        <v>Sao Salvador do Tocantins</v>
      </c>
      <c r="C237" s="35" t="str">
        <f ca="1">IFERROR(__xludf.DUMMYFUNCTION("""COMPUTED_VALUE"""),"A.A. COLEGIO ESTADUAL AGRÍCOLA JOSÉ PORFÍRIO DE SOUZA")</f>
        <v>A.A. COLEGIO ESTADUAL AGRÍCOLA JOSÉ PORFÍRIO DE SOUZA</v>
      </c>
      <c r="D237" s="36" t="str">
        <f ca="1">IFERROR(__xludf.DUMMYFUNCTION("""COMPUTED_VALUE"""),"49952315000128")</f>
        <v>49952315000128</v>
      </c>
      <c r="E237" s="37" t="str">
        <f ca="1">IFERROR(__xludf.DUMMYFUNCTION("""COMPUTED_VALUE"""),"001")</f>
        <v>001</v>
      </c>
      <c r="F237" s="38" t="str">
        <f ca="1">IFERROR(__xludf.DUMMYFUNCTION("""COMPUTED_VALUE"""),"4608")</f>
        <v>4608</v>
      </c>
      <c r="G237" s="38" t="str">
        <f ca="1">IFERROR(__xludf.DUMMYFUNCTION("""COMPUTED_VALUE"""),"183679")</f>
        <v>183679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IFERROR(__xludf.DUMMYFUNCTION("""COMPUTED_VALUE"""),0)</f>
        <v>0</v>
      </c>
      <c r="K237" s="38">
        <f ca="1">IFERROR(__xludf.DUMMYFUNCTION("""COMPUTED_VALUE"""),7761.6)</f>
        <v>7761.6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IFERROR(__xludf.DUMMYFUNCTION("""COMPUTED_VALUE"""),0)</f>
        <v>0</v>
      </c>
      <c r="R237" s="38">
        <f ca="1">IFERROR(__xludf.DUMMYFUNCTION("""COMPUTED_VALUE"""),6977.6)</f>
        <v>6977.6</v>
      </c>
      <c r="S237" s="38">
        <f ca="1">IFERROR(__xludf.DUMMYFUNCTION("""COMPUTED_VALUE"""),0)</f>
        <v>0</v>
      </c>
      <c r="T237" s="38">
        <f ca="1">IFERROR(__xludf.DUMMYFUNCTION("""COMPUTED_VALUE"""),0)</f>
        <v>0</v>
      </c>
      <c r="U237" s="38">
        <f ca="1">IFERROR(__xludf.DUMMYFUNCTION("""COMPUTED_VALUE"""),0)</f>
        <v>0</v>
      </c>
      <c r="V237" s="38">
        <f ca="1">IFERROR(__xludf.DUMMYFUNCTION("""COMPUTED_VALUE"""),27974.4)</f>
        <v>27974.400000000001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IFERROR(__xludf.DUMMYFUNCTION("""COMPUTED_VALUE"""),2212.6)</f>
        <v>2212.6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IFERROR(__xludf.DUMMYFUNCTION("""COMPUTED_VALUE"""),"Sao Salvador do Tocantins")</f>
        <v>Sao Salvador do Tocantins</v>
      </c>
      <c r="C238" s="40" t="str">
        <f ca="1">IFERROR(__xludf.DUMMYFUNCTION("""COMPUTED_VALUE"""),"ASS.PAIS E M.ESC. EST.PORTO RIO MARANHAO")</f>
        <v>ASS.PAIS E M.ESC. EST.PORTO RIO MARANHAO</v>
      </c>
      <c r="D238" s="41" t="str">
        <f ca="1">IFERROR(__xludf.DUMMYFUNCTION("""COMPUTED_VALUE"""),"01296366000112")</f>
        <v>01296366000112</v>
      </c>
      <c r="E238" s="42" t="str">
        <f ca="1">IFERROR(__xludf.DUMMYFUNCTION("""COMPUTED_VALUE"""),"001")</f>
        <v>001</v>
      </c>
      <c r="F238" s="43" t="str">
        <f ca="1">IFERROR(__xludf.DUMMYFUNCTION("""COMPUTED_VALUE"""),"4608")</f>
        <v>4608</v>
      </c>
      <c r="G238" s="43" t="str">
        <f ca="1">IFERROR(__xludf.DUMMYFUNCTION("""COMPUTED_VALUE"""),"70270")</f>
        <v>70270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IFERROR(__xludf.DUMMYFUNCTION("""COMPUTED_VALUE"""),0)</f>
        <v>0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IFERROR(__xludf.DUMMYFUNCTION("""COMPUTED_VALUE"""),0)</f>
        <v>0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IFERROR(__xludf.DUMMYFUNCTION("""COMPUTED_VALUE"""),0)</f>
        <v>0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IFERROR(__xludf.DUMMYFUNCTION("""COMPUTED_VALUE"""),"Sao Salvador do Tocantins")</f>
        <v>Sao Salvador do Tocantins</v>
      </c>
      <c r="C239" s="35" t="str">
        <f ca="1">IFERROR(__xludf.DUMMYFUNCTION("""COMPUTED_VALUE"""),"A.A DA ESCOLA ESTADUAL RETIRO")</f>
        <v>A.A DA ESCOLA ESTADUAL RETIRO</v>
      </c>
      <c r="D239" s="36" t="str">
        <f ca="1">IFERROR(__xludf.DUMMYFUNCTION("""COMPUTED_VALUE"""),"04205236000115")</f>
        <v>04205236000115</v>
      </c>
      <c r="E239" s="37" t="str">
        <f ca="1">IFERROR(__xludf.DUMMYFUNCTION("""COMPUTED_VALUE"""),"001")</f>
        <v>001</v>
      </c>
      <c r="F239" s="38" t="str">
        <f ca="1">IFERROR(__xludf.DUMMYFUNCTION("""COMPUTED_VALUE"""),"4608")</f>
        <v>4608</v>
      </c>
      <c r="G239" s="38" t="str">
        <f ca="1">IFERROR(__xludf.DUMMYFUNCTION("""COMPUTED_VALUE"""),"73563")</f>
        <v>73563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IFERROR(__xludf.DUMMYFUNCTION("""COMPUTED_VALUE"""),1512)</f>
        <v>1512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IFERROR(__xludf.DUMMYFUNCTION("""COMPUTED_VALUE"""),0)</f>
        <v>0</v>
      </c>
      <c r="Q239" s="38">
        <f ca="1">IFERROR(__xludf.DUMMYFUNCTION("""COMPUTED_VALUE"""),672)</f>
        <v>672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IFERROR(__xludf.DUMMYFUNCTION("""COMPUTED_VALUE"""),"Sao Valerio da Natividade")</f>
        <v>Sao Valerio da Natividade</v>
      </c>
      <c r="C240" s="40" t="str">
        <f ca="1">IFERROR(__xludf.DUMMYFUNCTION("""COMPUTED_VALUE"""),"A.P.M.E ALUNOS COL. EST. REGINA S. CAMPOS")</f>
        <v>A.P.M.E ALUNOS COL. EST. REGINA S. CAMPOS</v>
      </c>
      <c r="D240" s="41" t="str">
        <f ca="1">IFERROR(__xludf.DUMMYFUNCTION("""COMPUTED_VALUE"""),"01431377000168")</f>
        <v>01431377000168</v>
      </c>
      <c r="E240" s="42" t="str">
        <f ca="1">IFERROR(__xludf.DUMMYFUNCTION("""COMPUTED_VALUE"""),"001")</f>
        <v>001</v>
      </c>
      <c r="F240" s="43" t="str">
        <f ca="1">IFERROR(__xludf.DUMMYFUNCTION("""COMPUTED_VALUE"""),"0794")</f>
        <v>0794</v>
      </c>
      <c r="G240" s="43" t="str">
        <f ca="1">IFERROR(__xludf.DUMMYFUNCTION("""COMPUTED_VALUE"""),"52477")</f>
        <v>52477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IFERROR(__xludf.DUMMYFUNCTION("""COMPUTED_VALUE"""),3297)</f>
        <v>3297</v>
      </c>
      <c r="K240" s="43">
        <f ca="1">IFERROR(__xludf.DUMMYFUNCTION("""COMPUTED_VALUE"""),0)</f>
        <v>0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IFERROR(__xludf.DUMMYFUNCTION("""COMPUTED_VALUE"""),420)</f>
        <v>420</v>
      </c>
      <c r="Q240" s="43">
        <f ca="1">IFERROR(__xludf.DUMMYFUNCTION("""COMPUTED_VALUE"""),4179)</f>
        <v>4179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IFERROR(__xludf.DUMMYFUNCTION("""COMPUTED_VALUE"""),0)</f>
        <v>0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IFERROR(__xludf.DUMMYFUNCTION("""COMPUTED_VALUE"""),"Sucupira")</f>
        <v>Sucupira</v>
      </c>
      <c r="C241" s="35" t="str">
        <f ca="1">IFERROR(__xludf.DUMMYFUNCTION("""COMPUTED_VALUE"""),"AS. APOIO ESCOLA ESTADUAL OLAVO BILAC")</f>
        <v>AS. APOIO ESCOLA ESTADUAL OLAVO BILAC</v>
      </c>
      <c r="D241" s="36" t="str">
        <f ca="1">IFERROR(__xludf.DUMMYFUNCTION("""COMPUTED_VALUE"""),"01268287000106")</f>
        <v>01268287000106</v>
      </c>
      <c r="E241" s="37" t="str">
        <f ca="1">IFERROR(__xludf.DUMMYFUNCTION("""COMPUTED_VALUE"""),"001")</f>
        <v>001</v>
      </c>
      <c r="F241" s="38" t="str">
        <f ca="1">IFERROR(__xludf.DUMMYFUNCTION("""COMPUTED_VALUE"""),"0794")</f>
        <v>0794</v>
      </c>
      <c r="G241" s="38" t="str">
        <f ca="1">IFERROR(__xludf.DUMMYFUNCTION("""COMPUTED_VALUE"""),"245852")</f>
        <v>245852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IFERROR(__xludf.DUMMYFUNCTION("""COMPUTED_VALUE"""),2877)</f>
        <v>2877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IFERROR(__xludf.DUMMYFUNCTION("""COMPUTED_VALUE"""),0)</f>
        <v>0</v>
      </c>
      <c r="P241" s="38">
        <f ca="1">IFERROR(__xludf.DUMMYFUNCTION("""COMPUTED_VALUE"""),0)</f>
        <v>0</v>
      </c>
      <c r="Q241" s="38">
        <f ca="1">IFERROR(__xludf.DUMMYFUNCTION("""COMPUTED_VALUE"""),1470)</f>
        <v>1470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IFERROR(__xludf.DUMMYFUNCTION("""COMPUTED_VALUE"""),"Talisma")</f>
        <v>Talisma</v>
      </c>
      <c r="C242" s="40" t="str">
        <f ca="1">IFERROR(__xludf.DUMMYFUNCTION("""COMPUTED_VALUE"""),"A.A.  DO COLEGIO ESTADUAL DE TALISMA")</f>
        <v>A.A.  DO COLEGIO ESTADUAL DE TALISMA</v>
      </c>
      <c r="D242" s="41" t="str">
        <f ca="1">IFERROR(__xludf.DUMMYFUNCTION("""COMPUTED_VALUE"""),"07547605000146")</f>
        <v>07547605000146</v>
      </c>
      <c r="E242" s="42" t="str">
        <f ca="1">IFERROR(__xludf.DUMMYFUNCTION("""COMPUTED_VALUE"""),"001")</f>
        <v>001</v>
      </c>
      <c r="F242" s="43" t="str">
        <f ca="1">IFERROR(__xludf.DUMMYFUNCTION("""COMPUTED_VALUE"""),"1303")</f>
        <v>1303</v>
      </c>
      <c r="G242" s="43" t="str">
        <f ca="1">IFERROR(__xludf.DUMMYFUNCTION("""COMPUTED_VALUE"""),"155446")</f>
        <v>155446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IFERROR(__xludf.DUMMYFUNCTION("""COMPUTED_VALUE"""),0)</f>
        <v>0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IFERROR(__xludf.DUMMYFUNCTION("""COMPUTED_VALUE"""),1932)</f>
        <v>1932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IFERROR(__xludf.DUMMYFUNCTION("""COMPUTED_VALUE"""),378)</f>
        <v>378</v>
      </c>
      <c r="U242" s="43">
        <f ca="1">IFERROR(__xludf.DUMMYFUNCTION("""COMPUTED_VALUE"""),0)</f>
        <v>0</v>
      </c>
      <c r="V242" s="43">
        <f ca="1">IFERROR(__xludf.DUMMYFUNCTION("""COMPUTED_VALUE"""),0)</f>
        <v>0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IFERROR(__xludf.DUMMYFUNCTION("""COMPUTED_VALUE"""),0)</f>
        <v>0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IFERROR(__xludf.DUMMYFUNCTION("""COMPUTED_VALUE"""),"Miracema")</f>
        <v>Miracema</v>
      </c>
      <c r="B243" s="34" t="str">
        <f ca="1">IFERROR(__xludf.DUMMYFUNCTION("""COMPUTED_VALUE"""),"dois Irmaos do Tocantins")</f>
        <v>dois Irmaos do Tocantins</v>
      </c>
      <c r="C243" s="35" t="str">
        <f ca="1">IFERROR(__xludf.DUMMYFUNCTION("""COMPUTED_VALUE"""),"A.C.E. COL PRES. CASTELO BRANCO")</f>
        <v>A.C.E. COL PRES. CASTELO BRANCO</v>
      </c>
      <c r="D243" s="36" t="str">
        <f ca="1">IFERROR(__xludf.DUMMYFUNCTION("""COMPUTED_VALUE"""),"01034882000179")</f>
        <v>01034882000179</v>
      </c>
      <c r="E243" s="37" t="str">
        <f ca="1">IFERROR(__xludf.DUMMYFUNCTION("""COMPUTED_VALUE"""),"001")</f>
        <v>001</v>
      </c>
      <c r="F243" s="38" t="str">
        <f ca="1">IFERROR(__xludf.DUMMYFUNCTION("""COMPUTED_VALUE"""),"0862")</f>
        <v>0862</v>
      </c>
      <c r="G243" s="38" t="str">
        <f ca="1">IFERROR(__xludf.DUMMYFUNCTION("""COMPUTED_VALUE"""),"68950")</f>
        <v>68950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IFERROR(__xludf.DUMMYFUNCTION("""COMPUTED_VALUE"""),7518)</f>
        <v>7518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IFERROR(__xludf.DUMMYFUNCTION("""COMPUTED_VALUE"""),294)</f>
        <v>294</v>
      </c>
      <c r="Q243" s="38">
        <f ca="1">IFERROR(__xludf.DUMMYFUNCTION("""COMPUTED_VALUE"""),4494)</f>
        <v>4494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IFERROR(__xludf.DUMMYFUNCTION("""COMPUTED_VALUE"""),0)</f>
        <v>0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IFERROR(__xludf.DUMMYFUNCTION("""COMPUTED_VALUE"""),"Miracema")</f>
        <v>Miracema</v>
      </c>
      <c r="B244" s="39" t="str">
        <f ca="1">IFERROR(__xludf.DUMMYFUNCTION("""COMPUTED_VALUE"""),"dois Irmaos do Tocantins")</f>
        <v>dois Irmaos do Tocantins</v>
      </c>
      <c r="C244" s="40" t="str">
        <f ca="1">IFERROR(__xludf.DUMMYFUNCTION("""COMPUTED_VALUE"""),"ASSOC. DE APOIO A ESCOLA ESPECIAL CLOVIS DE ASSIS")</f>
        <v>ASSOC. DE APOIO A ESCOLA ESPECIAL CLOVIS DE ASSIS</v>
      </c>
      <c r="D244" s="41" t="str">
        <f ca="1">IFERROR(__xludf.DUMMYFUNCTION("""COMPUTED_VALUE"""),"09327390000183")</f>
        <v>09327390000183</v>
      </c>
      <c r="E244" s="42" t="str">
        <f ca="1">IFERROR(__xludf.DUMMYFUNCTION("""COMPUTED_VALUE"""),"001")</f>
        <v>001</v>
      </c>
      <c r="F244" s="43" t="str">
        <f ca="1">IFERROR(__xludf.DUMMYFUNCTION("""COMPUTED_VALUE"""),"0862")</f>
        <v>0862</v>
      </c>
      <c r="G244" s="43" t="str">
        <f ca="1">IFERROR(__xludf.DUMMYFUNCTION("""COMPUTED_VALUE"""),"211087")</f>
        <v>211087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IFERROR(__xludf.DUMMYFUNCTION("""COMPUTED_VALUE"""),252)</f>
        <v>252</v>
      </c>
      <c r="K244" s="43">
        <f ca="1">IFERROR(__xludf.DUMMYFUNCTION("""COMPUTED_VALUE"""),0)</f>
        <v>0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IFERROR(__xludf.DUMMYFUNCTION("""COMPUTED_VALUE"""),987)</f>
        <v>987</v>
      </c>
      <c r="Q244" s="43">
        <f ca="1">IFERROR(__xludf.DUMMYFUNCTION("""COMPUTED_VALUE"""),0)</f>
        <v>0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IFERROR(__xludf.DUMMYFUNCTION("""COMPUTED_VALUE"""),798)</f>
        <v>798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IFERROR(__xludf.DUMMYFUNCTION("""COMPUTED_VALUE"""),0)</f>
        <v>0</v>
      </c>
    </row>
    <row r="245" spans="1:26" ht="12.75">
      <c r="A245" s="34" t="str">
        <f ca="1">IFERROR(__xludf.DUMMYFUNCTION("""COMPUTED_VALUE"""),"Miracema")</f>
        <v>Miracema</v>
      </c>
      <c r="B245" s="34" t="str">
        <f ca="1">IFERROR(__xludf.DUMMYFUNCTION("""COMPUTED_VALUE"""),"Lizarda")</f>
        <v>Lizarda</v>
      </c>
      <c r="C245" s="35" t="str">
        <f ca="1">IFERROR(__xludf.DUMMYFUNCTION("""COMPUTED_VALUE"""),"A. ESC. COMUN. DO COL. EST. 31 DE MARCO")</f>
        <v>A. ESC. COMUN. DO COL. EST. 31 DE MARCO</v>
      </c>
      <c r="D245" s="36" t="str">
        <f ca="1">IFERROR(__xludf.DUMMYFUNCTION("""COMPUTED_VALUE"""),"01232873000192")</f>
        <v>01232873000192</v>
      </c>
      <c r="E245" s="37" t="str">
        <f ca="1">IFERROR(__xludf.DUMMYFUNCTION("""COMPUTED_VALUE"""),"001")</f>
        <v>001</v>
      </c>
      <c r="F245" s="38" t="str">
        <f ca="1">IFERROR(__xludf.DUMMYFUNCTION("""COMPUTED_VALUE"""),"0862")</f>
        <v>0862</v>
      </c>
      <c r="G245" s="38" t="str">
        <f ca="1">IFERROR(__xludf.DUMMYFUNCTION("""COMPUTED_VALUE"""),"68969")</f>
        <v>68969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IFERROR(__xludf.DUMMYFUNCTION("""COMPUTED_VALUE"""),3990)</f>
        <v>3990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IFERROR(__xludf.DUMMYFUNCTION("""COMPUTED_VALUE"""),252)</f>
        <v>252</v>
      </c>
      <c r="Q245" s="38">
        <f ca="1">IFERROR(__xludf.DUMMYFUNCTION("""COMPUTED_VALUE"""),3528)</f>
        <v>3528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IFERROR(__xludf.DUMMYFUNCTION("""COMPUTED_VALUE"""),0)</f>
        <v>0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IFERROR(__xludf.DUMMYFUNCTION("""COMPUTED_VALUE"""),"Miracema")</f>
        <v>Miracema</v>
      </c>
      <c r="B246" s="39" t="str">
        <f ca="1">IFERROR(__xludf.DUMMYFUNCTION("""COMPUTED_VALUE"""),"Lizarda")</f>
        <v>Lizarda</v>
      </c>
      <c r="C246" s="40" t="str">
        <f ca="1">IFERROR(__xludf.DUMMYFUNCTION("""COMPUTED_VALUE"""),"ESCOLA ESTADUAL AYRTON SENNA")</f>
        <v>ESCOLA ESTADUAL AYRTON SENNA</v>
      </c>
      <c r="D246" s="41" t="str">
        <f ca="1">IFERROR(__xludf.DUMMYFUNCTION("""COMPUTED_VALUE"""),"11406586000105")</f>
        <v>11406586000105</v>
      </c>
      <c r="E246" s="42" t="str">
        <f ca="1">IFERROR(__xludf.DUMMYFUNCTION("""COMPUTED_VALUE"""),"001")</f>
        <v>001</v>
      </c>
      <c r="F246" s="43" t="str">
        <f ca="1">IFERROR(__xludf.DUMMYFUNCTION("""COMPUTED_VALUE"""),"0862")</f>
        <v>0862</v>
      </c>
      <c r="G246" s="43" t="str">
        <f ca="1">IFERROR(__xludf.DUMMYFUNCTION("""COMPUTED_VALUE"""),"270393")</f>
        <v>270393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IFERROR(__xludf.DUMMYFUNCTION("""COMPUTED_VALUE"""),1491)</f>
        <v>1491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IFERROR(__xludf.DUMMYFUNCTION("""COMPUTED_VALUE"""),105)</f>
        <v>105</v>
      </c>
      <c r="Q246" s="43">
        <f ca="1">IFERROR(__xludf.DUMMYFUNCTION("""COMPUTED_VALUE"""),630)</f>
        <v>630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IFERROR(__xludf.DUMMYFUNCTION("""COMPUTED_VALUE"""),"Miracema")</f>
        <v>Miracema</v>
      </c>
      <c r="B247" s="34" t="str">
        <f ca="1">IFERROR(__xludf.DUMMYFUNCTION("""COMPUTED_VALUE"""),"Miracema do Tocantins")</f>
        <v>Miracema do Tocantins</v>
      </c>
      <c r="C247" s="35" t="str">
        <f ca="1">IFERROR(__xludf.DUMMYFUNCTION("""COMPUTED_VALUE"""),"ASSOCIAÇÃO DE APOIO ÀS ESCOLAS INDIGENAS XERENTE")</f>
        <v>ASSOCIAÇÃO DE APOIO ÀS ESCOLAS INDIGENAS XERENTE</v>
      </c>
      <c r="D247" s="36" t="str">
        <f ca="1">IFERROR(__xludf.DUMMYFUNCTION("""COMPUTED_VALUE"""),"07671600000120")</f>
        <v>07671600000120</v>
      </c>
      <c r="E247" s="37" t="str">
        <f ca="1">IFERROR(__xludf.DUMMYFUNCTION("""COMPUTED_VALUE"""),"001")</f>
        <v>001</v>
      </c>
      <c r="F247" s="38" t="str">
        <f ca="1">IFERROR(__xludf.DUMMYFUNCTION("""COMPUTED_VALUE"""),"0862")</f>
        <v>0862</v>
      </c>
      <c r="G247" s="38" t="str">
        <f ca="1">IFERROR(__xludf.DUMMYFUNCTION("""COMPUTED_VALUE"""),"185884")</f>
        <v>185884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IFERROR(__xludf.DUMMYFUNCTION("""COMPUTED_VALUE"""),0)</f>
        <v>0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IFERROR(__xludf.DUMMYFUNCTION("""COMPUTED_VALUE"""),25641)</f>
        <v>25641</v>
      </c>
      <c r="P247" s="38">
        <f ca="1">IFERROR(__xludf.DUMMYFUNCTION("""COMPUTED_VALUE"""),0)</f>
        <v>0</v>
      </c>
      <c r="Q247" s="38">
        <f ca="1">IFERROR(__xludf.DUMMYFUNCTION("""COMPUTED_VALUE"""),0)</f>
        <v>0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IFERROR(__xludf.DUMMYFUNCTION("""COMPUTED_VALUE"""),0)</f>
        <v>0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IFERROR(__xludf.DUMMYFUNCTION("""COMPUTED_VALUE"""),"Miracema do Tocantins")</f>
        <v>Miracema do Tocantins</v>
      </c>
      <c r="C248" s="40" t="str">
        <f ca="1">IFERROR(__xludf.DUMMYFUNCTION("""COMPUTED_VALUE"""),"ASSOC ESC COM COL EST FILOMENA MOREIRA DE PAULA")</f>
        <v>ASSOC ESC COM COL EST FILOMENA MOREIRA DE PAULA</v>
      </c>
      <c r="D248" s="41" t="str">
        <f ca="1">IFERROR(__xludf.DUMMYFUNCTION("""COMPUTED_VALUE"""),"00900200000109")</f>
        <v>00900200000109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IFERROR(__xludf.DUMMYFUNCTION("""COMPUTED_VALUE"""),"97527")</f>
        <v>97527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IFERROR(__xludf.DUMMYFUNCTION("""COMPUTED_VALUE"""),0)</f>
        <v>0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IFERROR(__xludf.DUMMYFUNCTION("""COMPUTED_VALUE"""),0)</f>
        <v>0</v>
      </c>
      <c r="P248" s="43">
        <f ca="1">IFERROR(__xludf.DUMMYFUNCTION("""COMPUTED_VALUE"""),357)</f>
        <v>357</v>
      </c>
      <c r="Q248" s="43">
        <f ca="1">IFERROR(__xludf.DUMMYFUNCTION("""COMPUTED_VALUE"""),0)</f>
        <v>0</v>
      </c>
      <c r="R248" s="43">
        <f ca="1">IFERROR(__xludf.DUMMYFUNCTION("""COMPUTED_VALUE"""),0)</f>
        <v>0</v>
      </c>
      <c r="S248" s="43">
        <f ca="1">IFERROR(__xludf.DUMMYFUNCTION("""COMPUTED_VALUE"""),9349.59999999999)</f>
        <v>9349.5999999999894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IFERROR(__xludf.DUMMYFUNCTION("""COMPUTED_VALUE"""),964.8)</f>
        <v>964.8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IFERROR(__xludf.DUMMYFUNCTION("""COMPUTED_VALUE"""),"Miracema do Tocantins")</f>
        <v>Miracema do Tocantins</v>
      </c>
      <c r="C249" s="35" t="str">
        <f ca="1">IFERROR(__xludf.DUMMYFUNCTION("""COMPUTED_VALUE"""),"ASS. DE APOIO AO CEM SANTA TEREZINHA")</f>
        <v>ASS. DE APOIO AO CEM SANTA TEREZINHA</v>
      </c>
      <c r="D249" s="36" t="str">
        <f ca="1">IFERROR(__xludf.DUMMYFUNCTION("""COMPUTED_VALUE"""),"01085211000137")</f>
        <v>01085211000137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IFERROR(__xludf.DUMMYFUNCTION("""COMPUTED_VALUE"""),"244589")</f>
        <v>244589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IFERROR(__xludf.DUMMYFUNCTION("""COMPUTED_VALUE"""),6573)</f>
        <v>6573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IFERROR(__xludf.DUMMYFUNCTION("""COMPUTED_VALUE"""),504)</f>
        <v>504</v>
      </c>
      <c r="Q249" s="38">
        <f ca="1">IFERROR(__xludf.DUMMYFUNCTION("""COMPUTED_VALUE"""),4284)</f>
        <v>4284</v>
      </c>
      <c r="R249" s="38">
        <f ca="1">IFERROR(__xludf.DUMMYFUNCTION("""COMPUTED_VALUE"""),0)</f>
        <v>0</v>
      </c>
      <c r="S249" s="38">
        <f ca="1">IFERROR(__xludf.DUMMYFUNCTION("""COMPUTED_VALUE"""),0)</f>
        <v>0</v>
      </c>
      <c r="T249" s="38">
        <f ca="1">IFERROR(__xludf.DUMMYFUNCTION("""COMPUTED_VALUE"""),0)</f>
        <v>0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IFERROR(__xludf.DUMMYFUNCTION("""COMPUTED_VALUE"""),0)</f>
        <v>0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IFERROR(__xludf.DUMMYFUNCTION("""COMPUTED_VALUE"""),"Miracema do Tocantins")</f>
        <v>Miracema do Tocantins</v>
      </c>
      <c r="C250" s="40" t="str">
        <f ca="1">IFERROR(__xludf.DUMMYFUNCTION("""COMPUTED_VALUE"""),"SOCIEDADE EDUCADORA FEMININA/COLÉGIO TOCANTINS")</f>
        <v>SOCIEDADE EDUCADORA FEMININA/COLÉGIO TOCANTINS</v>
      </c>
      <c r="D250" s="41" t="str">
        <f ca="1">IFERROR(__xludf.DUMMYFUNCTION("""COMPUTED_VALUE"""),"61373585000694")</f>
        <v>61373585000694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IFERROR(__xludf.DUMMYFUNCTION("""COMPUTED_VALUE"""),"69086")</f>
        <v>69086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IFERROR(__xludf.DUMMYFUNCTION("""COMPUTED_VALUE"""),4830)</f>
        <v>4830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IFERROR(__xludf.DUMMYFUNCTION("""COMPUTED_VALUE"""),273)</f>
        <v>273</v>
      </c>
      <c r="Q250" s="43">
        <f ca="1">IFERROR(__xludf.DUMMYFUNCTION("""COMPUTED_VALUE"""),4914)</f>
        <v>4914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IFERROR(__xludf.DUMMYFUNCTION("""COMPUTED_VALUE"""),"Miracema do Tocantins")</f>
        <v>Miracema do Tocantins</v>
      </c>
      <c r="C251" s="35" t="str">
        <f ca="1">IFERROR(__xludf.DUMMYFUNCTION("""COMPUTED_VALUE"""),"A.P.A.DOS EXECEPCIONAIS DE MIRACEMA - APAE")</f>
        <v>A.P.A.DOS EXECEPCIONAIS DE MIRACEMA - APAE</v>
      </c>
      <c r="D251" s="36" t="str">
        <f ca="1">IFERROR(__xludf.DUMMYFUNCTION("""COMPUTED_VALUE"""),"38146965000160")</f>
        <v>38146965000160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IFERROR(__xludf.DUMMYFUNCTION("""COMPUTED_VALUE"""),"93734")</f>
        <v>93734</v>
      </c>
      <c r="H251" s="38">
        <f ca="1">IFERROR(__xludf.DUMMYFUNCTION("""COMPUTED_VALUE"""),0)</f>
        <v>0</v>
      </c>
      <c r="I251" s="38">
        <f ca="1">IFERROR(__xludf.DUMMYFUNCTION("""COMPUTED_VALUE"""),336)</f>
        <v>336</v>
      </c>
      <c r="J251" s="38">
        <f ca="1">IFERROR(__xludf.DUMMYFUNCTION("""COMPUTED_VALUE"""),483)</f>
        <v>483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IFERROR(__xludf.DUMMYFUNCTION("""COMPUTED_VALUE"""),1785)</f>
        <v>1785</v>
      </c>
      <c r="Q251" s="38">
        <f ca="1">IFERROR(__xludf.DUMMYFUNCTION("""COMPUTED_VALUE"""),0)</f>
        <v>0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IFERROR(__xludf.DUMMYFUNCTION("""COMPUTED_VALUE"""),1554)</f>
        <v>1554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IFERROR(__xludf.DUMMYFUNCTION("""COMPUTED_VALUE"""),"A.COM.DA ESC. EST. JOSE D. VASCONCELOS")</f>
        <v>A.COM.DA ESC. EST. JOSE D. VASCONCELOS</v>
      </c>
      <c r="D252" s="41" t="str">
        <f ca="1">IFERROR(__xludf.DUMMYFUNCTION("""COMPUTED_VALUE"""),"01068379000134")</f>
        <v>01068379000134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IFERROR(__xludf.DUMMYFUNCTION("""COMPUTED_VALUE"""),"69035")</f>
        <v>69035</v>
      </c>
      <c r="H252" s="43">
        <f ca="1">IFERROR(__xludf.DUMMYFUNCTION("""COMPUTED_VALUE"""),0)</f>
        <v>0</v>
      </c>
      <c r="I252" s="43">
        <f ca="1">IFERROR(__xludf.DUMMYFUNCTION("""COMPUTED_VALUE"""),0)</f>
        <v>0</v>
      </c>
      <c r="J252" s="43">
        <f ca="1">IFERROR(__xludf.DUMMYFUNCTION("""COMPUTED_VALUE"""),3423)</f>
        <v>3423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IFERROR(__xludf.DUMMYFUNCTION("""COMPUTED_VALUE"""),0)</f>
        <v>0</v>
      </c>
      <c r="P252" s="43">
        <f ca="1">IFERROR(__xludf.DUMMYFUNCTION("""COMPUTED_VALUE"""),399)</f>
        <v>399</v>
      </c>
      <c r="Q252" s="43">
        <f ca="1">IFERROR(__xludf.DUMMYFUNCTION("""COMPUTED_VALUE"""),4914)</f>
        <v>4914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IFERROR(__xludf.DUMMYFUNCTION("""COMPUTED_VALUE"""),147)</f>
        <v>147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IFERROR(__xludf.DUMMYFUNCTION("""COMPUTED_VALUE"""),"A.P.M.A. ESC. CONV. ONESINA BANDEIRA")</f>
        <v>A.P.M.A. ESC. CONV. ONESINA BANDEIRA</v>
      </c>
      <c r="D253" s="36" t="str">
        <f ca="1">IFERROR(__xludf.DUMMYFUNCTION("""COMPUTED_VALUE"""),"01133700000117")</f>
        <v>01133700000117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IFERROR(__xludf.DUMMYFUNCTION("""COMPUTED_VALUE"""),"69051")</f>
        <v>69051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IFERROR(__xludf.DUMMYFUNCTION("""COMPUTED_VALUE"""),8400)</f>
        <v>8400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IFERROR(__xludf.DUMMYFUNCTION("""COMPUTED_VALUE"""),399)</f>
        <v>399</v>
      </c>
      <c r="Q253" s="38">
        <f ca="1">IFERROR(__xludf.DUMMYFUNCTION("""COMPUTED_VALUE"""),1596)</f>
        <v>1596</v>
      </c>
      <c r="R253" s="38">
        <f ca="1">IFERROR(__xludf.DUMMYFUNCTION("""COMPUTED_VALUE"""),0)</f>
        <v>0</v>
      </c>
      <c r="S253" s="38">
        <f ca="1">IFERROR(__xludf.DUMMYFUNCTION("""COMPUTED_VALUE"""),0)</f>
        <v>0</v>
      </c>
      <c r="T253" s="38">
        <f ca="1">IFERROR(__xludf.DUMMYFUNCTION("""COMPUTED_VALUE"""),5397)</f>
        <v>5397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IFERROR(__xludf.DUMMYFUNCTION("""COMPUTED_VALUE"""),0)</f>
        <v>0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IFERROR(__xludf.DUMMYFUNCTION("""COMPUTED_VALUE"""),"A.A.  DA ESCOLA ESTADUAL OSCAR SARDINHA")</f>
        <v>A.A.  DA ESCOLA ESTADUAL OSCAR SARDINHA</v>
      </c>
      <c r="D254" s="41" t="str">
        <f ca="1">IFERROR(__xludf.DUMMYFUNCTION("""COMPUTED_VALUE"""),"01197158000166")</f>
        <v>01197158000166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IFERROR(__xludf.DUMMYFUNCTION("""COMPUTED_VALUE"""),"6906X")</f>
        <v>6906X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IFERROR(__xludf.DUMMYFUNCTION("""COMPUTED_VALUE"""),2247)</f>
        <v>2247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IFERROR(__xludf.DUMMYFUNCTION("""COMPUTED_VALUE"""),231)</f>
        <v>231</v>
      </c>
      <c r="Q254" s="43">
        <f ca="1">IFERROR(__xludf.DUMMYFUNCTION("""COMPUTED_VALUE"""),0)</f>
        <v>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IFERROR(__xludf.DUMMYFUNCTION("""COMPUTED_VALUE"""),0)</f>
        <v>0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IFERROR(__xludf.DUMMYFUNCTION("""COMPUTED_VALUE"""),"Miranorte")</f>
        <v>Miranorte</v>
      </c>
      <c r="C255" s="35" t="str">
        <f ca="1">IFERROR(__xludf.DUMMYFUNCTION("""COMPUTED_VALUE"""),"ASSOC. COM. DO COL. RUI BRASIL CAVALCANTE")</f>
        <v>ASSOC. COM. DO COL. RUI BRASIL CAVALCANTE</v>
      </c>
      <c r="D255" s="36" t="str">
        <f ca="1">IFERROR(__xludf.DUMMYFUNCTION("""COMPUTED_VALUE"""),"01112765000186")</f>
        <v>01112765000186</v>
      </c>
      <c r="E255" s="37" t="str">
        <f ca="1">IFERROR(__xludf.DUMMYFUNCTION("""COMPUTED_VALUE"""),"001")</f>
        <v>001</v>
      </c>
      <c r="F255" s="38" t="str">
        <f ca="1">IFERROR(__xludf.DUMMYFUNCTION("""COMPUTED_VALUE"""),"4560")</f>
        <v>4560</v>
      </c>
      <c r="G255" s="38" t="str">
        <f ca="1">IFERROR(__xludf.DUMMYFUNCTION("""COMPUTED_VALUE"""),"78905")</f>
        <v>78905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IFERROR(__xludf.DUMMYFUNCTION("""COMPUTED_VALUE"""),0)</f>
        <v>0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IFERROR(__xludf.DUMMYFUNCTION("""COMPUTED_VALUE"""),357)</f>
        <v>357</v>
      </c>
      <c r="Q255" s="38">
        <f ca="1">IFERROR(__xludf.DUMMYFUNCTION("""COMPUTED_VALUE"""),10962)</f>
        <v>10962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IFERROR(__xludf.DUMMYFUNCTION("""COMPUTED_VALUE"""),1890)</f>
        <v>1890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IFERROR(__xludf.DUMMYFUNCTION("""COMPUTED_VALUE"""),"Miranorte")</f>
        <v>Miranorte</v>
      </c>
      <c r="C256" s="40" t="str">
        <f ca="1">IFERROR(__xludf.DUMMYFUNCTION("""COMPUTED_VALUE"""),"A.A. C.E.NOSSA SENHORA DA PROVIDENCIA")</f>
        <v>A.A. C.E.NOSSA SENHORA DA PROVIDENCIA</v>
      </c>
      <c r="D256" s="41" t="str">
        <f ca="1">IFERROR(__xludf.DUMMYFUNCTION("""COMPUTED_VALUE"""),"01190186000151")</f>
        <v>01190186000151</v>
      </c>
      <c r="E256" s="42" t="str">
        <f ca="1">IFERROR(__xludf.DUMMYFUNCTION("""COMPUTED_VALUE"""),"001")</f>
        <v>001</v>
      </c>
      <c r="F256" s="43" t="str">
        <f ca="1">IFERROR(__xludf.DUMMYFUNCTION("""COMPUTED_VALUE"""),"4560")</f>
        <v>4560</v>
      </c>
      <c r="G256" s="43" t="str">
        <f ca="1">IFERROR(__xludf.DUMMYFUNCTION("""COMPUTED_VALUE"""),"7778X")</f>
        <v>7778X</v>
      </c>
      <c r="H256" s="43">
        <f ca="1">IFERROR(__xludf.DUMMYFUNCTION("""COMPUTED_VALUE"""),0)</f>
        <v>0</v>
      </c>
      <c r="I256" s="43">
        <f ca="1">IFERROR(__xludf.DUMMYFUNCTION("""COMPUTED_VALUE"""),0)</f>
        <v>0</v>
      </c>
      <c r="J256" s="43">
        <f ca="1">IFERROR(__xludf.DUMMYFUNCTION("""COMPUTED_VALUE"""),16275)</f>
        <v>16275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IFERROR(__xludf.DUMMYFUNCTION("""COMPUTED_VALUE"""),252)</f>
        <v>252</v>
      </c>
      <c r="Q256" s="43">
        <f ca="1">IFERROR(__xludf.DUMMYFUNCTION("""COMPUTED_VALUE"""),0)</f>
        <v>0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IFERROR(__xludf.DUMMYFUNCTION("""COMPUTED_VALUE"""),0)</f>
        <v>0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IFERROR(__xludf.DUMMYFUNCTION("""COMPUTED_VALUE"""),"Miranorte")</f>
        <v>Miranorte</v>
      </c>
      <c r="C257" s="35" t="str">
        <f ca="1">IFERROR(__xludf.DUMMYFUNCTION("""COMPUTED_VALUE"""),"A.A ESC. ESPECIAL CORAÇÃO DE MARIA")</f>
        <v>A.A ESC. ESPECIAL CORAÇÃO DE MARIA</v>
      </c>
      <c r="D257" s="36" t="str">
        <f ca="1">IFERROR(__xludf.DUMMYFUNCTION("""COMPUTED_VALUE"""),"07968866000130")</f>
        <v>07968866000130</v>
      </c>
      <c r="E257" s="37" t="str">
        <f ca="1">IFERROR(__xludf.DUMMYFUNCTION("""COMPUTED_VALUE"""),"001")</f>
        <v>001</v>
      </c>
      <c r="F257" s="38" t="str">
        <f ca="1">IFERROR(__xludf.DUMMYFUNCTION("""COMPUTED_VALUE"""),"0862")</f>
        <v>0862</v>
      </c>
      <c r="G257" s="38" t="str">
        <f ca="1">IFERROR(__xludf.DUMMYFUNCTION("""COMPUTED_VALUE"""),"265217")</f>
        <v>265217</v>
      </c>
      <c r="H257" s="38">
        <f ca="1">IFERROR(__xludf.DUMMYFUNCTION("""COMPUTED_VALUE"""),0)</f>
        <v>0</v>
      </c>
      <c r="I257" s="38">
        <f ca="1">IFERROR(__xludf.DUMMYFUNCTION("""COMPUTED_VALUE"""),252)</f>
        <v>252</v>
      </c>
      <c r="J257" s="38">
        <f ca="1">IFERROR(__xludf.DUMMYFUNCTION("""COMPUTED_VALUE"""),168)</f>
        <v>168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IFERROR(__xludf.DUMMYFUNCTION("""COMPUTED_VALUE"""),1344)</f>
        <v>1344</v>
      </c>
      <c r="Q257" s="38">
        <f ca="1">IFERROR(__xludf.DUMMYFUNCTION("""COMPUTED_VALUE"""),0)</f>
        <v>0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IFERROR(__xludf.DUMMYFUNCTION("""COMPUTED_VALUE"""),1092)</f>
        <v>1092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IFERROR(__xludf.DUMMYFUNCTION("""COMPUTED_VALUE"""),"Rio dos Bois")</f>
        <v>Rio dos Bois</v>
      </c>
      <c r="C258" s="40" t="str">
        <f ca="1">IFERROR(__xludf.DUMMYFUNCTION("""COMPUTED_VALUE"""),"A.A. ESC EST DR. VALDECY PINHEIRO")</f>
        <v>A.A. ESC EST DR. VALDECY PINHEIRO</v>
      </c>
      <c r="D258" s="41" t="str">
        <f ca="1">IFERROR(__xludf.DUMMYFUNCTION("""COMPUTED_VALUE"""),"01079937000167")</f>
        <v>01079937000167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IFERROR(__xludf.DUMMYFUNCTION("""COMPUTED_VALUE"""),"69116")</f>
        <v>69116</v>
      </c>
      <c r="H258" s="43">
        <f ca="1">IFERROR(__xludf.DUMMYFUNCTION("""COMPUTED_VALUE"""),0)</f>
        <v>0</v>
      </c>
      <c r="I258" s="43">
        <f ca="1">IFERROR(__xludf.DUMMYFUNCTION("""COMPUTED_VALUE"""),0)</f>
        <v>0</v>
      </c>
      <c r="J258" s="43">
        <f ca="1">IFERROR(__xludf.DUMMYFUNCTION("""COMPUTED_VALUE"""),4326)</f>
        <v>4326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IFERROR(__xludf.DUMMYFUNCTION("""COMPUTED_VALUE"""),252)</f>
        <v>252</v>
      </c>
      <c r="Q258" s="43">
        <f ca="1">IFERROR(__xludf.DUMMYFUNCTION("""COMPUTED_VALUE"""),2100)</f>
        <v>2100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IFERROR(__xludf.DUMMYFUNCTION("""COMPUTED_VALUE"""),462)</f>
        <v>462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IFERROR(__xludf.DUMMYFUNCTION("""COMPUTED_VALUE"""),"Tocantinia")</f>
        <v>Tocantinia</v>
      </c>
      <c r="C259" s="35" t="str">
        <f ca="1">IFERROR(__xludf.DUMMYFUNCTION("""COMPUTED_VALUE"""),"ASS. APOIO AO CEM XERENTE WARA")</f>
        <v>ASS. APOIO AO CEM XERENTE WARA</v>
      </c>
      <c r="D259" s="36" t="str">
        <f ca="1">IFERROR(__xludf.DUMMYFUNCTION("""COMPUTED_VALUE"""),"07674098000101")</f>
        <v>07674098000101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IFERROR(__xludf.DUMMYFUNCTION("""COMPUTED_VALUE"""),"183407")</f>
        <v>183407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IFERROR(__xludf.DUMMYFUNCTION("""COMPUTED_VALUE"""),0)</f>
        <v>0</v>
      </c>
      <c r="K259" s="38">
        <f ca="1">IFERROR(__xludf.DUMMYFUNCTION("""COMPUTED_VALUE"""),12230.4)</f>
        <v>12230.4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IFERROR(__xludf.DUMMYFUNCTION("""COMPUTED_VALUE"""),441)</f>
        <v>441</v>
      </c>
      <c r="Q259" s="38">
        <f ca="1">IFERROR(__xludf.DUMMYFUNCTION("""COMPUTED_VALUE"""),0)</f>
        <v>0</v>
      </c>
      <c r="R259" s="38">
        <f ca="1">IFERROR(__xludf.DUMMYFUNCTION("""COMPUTED_VALUE"""),0)</f>
        <v>0</v>
      </c>
      <c r="S259" s="38">
        <f ca="1">IFERROR(__xludf.DUMMYFUNCTION("""COMPUTED_VALUE"""),14346.8)</f>
        <v>14346.8</v>
      </c>
      <c r="T259" s="38">
        <f ca="1">IFERROR(__xludf.DUMMYFUNCTION("""COMPUTED_VALUE"""),0)</f>
        <v>0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IFERROR(__xludf.DUMMYFUNCTION("""COMPUTED_VALUE"""),1447.19999999999)</f>
        <v>1447.19999999999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IFERROR(__xludf.DUMMYFUNCTION("""COMPUTED_VALUE"""),998)</f>
        <v>998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IFERROR(__xludf.DUMMYFUNCTION("""COMPUTED_VALUE"""),"Tocantinia")</f>
        <v>Tocantinia</v>
      </c>
      <c r="C260" s="40" t="str">
        <f ca="1">IFERROR(__xludf.DUMMYFUNCTION("""COMPUTED_VALUE"""),"A.COM.DO COLEGIO FREI ANTONIO CONVENIADO")</f>
        <v>A.COM.DO COLEGIO FREI ANTONIO CONVENIADO</v>
      </c>
      <c r="D260" s="41" t="str">
        <f ca="1">IFERROR(__xludf.DUMMYFUNCTION("""COMPUTED_VALUE"""),"01066427000155")</f>
        <v>01066427000155</v>
      </c>
      <c r="E260" s="42" t="str">
        <f ca="1">IFERROR(__xludf.DUMMYFUNCTION("""COMPUTED_VALUE"""),"001")</f>
        <v>001</v>
      </c>
      <c r="F260" s="43" t="str">
        <f ca="1">IFERROR(__xludf.DUMMYFUNCTION("""COMPUTED_VALUE"""),"0862")</f>
        <v>0862</v>
      </c>
      <c r="G260" s="43" t="str">
        <f ca="1">IFERROR(__xludf.DUMMYFUNCTION("""COMPUTED_VALUE"""),"68985")</f>
        <v>68985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IFERROR(__xludf.DUMMYFUNCTION("""COMPUTED_VALUE"""),23363.2)</f>
        <v>23363.200000000001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IFERROR(__xludf.DUMMYFUNCTION("""COMPUTED_VALUE"""),189)</f>
        <v>189</v>
      </c>
      <c r="Q260" s="43">
        <f ca="1">IFERROR(__xludf.DUMMYFUNCTION("""COMPUTED_VALUE"""),0)</f>
        <v>0</v>
      </c>
      <c r="R260" s="43">
        <f ca="1">IFERROR(__xludf.DUMMYFUNCTION("""COMPUTED_VALUE"""),0)</f>
        <v>0</v>
      </c>
      <c r="S260" s="43">
        <f ca="1">IFERROR(__xludf.DUMMYFUNCTION("""COMPUTED_VALUE"""),0)</f>
        <v>0</v>
      </c>
      <c r="T260" s="43">
        <f ca="1">IFERROR(__xludf.DUMMYFUNCTION("""COMPUTED_VALUE"""),0)</f>
        <v>0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IFERROR(__xludf.DUMMYFUNCTION("""COMPUTED_VALUE"""),0)</f>
        <v>0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IFERROR(__xludf.DUMMYFUNCTION("""COMPUTED_VALUE"""),1996)</f>
        <v>1996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IFERROR(__xludf.DUMMYFUNCTION("""COMPUTED_VALUE"""),"Tocantinia")</f>
        <v>Tocantinia</v>
      </c>
      <c r="C261" s="35" t="str">
        <f ca="1">IFERROR(__xludf.DUMMYFUNCTION("""COMPUTED_VALUE"""),"ASSOC. DE PAIS E MEST. DO COL. EST. BATISTA PROFª BEATRIZ R. DA SILVA")</f>
        <v>ASSOC. DE PAIS E MEST. DO COL. EST. BATISTA PROFª BEATRIZ R. DA SILVA</v>
      </c>
      <c r="D261" s="36" t="str">
        <f ca="1">IFERROR(__xludf.DUMMYFUNCTION("""COMPUTED_VALUE"""),"15132209000186")</f>
        <v>15132209000186</v>
      </c>
      <c r="E261" s="37" t="str">
        <f ca="1">IFERROR(__xludf.DUMMYFUNCTION("""COMPUTED_VALUE"""),"001")</f>
        <v>001</v>
      </c>
      <c r="F261" s="38" t="str">
        <f ca="1">IFERROR(__xludf.DUMMYFUNCTION("""COMPUTED_VALUE"""),"0862")</f>
        <v>0862</v>
      </c>
      <c r="G261" s="38" t="str">
        <f ca="1">IFERROR(__xludf.DUMMYFUNCTION("""COMPUTED_VALUE"""),"277037")</f>
        <v>277037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IFERROR(__xludf.DUMMYFUNCTION("""COMPUTED_VALUE"""),0)</f>
        <v>0</v>
      </c>
      <c r="K261" s="38">
        <f ca="1">IFERROR(__xludf.DUMMYFUNCTION("""COMPUTED_VALUE"""),0)</f>
        <v>0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IFERROR(__xludf.DUMMYFUNCTION("""COMPUTED_VALUE"""),0)</f>
        <v>0</v>
      </c>
      <c r="Q261" s="38">
        <f ca="1">IFERROR(__xludf.DUMMYFUNCTION("""COMPUTED_VALUE"""),3864)</f>
        <v>3864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IFERROR(__xludf.DUMMYFUNCTION("""COMPUTED_VALUE"""),672)</f>
        <v>672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IFERROR(__xludf.DUMMYFUNCTION("""COMPUTED_VALUE"""),0)</f>
        <v>0</v>
      </c>
    </row>
    <row r="262" spans="1:26" ht="12.75">
      <c r="A262" s="39" t="str">
        <f ca="1">IFERROR(__xludf.DUMMYFUNCTION("""COMPUTED_VALUE"""),"Palmas")</f>
        <v>Palmas</v>
      </c>
      <c r="B262" s="39" t="str">
        <f ca="1">IFERROR(__xludf.DUMMYFUNCTION("""COMPUTED_VALUE"""),"Aparecida do Rio Negro")</f>
        <v>Aparecida do Rio Negro</v>
      </c>
      <c r="C262" s="40" t="str">
        <f ca="1">IFERROR(__xludf.DUMMYFUNCTION("""COMPUTED_VALUE"""),"ASS. DE AP. DO COL. EST. MEIRA MATOS")</f>
        <v>ASS. DE AP. DO COL. EST. MEIRA MATOS</v>
      </c>
      <c r="D262" s="41" t="str">
        <f ca="1">IFERROR(__xludf.DUMMYFUNCTION("""COMPUTED_VALUE"""),"01186452000172")</f>
        <v>01186452000172</v>
      </c>
      <c r="E262" s="42" t="str">
        <f ca="1">IFERROR(__xludf.DUMMYFUNCTION("""COMPUTED_VALUE"""),"001")</f>
        <v>001</v>
      </c>
      <c r="F262" s="43" t="str">
        <f ca="1">IFERROR(__xludf.DUMMYFUNCTION("""COMPUTED_VALUE"""),"1505")</f>
        <v>1505</v>
      </c>
      <c r="G262" s="43" t="str">
        <f ca="1">IFERROR(__xludf.DUMMYFUNCTION("""COMPUTED_VALUE"""),"327972")</f>
        <v>327972</v>
      </c>
      <c r="H262" s="43">
        <f ca="1">IFERROR(__xludf.DUMMYFUNCTION("""COMPUTED_VALUE"""),0)</f>
        <v>0</v>
      </c>
      <c r="I262" s="43">
        <f ca="1">IFERROR(__xludf.DUMMYFUNCTION("""COMPUTED_VALUE"""),0)</f>
        <v>0</v>
      </c>
      <c r="J262" s="43">
        <f ca="1">IFERROR(__xludf.DUMMYFUNCTION("""COMPUTED_VALUE"""),3129)</f>
        <v>3129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IFERROR(__xludf.DUMMYFUNCTION("""COMPUTED_VALUE"""),252)</f>
        <v>252</v>
      </c>
      <c r="Q262" s="43">
        <f ca="1">IFERROR(__xludf.DUMMYFUNCTION("""COMPUTED_VALUE"""),4788)</f>
        <v>4788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IFERROR(__xludf.DUMMYFUNCTION("""COMPUTED_VALUE"""),0)</f>
        <v>0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IFERROR(__xludf.DUMMYFUNCTION("""COMPUTED_VALUE"""),"Palmas")</f>
        <v>Palmas</v>
      </c>
      <c r="B263" s="34" t="str">
        <f ca="1">IFERROR(__xludf.DUMMYFUNCTION("""COMPUTED_VALUE"""),"Lagoa do Tocantins")</f>
        <v>Lagoa do Tocantins</v>
      </c>
      <c r="C263" s="35" t="str">
        <f ca="1">IFERROR(__xludf.DUMMYFUNCTION("""COMPUTED_VALUE"""),"ASS. DE AP. DA ESC. EST. SALMON DO A.BRITO")</f>
        <v>ASS. DE AP. DA ESC. EST. SALMON DO A.BRITO</v>
      </c>
      <c r="D263" s="36" t="str">
        <f ca="1">IFERROR(__xludf.DUMMYFUNCTION("""COMPUTED_VALUE"""),"01440941000109")</f>
        <v>01440941000109</v>
      </c>
      <c r="E263" s="37" t="str">
        <f ca="1">IFERROR(__xludf.DUMMYFUNCTION("""COMPUTED_VALUE"""),"001")</f>
        <v>001</v>
      </c>
      <c r="F263" s="38" t="str">
        <f ca="1">IFERROR(__xludf.DUMMYFUNCTION("""COMPUTED_VALUE"""),"1505")</f>
        <v>1505</v>
      </c>
      <c r="G263" s="38" t="str">
        <f ca="1">IFERROR(__xludf.DUMMYFUNCTION("""COMPUTED_VALUE"""),"465410")</f>
        <v>465410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IFERROR(__xludf.DUMMYFUNCTION("""COMPUTED_VALUE"""),4998)</f>
        <v>4998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IFERROR(__xludf.DUMMYFUNCTION("""COMPUTED_VALUE"""),0)</f>
        <v>0</v>
      </c>
      <c r="Q263" s="38">
        <f ca="1">IFERROR(__xludf.DUMMYFUNCTION("""COMPUTED_VALUE"""),5481)</f>
        <v>5481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IFERROR(__xludf.DUMMYFUNCTION("""COMPUTED_VALUE"""),0)</f>
        <v>0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IFERROR(__xludf.DUMMYFUNCTION("""COMPUTED_VALUE"""),"Palmas")</f>
        <v>Palmas</v>
      </c>
      <c r="B264" s="39" t="str">
        <f ca="1">IFERROR(__xludf.DUMMYFUNCTION("""COMPUTED_VALUE"""),"Lajeado")</f>
        <v>Lajeado</v>
      </c>
      <c r="C264" s="40" t="str">
        <f ca="1">IFERROR(__xludf.DUMMYFUNCTION("""COMPUTED_VALUE"""),"A.A. COM. E. E.N.SRA.DA PROVIDENCIA")</f>
        <v>A.A. COM. E. E.N.SRA.DA PROVIDENCIA</v>
      </c>
      <c r="D264" s="41" t="str">
        <f ca="1">IFERROR(__xludf.DUMMYFUNCTION("""COMPUTED_VALUE"""),"01138324000153")</f>
        <v>01138324000153</v>
      </c>
      <c r="E264" s="42" t="str">
        <f ca="1">IFERROR(__xludf.DUMMYFUNCTION("""COMPUTED_VALUE"""),"001")</f>
        <v>001</v>
      </c>
      <c r="F264" s="43" t="str">
        <f ca="1">IFERROR(__xludf.DUMMYFUNCTION("""COMPUTED_VALUE"""),"0862")</f>
        <v>0862</v>
      </c>
      <c r="G264" s="43" t="str">
        <f ca="1">IFERROR(__xludf.DUMMYFUNCTION("""COMPUTED_VALUE"""),"69132")</f>
        <v>69132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IFERROR(__xludf.DUMMYFUNCTION("""COMPUTED_VALUE"""),588)</f>
        <v>588</v>
      </c>
      <c r="K264" s="43">
        <f ca="1">IFERROR(__xludf.DUMMYFUNCTION("""COMPUTED_VALUE"""),0)</f>
        <v>0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IFERROR(__xludf.DUMMYFUNCTION("""COMPUTED_VALUE"""),147)</f>
        <v>147</v>
      </c>
      <c r="Q264" s="43">
        <f ca="1">IFERROR(__xludf.DUMMYFUNCTION("""COMPUTED_VALUE"""),2667)</f>
        <v>2667</v>
      </c>
      <c r="R264" s="43">
        <f ca="1">IFERROR(__xludf.DUMMYFUNCTION("""COMPUTED_VALUE"""),0)</f>
        <v>0</v>
      </c>
      <c r="S264" s="43">
        <f ca="1">IFERROR(__xludf.DUMMYFUNCTION("""COMPUTED_VALUE"""),0)</f>
        <v>0</v>
      </c>
      <c r="T264" s="43">
        <f ca="1">IFERROR(__xludf.DUMMYFUNCTION("""COMPUTED_VALUE"""),189)</f>
        <v>189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IFERROR(__xludf.DUMMYFUNCTION("""COMPUTED_VALUE"""),0)</f>
        <v>0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IFERROR(__xludf.DUMMYFUNCTION("""COMPUTED_VALUE"""),0)</f>
        <v>0</v>
      </c>
    </row>
    <row r="265" spans="1:26" ht="12.75">
      <c r="A265" s="34" t="str">
        <f ca="1">IFERROR(__xludf.DUMMYFUNCTION("""COMPUTED_VALUE"""),"Palmas")</f>
        <v>Palmas</v>
      </c>
      <c r="B265" s="34" t="str">
        <f ca="1">IFERROR(__xludf.DUMMYFUNCTION("""COMPUTED_VALUE"""),"Mateiros")</f>
        <v>Mateiros</v>
      </c>
      <c r="C265" s="35" t="str">
        <f ca="1">IFERROR(__xludf.DUMMYFUNCTION("""COMPUTED_VALUE"""),"ASS. A. ESC. EST.ESTEFANIO TELES DAS CHAGAS")</f>
        <v>ASS. A. ESC. EST.ESTEFANIO TELES DAS CHAGAS</v>
      </c>
      <c r="D265" s="36" t="str">
        <f ca="1">IFERROR(__xludf.DUMMYFUNCTION("""COMPUTED_VALUE"""),"01206219000104")</f>
        <v>01206219000104</v>
      </c>
      <c r="E265" s="37" t="str">
        <f ca="1">IFERROR(__xludf.DUMMYFUNCTION("""COMPUTED_VALUE"""),"001")</f>
        <v>001</v>
      </c>
      <c r="F265" s="38" t="str">
        <f ca="1">IFERROR(__xludf.DUMMYFUNCTION("""COMPUTED_VALUE"""),"3962")</f>
        <v>3962</v>
      </c>
      <c r="G265" s="38" t="str">
        <f ca="1">IFERROR(__xludf.DUMMYFUNCTION("""COMPUTED_VALUE"""),"127795")</f>
        <v>127795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IFERROR(__xludf.DUMMYFUNCTION("""COMPUTED_VALUE"""),4137)</f>
        <v>4137</v>
      </c>
      <c r="K265" s="38">
        <f ca="1">IFERROR(__xludf.DUMMYFUNCTION("""COMPUTED_VALUE"""),0)</f>
        <v>0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IFERROR(__xludf.DUMMYFUNCTION("""COMPUTED_VALUE"""),0)</f>
        <v>0</v>
      </c>
      <c r="Q265" s="38">
        <f ca="1">IFERROR(__xludf.DUMMYFUNCTION("""COMPUTED_VALUE"""),2730)</f>
        <v>2730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IFERROR(__xludf.DUMMYFUNCTION("""COMPUTED_VALUE"""),0)</f>
        <v>0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IFERROR(__xludf.DUMMYFUNCTION("""COMPUTED_VALUE"""),0)</f>
        <v>0</v>
      </c>
    </row>
    <row r="266" spans="1:26" ht="12.75">
      <c r="A266" s="39" t="str">
        <f ca="1">IFERROR(__xludf.DUMMYFUNCTION("""COMPUTED_VALUE"""),"Palmas")</f>
        <v>Palmas</v>
      </c>
      <c r="B266" s="39" t="str">
        <f ca="1">IFERROR(__xludf.DUMMYFUNCTION("""COMPUTED_VALUE"""),"Mateiros")</f>
        <v>Mateiros</v>
      </c>
      <c r="C266" s="40" t="str">
        <f ca="1">IFERROR(__xludf.DUMMYFUNCTION("""COMPUTED_VALUE"""),"ASSOC. DE APOIO A ESC. EST. SILVERIO RIBEIRO MATOS")</f>
        <v>ASSOC. DE APOIO A ESC. EST. SILVERIO RIBEIRO MATOS</v>
      </c>
      <c r="D266" s="41" t="str">
        <f ca="1">IFERROR(__xludf.DUMMYFUNCTION("""COMPUTED_VALUE"""),"13439520000147")</f>
        <v>13439520000147</v>
      </c>
      <c r="E266" s="42" t="str">
        <f ca="1">IFERROR(__xludf.DUMMYFUNCTION("""COMPUTED_VALUE"""),"001")</f>
        <v>001</v>
      </c>
      <c r="F266" s="43" t="str">
        <f ca="1">IFERROR(__xludf.DUMMYFUNCTION("""COMPUTED_VALUE"""),"3962")</f>
        <v>3962</v>
      </c>
      <c r="G266" s="43" t="str">
        <f ca="1">IFERROR(__xludf.DUMMYFUNCTION("""COMPUTED_VALUE"""),"261882")</f>
        <v>261882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IFERROR(__xludf.DUMMYFUNCTION("""COMPUTED_VALUE"""),0)</f>
        <v>0</v>
      </c>
      <c r="K266" s="43">
        <f ca="1">IFERROR(__xludf.DUMMYFUNCTION("""COMPUTED_VALUE"""),0)</f>
        <v>0</v>
      </c>
      <c r="L266" s="43">
        <f ca="1">IFERROR(__xludf.DUMMYFUNCTION("""COMPUTED_VALUE"""),1470)</f>
        <v>1470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IFERROR(__xludf.DUMMYFUNCTION("""COMPUTED_VALUE"""),0)</f>
        <v>0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IFERROR(__xludf.DUMMYFUNCTION("""COMPUTED_VALUE"""),0)</f>
        <v>0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IFERROR(__xludf.DUMMYFUNCTION("""COMPUTED_VALUE"""),"Novo Acordo")</f>
        <v>Novo Acordo</v>
      </c>
      <c r="C267" s="35" t="str">
        <f ca="1">IFERROR(__xludf.DUMMYFUNCTION("""COMPUTED_VALUE"""),"ASS. A. AO COL. EST. D. PEDRO I/N.ACORDO")</f>
        <v>ASS. A. AO COL. EST. D. PEDRO I/N.ACORDO</v>
      </c>
      <c r="D267" s="36" t="str">
        <f ca="1">IFERROR(__xludf.DUMMYFUNCTION("""COMPUTED_VALUE"""),"01133690000110")</f>
        <v>01133690000110</v>
      </c>
      <c r="E267" s="37" t="str">
        <f ca="1">IFERROR(__xludf.DUMMYFUNCTION("""COMPUTED_VALUE"""),"001")</f>
        <v>001</v>
      </c>
      <c r="F267" s="38" t="str">
        <f ca="1">IFERROR(__xludf.DUMMYFUNCTION("""COMPUTED_VALUE"""),"1505")</f>
        <v>1505</v>
      </c>
      <c r="G267" s="38" t="str">
        <f ca="1">IFERROR(__xludf.DUMMYFUNCTION("""COMPUTED_VALUE"""),"157856")</f>
        <v>157856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IFERROR(__xludf.DUMMYFUNCTION("""COMPUTED_VALUE"""),4935)</f>
        <v>4935</v>
      </c>
      <c r="K267" s="38">
        <f ca="1">IFERROR(__xludf.DUMMYFUNCTION("""COMPUTED_VALUE"""),0)</f>
        <v>0</v>
      </c>
      <c r="L267" s="38">
        <f ca="1">IFERROR(__xludf.DUMMYFUNCTION("""COMPUTED_VALUE"""),0)</f>
        <v>0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IFERROR(__xludf.DUMMYFUNCTION("""COMPUTED_VALUE"""),735)</f>
        <v>735</v>
      </c>
      <c r="Q267" s="38">
        <f ca="1">IFERROR(__xludf.DUMMYFUNCTION("""COMPUTED_VALUE"""),4494)</f>
        <v>4494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IFERROR(__xludf.DUMMYFUNCTION("""COMPUTED_VALUE"""),"Novo Acordo")</f>
        <v>Novo Acordo</v>
      </c>
      <c r="C268" s="40" t="str">
        <f ca="1">IFERROR(__xludf.DUMMYFUNCTION("""COMPUTED_VALUE"""),"A.A. DA ESC. EST.PEDRO MACEDO / N.ACORDO")</f>
        <v>A.A. DA ESC. EST.PEDRO MACEDO / N.ACORDO</v>
      </c>
      <c r="D268" s="41" t="str">
        <f ca="1">IFERROR(__xludf.DUMMYFUNCTION("""COMPUTED_VALUE"""),"01136004000164")</f>
        <v>01136004000164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IFERROR(__xludf.DUMMYFUNCTION("""COMPUTED_VALUE"""),"171166")</f>
        <v>171166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IFERROR(__xludf.DUMMYFUNCTION("""COMPUTED_VALUE"""),1659)</f>
        <v>1659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IFERROR(__xludf.DUMMYFUNCTION("""COMPUTED_VALUE"""),336)</f>
        <v>336</v>
      </c>
      <c r="Q268" s="43">
        <f ca="1">IFERROR(__xludf.DUMMYFUNCTION("""COMPUTED_VALUE"""),0)</f>
        <v>0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IFERROR(__xludf.DUMMYFUNCTION("""COMPUTED_VALUE"""),"Palmas")</f>
        <v>Palmas</v>
      </c>
      <c r="C269" s="35" t="str">
        <f ca="1">IFERROR(__xludf.DUMMYFUNCTION("""COMPUTED_VALUE"""),"A. DE CONSELHO ESCOLAR DO CEM 305 NORTE")</f>
        <v>A. DE CONSELHO ESCOLAR DO CEM 305 NORTE</v>
      </c>
      <c r="D269" s="36" t="str">
        <f ca="1">IFERROR(__xludf.DUMMYFUNCTION("""COMPUTED_VALUE"""),"04701394000166")</f>
        <v>04701394000166</v>
      </c>
      <c r="E269" s="37" t="str">
        <f ca="1">IFERROR(__xludf.DUMMYFUNCTION("""COMPUTED_VALUE"""),"001")</f>
        <v>001</v>
      </c>
      <c r="F269" s="38" t="str">
        <f ca="1">IFERROR(__xludf.DUMMYFUNCTION("""COMPUTED_VALUE"""),"1505")</f>
        <v>1505</v>
      </c>
      <c r="G269" s="38" t="str">
        <f ca="1">IFERROR(__xludf.DUMMYFUNCTION("""COMPUTED_VALUE"""),"455261")</f>
        <v>455261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IFERROR(__xludf.DUMMYFUNCTION("""COMPUTED_VALUE"""),0)</f>
        <v>0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IFERROR(__xludf.DUMMYFUNCTION("""COMPUTED_VALUE"""),63)</f>
        <v>63</v>
      </c>
      <c r="Q269" s="38">
        <f ca="1">IFERROR(__xludf.DUMMYFUNCTION("""COMPUTED_VALUE"""),12327)</f>
        <v>12327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IFERROR(__xludf.DUMMYFUNCTION("""COMPUTED_VALUE"""),0)</f>
        <v>0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IFERROR(__xludf.DUMMYFUNCTION("""COMPUTED_VALUE"""),"Palmas")</f>
        <v>Palmas</v>
      </c>
      <c r="C270" s="40" t="str">
        <f ca="1">IFERROR(__xludf.DUMMYFUNCTION("""COMPUTED_VALUE"""),"ASSOC. DE APOIO COL. EST. DE TAQUARALTO")</f>
        <v>ASSOC. DE APOIO COL. EST. DE TAQUARALTO</v>
      </c>
      <c r="D270" s="41" t="str">
        <f ca="1">IFERROR(__xludf.DUMMYFUNCTION("""COMPUTED_VALUE"""),"03233677000168")</f>
        <v>03233677000168</v>
      </c>
      <c r="E270" s="42" t="str">
        <f ca="1">IFERROR(__xludf.DUMMYFUNCTION("""COMPUTED_VALUE"""),"001")</f>
        <v>001</v>
      </c>
      <c r="F270" s="43" t="str">
        <f ca="1">IFERROR(__xludf.DUMMYFUNCTION("""COMPUTED_VALUE"""),"1505")</f>
        <v>1505</v>
      </c>
      <c r="G270" s="43" t="str">
        <f ca="1">IFERROR(__xludf.DUMMYFUNCTION("""COMPUTED_VALUE"""),"455059")</f>
        <v>455059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IFERROR(__xludf.DUMMYFUNCTION("""COMPUTED_VALUE"""),0)</f>
        <v>0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IFERROR(__xludf.DUMMYFUNCTION("""COMPUTED_VALUE"""),315)</f>
        <v>315</v>
      </c>
      <c r="Q270" s="43">
        <f ca="1">IFERROR(__xludf.DUMMYFUNCTION("""COMPUTED_VALUE"""),31563)</f>
        <v>31563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IFERROR(__xludf.DUMMYFUNCTION("""COMPUTED_VALUE"""),3318)</f>
        <v>3318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IFERROR(__xludf.DUMMYFUNCTION("""COMPUTED_VALUE"""),"Palmas")</f>
        <v>Palmas</v>
      </c>
      <c r="C271" s="35" t="str">
        <f ca="1">IFERROR(__xludf.DUMMYFUNCTION("""COMPUTED_VALUE"""),"A.AP. DO COL. EST. SANTA RITA DE CASSIA")</f>
        <v>A.AP. DO COL. EST. SANTA RITA DE CASSIA</v>
      </c>
      <c r="D271" s="36" t="str">
        <f ca="1">IFERROR(__xludf.DUMMYFUNCTION("""COMPUTED_VALUE"""),"01955414000137")</f>
        <v>01955414000137</v>
      </c>
      <c r="E271" s="37" t="str">
        <f ca="1">IFERROR(__xludf.DUMMYFUNCTION("""COMPUTED_VALUE"""),"001")</f>
        <v>001</v>
      </c>
      <c r="F271" s="38" t="str">
        <f ca="1">IFERROR(__xludf.DUMMYFUNCTION("""COMPUTED_VALUE"""),"1505")</f>
        <v>1505</v>
      </c>
      <c r="G271" s="38" t="str">
        <f ca="1">IFERROR(__xludf.DUMMYFUNCTION("""COMPUTED_VALUE"""),"256579")</f>
        <v>256579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IFERROR(__xludf.DUMMYFUNCTION("""COMPUTED_VALUE"""),0)</f>
        <v>0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IFERROR(__xludf.DUMMYFUNCTION("""COMPUTED_VALUE"""),189)</f>
        <v>189</v>
      </c>
      <c r="Q271" s="38">
        <f ca="1">IFERROR(__xludf.DUMMYFUNCTION("""COMPUTED_VALUE"""),0)</f>
        <v>0</v>
      </c>
      <c r="R271" s="38">
        <f ca="1">IFERROR(__xludf.DUMMYFUNCTION("""COMPUTED_VALUE"""),0)</f>
        <v>0</v>
      </c>
      <c r="S271" s="38">
        <f ca="1">IFERROR(__xludf.DUMMYFUNCTION("""COMPUTED_VALUE"""),19102.1999999999)</f>
        <v>19102.199999999899</v>
      </c>
      <c r="T271" s="38">
        <f ca="1">IFERROR(__xludf.DUMMYFUNCTION("""COMPUTED_VALUE"""),0)</f>
        <v>0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IFERROR(__xludf.DUMMYFUNCTION("""COMPUTED_VALUE"""),1929.6)</f>
        <v>1929.6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IFERROR(__xludf.DUMMYFUNCTION("""COMPUTED_VALUE"""),"Palmas")</f>
        <v>Palmas</v>
      </c>
      <c r="C272" s="40" t="str">
        <f ca="1">IFERROR(__xludf.DUMMYFUNCTION("""COMPUTED_VALUE"""),"ASSOC. COMUN.ESCOLAR DA ESC. EST. TIRADENTES")</f>
        <v>ASSOC. COMUN.ESCOLAR DA ESC. EST. TIRADENTES</v>
      </c>
      <c r="D272" s="41" t="str">
        <f ca="1">IFERROR(__xludf.DUMMYFUNCTION("""COMPUTED_VALUE"""),"00862122000197")</f>
        <v>00862122000197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IFERROR(__xludf.DUMMYFUNCTION("""COMPUTED_VALUE"""),"250562")</f>
        <v>250562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IFERROR(__xludf.DUMMYFUNCTION("""COMPUTED_VALUE"""),0)</f>
        <v>0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IFERROR(__xludf.DUMMYFUNCTION("""COMPUTED_VALUE"""),0)</f>
        <v>0</v>
      </c>
      <c r="Q272" s="43">
        <f ca="1">IFERROR(__xludf.DUMMYFUNCTION("""COMPUTED_VALUE"""),26922)</f>
        <v>26922</v>
      </c>
      <c r="R272" s="43">
        <f ca="1">IFERROR(__xludf.DUMMYFUNCTION("""COMPUTED_VALUE"""),0)</f>
        <v>0</v>
      </c>
      <c r="S272" s="43">
        <f ca="1">IFERROR(__xludf.DUMMYFUNCTION("""COMPUTED_VALUE"""),0)</f>
        <v>0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IFERROR(__xludf.DUMMYFUNCTION("""COMPUTED_VALUE"""),0)</f>
        <v>0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IFERROR(__xludf.DUMMYFUNCTION("""COMPUTED_VALUE"""),"Palmas")</f>
        <v>Palmas</v>
      </c>
      <c r="C273" s="35" t="str">
        <f ca="1">IFERROR(__xludf.DUMMYFUNCTION("""COMPUTED_VALUE"""),"ASSOC. DE APOIO COL. DA POLICIA MILITAR DO TOCANTINS")</f>
        <v>ASSOC. DE APOIO COL. DA POLICIA MILITAR DO TOCANTINS</v>
      </c>
      <c r="D273" s="36" t="str">
        <f ca="1">IFERROR(__xludf.DUMMYFUNCTION("""COMPUTED_VALUE"""),"02050257000183")</f>
        <v>02050257000183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IFERROR(__xludf.DUMMYFUNCTION("""COMPUTED_VALUE"""),"455466")</f>
        <v>455466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IFERROR(__xludf.DUMMYFUNCTION("""COMPUTED_VALUE"""),0)</f>
        <v>0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IFERROR(__xludf.DUMMYFUNCTION("""COMPUTED_VALUE"""),0)</f>
        <v>0</v>
      </c>
      <c r="Q273" s="38">
        <f ca="1">IFERROR(__xludf.DUMMYFUNCTION("""COMPUTED_VALUE"""),0)</f>
        <v>0</v>
      </c>
      <c r="R273" s="38">
        <f ca="1">IFERROR(__xludf.DUMMYFUNCTION("""COMPUTED_VALUE"""),0)</f>
        <v>0</v>
      </c>
      <c r="S273" s="38">
        <f ca="1">IFERROR(__xludf.DUMMYFUNCTION("""COMPUTED_VALUE"""),67542.7999999999)</f>
        <v>67542.799999999901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IFERROR(__xludf.DUMMYFUNCTION("""COMPUTED_VALUE"""),6753.59999999999)</f>
        <v>6753.5999999999904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IFERROR(__xludf.DUMMYFUNCTION("""COMPUTED_VALUE"""),"ASSOCIAÇÃO DE APOIO A ESC. ESTADUAL DA 403 SUL")</f>
        <v>ASSOCIAÇÃO DE APOIO A ESC. ESTADUAL DA 403 SUL</v>
      </c>
      <c r="D274" s="41" t="str">
        <f ca="1">IFERROR(__xludf.DUMMYFUNCTION("""COMPUTED_VALUE"""),"11332101000186")</f>
        <v>11332101000186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IFERROR(__xludf.DUMMYFUNCTION("""COMPUTED_VALUE"""),"467588")</f>
        <v>467588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IFERROR(__xludf.DUMMYFUNCTION("""COMPUTED_VALUE"""),71265.6)</f>
        <v>71265.600000000006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IFERROR(__xludf.DUMMYFUNCTION("""COMPUTED_VALUE"""),0)</f>
        <v>0</v>
      </c>
      <c r="Q274" s="43">
        <f ca="1">IFERROR(__xludf.DUMMYFUNCTION("""COMPUTED_VALUE"""),0)</f>
        <v>0</v>
      </c>
      <c r="R274" s="43">
        <f ca="1">IFERROR(__xludf.DUMMYFUNCTION("""COMPUTED_VALUE"""),0)</f>
        <v>0</v>
      </c>
      <c r="S274" s="43">
        <f ca="1">IFERROR(__xludf.DUMMYFUNCTION("""COMPUTED_VALUE"""),0)</f>
        <v>0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IFERROR(__xludf.DUMMYFUNCTION("""COMPUTED_VALUE"""),0)</f>
        <v>0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IFERROR(__xludf.DUMMYFUNCTION("""COMPUTED_VALUE"""),6087.8)</f>
        <v>6087.8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IFERROR(__xludf.DUMMYFUNCTION("""COMPUTED_VALUE"""),"A.C.ESC.M.FUT. C.E. CRIANCA ESPERANCA")</f>
        <v>A.C.ESC.M.FUT. C.E. CRIANCA ESPERANCA</v>
      </c>
      <c r="D275" s="36" t="str">
        <f ca="1">IFERROR(__xludf.DUMMYFUNCTION("""COMPUTED_VALUE"""),"01920781000103")</f>
        <v>01920781000103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IFERROR(__xludf.DUMMYFUNCTION("""COMPUTED_VALUE"""),"455369")</f>
        <v>455369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IFERROR(__xludf.DUMMYFUNCTION("""COMPUTED_VALUE"""),0)</f>
        <v>0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IFERROR(__xludf.DUMMYFUNCTION("""COMPUTED_VALUE"""),0)</f>
        <v>0</v>
      </c>
      <c r="Q275" s="38">
        <f ca="1">IFERROR(__xludf.DUMMYFUNCTION("""COMPUTED_VALUE"""),5292)</f>
        <v>5292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IFERROR(__xludf.DUMMYFUNCTION("""COMPUTED_VALUE"""),1869)</f>
        <v>1869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IFERROR(__xludf.DUMMYFUNCTION("""COMPUTED_VALUE"""),0)</f>
        <v>0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 COM. E-E. E. DOM ALANO MARIE DU NODAY")</f>
        <v>A. COM. E-E. E. DOM ALANO MARIE DU NODAY</v>
      </c>
      <c r="D276" s="41" t="str">
        <f ca="1">IFERROR(__xludf.DUMMYFUNCTION("""COMPUTED_VALUE"""),"01343125000187")</f>
        <v>01343125000187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IFERROR(__xludf.DUMMYFUNCTION("""COMPUTED_VALUE"""),"265810")</f>
        <v>265810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IFERROR(__xludf.DUMMYFUNCTION("""COMPUTED_VALUE"""),1659)</f>
        <v>1659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IFERROR(__xludf.DUMMYFUNCTION("""COMPUTED_VALUE"""),0)</f>
        <v>0</v>
      </c>
      <c r="Q276" s="43">
        <f ca="1">IFERROR(__xludf.DUMMYFUNCTION("""COMPUTED_VALUE"""),17304)</f>
        <v>17304</v>
      </c>
      <c r="R276" s="43">
        <f ca="1">IFERROR(__xludf.DUMMYFUNCTION("""COMPUTED_VALUE"""),0)</f>
        <v>0</v>
      </c>
      <c r="S276" s="43">
        <f ca="1">IFERROR(__xludf.DUMMYFUNCTION("""COMPUTED_VALUE"""),0)</f>
        <v>0</v>
      </c>
      <c r="T276" s="43">
        <f ca="1">IFERROR(__xludf.DUMMYFUNCTION("""COMPUTED_VALUE"""),2268)</f>
        <v>2268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IFERROR(__xludf.DUMMYFUNCTION("""COMPUTED_VALUE"""),0)</f>
        <v>0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IFERROR(__xludf.DUMMYFUNCTION("""COMPUTED_VALUE"""),"ACE COL. EST. DUQUE DE CAXIAS")</f>
        <v>ACE COL. EST. DUQUE DE CAXIAS</v>
      </c>
      <c r="D277" s="36" t="str">
        <f ca="1">IFERROR(__xludf.DUMMYFUNCTION("""COMPUTED_VALUE"""),"01588669000109")</f>
        <v>01588669000109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IFERROR(__xludf.DUMMYFUNCTION("""COMPUTED_VALUE"""),"254002")</f>
        <v>254002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IFERROR(__xludf.DUMMYFUNCTION("""COMPUTED_VALUE"""),4137)</f>
        <v>4137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IFERROR(__xludf.DUMMYFUNCTION("""COMPUTED_VALUE"""),378)</f>
        <v>378</v>
      </c>
      <c r="Q277" s="38">
        <f ca="1">IFERROR(__xludf.DUMMYFUNCTION("""COMPUTED_VALUE"""),6216)</f>
        <v>6216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IFERROR(__xludf.DUMMYFUNCTION("""COMPUTED_VALUE"""),0)</f>
        <v>0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IFERROR(__xludf.DUMMYFUNCTION("""COMPUTED_VALUE"""),"A.A. AO COLEGIO ESTADUAL SAO JOSE")</f>
        <v>A.A. AO COLEGIO ESTADUAL SAO JOSE</v>
      </c>
      <c r="D278" s="41" t="str">
        <f ca="1">IFERROR(__xludf.DUMMYFUNCTION("""COMPUTED_VALUE"""),"01913809000177")</f>
        <v>01913809000177</v>
      </c>
      <c r="E278" s="42" t="str">
        <f ca="1">IFERROR(__xludf.DUMMYFUNCTION("""COMPUTED_VALUE"""),"001")</f>
        <v>001</v>
      </c>
      <c r="F278" s="43" t="str">
        <f ca="1">IFERROR(__xludf.DUMMYFUNCTION("""COMPUTED_VALUE"""),"1886")</f>
        <v>1886</v>
      </c>
      <c r="G278" s="43" t="str">
        <f ca="1">IFERROR(__xludf.DUMMYFUNCTION("""COMPUTED_VALUE"""),"325252")</f>
        <v>325252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IFERROR(__xludf.DUMMYFUNCTION("""COMPUTED_VALUE"""),0)</f>
        <v>0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IFERROR(__xludf.DUMMYFUNCTION("""COMPUTED_VALUE"""),504)</f>
        <v>504</v>
      </c>
      <c r="Q278" s="43">
        <f ca="1">IFERROR(__xludf.DUMMYFUNCTION("""COMPUTED_VALUE"""),0)</f>
        <v>0</v>
      </c>
      <c r="R278" s="43">
        <f ca="1">IFERROR(__xludf.DUMMYFUNCTION("""COMPUTED_VALUE"""),0)</f>
        <v>0</v>
      </c>
      <c r="S278" s="43">
        <f ca="1">IFERROR(__xludf.DUMMYFUNCTION("""COMPUTED_VALUE"""),18135)</f>
        <v>18135</v>
      </c>
      <c r="T278" s="43">
        <f ca="1">IFERROR(__xludf.DUMMYFUNCTION("""COMPUTED_VALUE"""),2856)</f>
        <v>2856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IFERROR(__xludf.DUMMYFUNCTION("""COMPUTED_VALUE"""),1809)</f>
        <v>1809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IFERROR(__xludf.DUMMYFUNCTION("""COMPUTED_VALUE"""),"A.A. COL GIRASSOL TEMPO INTEGRAL RAQUEL QUEIROZ")</f>
        <v>A.A. COL GIRASSOL TEMPO INTEGRAL RAQUEL QUEIROZ</v>
      </c>
      <c r="D279" s="36" t="str">
        <f ca="1">IFERROR(__xludf.DUMMYFUNCTION("""COMPUTED_VALUE"""),"13748657000183")</f>
        <v>13748657000183</v>
      </c>
      <c r="E279" s="37" t="str">
        <f ca="1">IFERROR(__xludf.DUMMYFUNCTION("""COMPUTED_VALUE"""),"001")</f>
        <v>001</v>
      </c>
      <c r="F279" s="38" t="str">
        <f ca="1">IFERROR(__xludf.DUMMYFUNCTION("""COMPUTED_VALUE"""),"1867")</f>
        <v>1867</v>
      </c>
      <c r="G279" s="38" t="str">
        <f ca="1">IFERROR(__xludf.DUMMYFUNCTION("""COMPUTED_VALUE"""),"856312")</f>
        <v>856312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IFERROR(__xludf.DUMMYFUNCTION("""COMPUTED_VALUE"""),0)</f>
        <v>0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IFERROR(__xludf.DUMMYFUNCTION("""COMPUTED_VALUE"""),441)</f>
        <v>441</v>
      </c>
      <c r="Q279" s="38">
        <f ca="1">IFERROR(__xludf.DUMMYFUNCTION("""COMPUTED_VALUE"""),15477)</f>
        <v>15477</v>
      </c>
      <c r="R279" s="38">
        <f ca="1">IFERROR(__xludf.DUMMYFUNCTION("""COMPUTED_VALUE"""),0)</f>
        <v>0</v>
      </c>
      <c r="S279" s="38">
        <f ca="1">IFERROR(__xludf.DUMMYFUNCTION("""COMPUTED_VALUE"""),0)</f>
        <v>0</v>
      </c>
      <c r="T279" s="38">
        <f ca="1">IFERROR(__xludf.DUMMYFUNCTION("""COMPUTED_VALUE"""),0)</f>
        <v>0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IFERROR(__xludf.DUMMYFUNCTION("""COMPUTED_VALUE"""),0)</f>
        <v>0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IFERROR(__xludf.DUMMYFUNCTION("""COMPUTED_VALUE"""),0)</f>
        <v>0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IFERROR(__xludf.DUMMYFUNCTION("""COMPUTED_VALUE"""),"ASSOCIAÇÃO DE APOIO DA ESCOLA ESPECIAL INTEGRAÇÃO DE PALMAS")</f>
        <v>ASSOCIAÇÃO DE APOIO DA ESCOLA ESPECIAL INTEGRAÇÃO DE PALMAS</v>
      </c>
      <c r="D280" s="41" t="str">
        <f ca="1">IFERROR(__xludf.DUMMYFUNCTION("""COMPUTED_VALUE"""),"07958777000102")</f>
        <v>07958777000102</v>
      </c>
      <c r="E280" s="42" t="str">
        <f ca="1">IFERROR(__xludf.DUMMYFUNCTION("""COMPUTED_VALUE"""),"001")</f>
        <v>001</v>
      </c>
      <c r="F280" s="43" t="str">
        <f ca="1">IFERROR(__xludf.DUMMYFUNCTION("""COMPUTED_VALUE"""),"1505")</f>
        <v>1505</v>
      </c>
      <c r="G280" s="43" t="str">
        <f ca="1">IFERROR(__xludf.DUMMYFUNCTION("""COMPUTED_VALUE"""),"385328")</f>
        <v>385328</v>
      </c>
      <c r="H280" s="43">
        <f ca="1">IFERROR(__xludf.DUMMYFUNCTION("""COMPUTED_VALUE"""),0)</f>
        <v>0</v>
      </c>
      <c r="I280" s="43">
        <f ca="1">IFERROR(__xludf.DUMMYFUNCTION("""COMPUTED_VALUE"""),588)</f>
        <v>588</v>
      </c>
      <c r="J280" s="43">
        <f ca="1">IFERROR(__xludf.DUMMYFUNCTION("""COMPUTED_VALUE"""),1113)</f>
        <v>1113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IFERROR(__xludf.DUMMYFUNCTION("""COMPUTED_VALUE"""),504)</f>
        <v>504</v>
      </c>
      <c r="Q280" s="43">
        <f ca="1">IFERROR(__xludf.DUMMYFUNCTION("""COMPUTED_VALUE"""),0)</f>
        <v>0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IFERROR(__xludf.DUMMYFUNCTION("""COMPUTED_VALUE"""),2289)</f>
        <v>2289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IFERROR(__xludf.DUMMYFUNCTION("""COMPUTED_VALUE"""),"A.COM. ESC. E. E.BEIRA RIO/PORTO NACIONAL")</f>
        <v>A.COM. ESC. E. E.BEIRA RIO/PORTO NACIONAL</v>
      </c>
      <c r="D281" s="36" t="str">
        <f ca="1">IFERROR(__xludf.DUMMYFUNCTION("""COMPUTED_VALUE"""),"01797298000175")</f>
        <v>01797298000175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IFERROR(__xludf.DUMMYFUNCTION("""COMPUTED_VALUE"""),"209929")</f>
        <v>209929</v>
      </c>
      <c r="H281" s="38">
        <f ca="1">IFERROR(__xludf.DUMMYFUNCTION("""COMPUTED_VALUE"""),0)</f>
        <v>0</v>
      </c>
      <c r="I281" s="38">
        <f ca="1">IFERROR(__xludf.DUMMYFUNCTION("""COMPUTED_VALUE"""),0)</f>
        <v>0</v>
      </c>
      <c r="J281" s="38">
        <f ca="1">IFERROR(__xludf.DUMMYFUNCTION("""COMPUTED_VALUE"""),16086)</f>
        <v>16086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IFERROR(__xludf.DUMMYFUNCTION("""COMPUTED_VALUE"""),0)</f>
        <v>0</v>
      </c>
      <c r="Q281" s="38">
        <f ca="1">IFERROR(__xludf.DUMMYFUNCTION("""COMPUTED_VALUE"""),10941)</f>
        <v>10941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IFERROR(__xludf.DUMMYFUNCTION("""COMPUTED_VALUE"""),1722)</f>
        <v>1722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IFERROR(__xludf.DUMMYFUNCTION("""COMPUTED_VALUE"""),"A.P.E M. DA ESC. EST. MADRE BELEM")</f>
        <v>A.P.E M. DA ESC. EST. MADRE BELEM</v>
      </c>
      <c r="D282" s="41" t="str">
        <f ca="1">IFERROR(__xludf.DUMMYFUNCTION("""COMPUTED_VALUE"""),"01034134000196")</f>
        <v>01034134000196</v>
      </c>
      <c r="E282" s="42" t="str">
        <f ca="1">IFERROR(__xludf.DUMMYFUNCTION("""COMPUTED_VALUE"""),"001")</f>
        <v>001</v>
      </c>
      <c r="F282" s="43" t="str">
        <f ca="1">IFERROR(__xludf.DUMMYFUNCTION("""COMPUTED_VALUE"""),"1886")</f>
        <v>1886</v>
      </c>
      <c r="G282" s="43" t="str">
        <f ca="1">IFERROR(__xludf.DUMMYFUNCTION("""COMPUTED_VALUE"""),"519855")</f>
        <v>519855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IFERROR(__xludf.DUMMYFUNCTION("""COMPUTED_VALUE"""),0)</f>
        <v>0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IFERROR(__xludf.DUMMYFUNCTION("""COMPUTED_VALUE"""),252)</f>
        <v>252</v>
      </c>
      <c r="Q282" s="43">
        <f ca="1">IFERROR(__xludf.DUMMYFUNCTION("""COMPUTED_VALUE"""),0)</f>
        <v>0</v>
      </c>
      <c r="R282" s="43">
        <f ca="1">IFERROR(__xludf.DUMMYFUNCTION("""COMPUTED_VALUE"""),0)</f>
        <v>0</v>
      </c>
      <c r="S282" s="43">
        <f ca="1">IFERROR(__xludf.DUMMYFUNCTION("""COMPUTED_VALUE"""),62384.3999999999)</f>
        <v>62384.3999999999</v>
      </c>
      <c r="T282" s="43">
        <f ca="1">IFERROR(__xludf.DUMMYFUNCTION("""COMPUTED_VALUE"""),0)</f>
        <v>0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IFERROR(__xludf.DUMMYFUNCTION("""COMPUTED_VALUE"""),6271.2)</f>
        <v>6271.2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IFERROR(__xludf.DUMMYFUNCTION("""COMPUTED_VALUE"""),"ACE UN.ESC. FREDEDERICO J. PEDRERA NETO")</f>
        <v>ACE UN.ESC. FREDEDERICO J. PEDRERA NETO</v>
      </c>
      <c r="D283" s="36" t="str">
        <f ca="1">IFERROR(__xludf.DUMMYFUNCTION("""COMPUTED_VALUE"""),"01862534000190")</f>
        <v>01862534000190</v>
      </c>
      <c r="E283" s="37" t="str">
        <f ca="1">IFERROR(__xludf.DUMMYFUNCTION("""COMPUTED_VALUE"""),"001")</f>
        <v>001</v>
      </c>
      <c r="F283" s="38" t="str">
        <f ca="1">IFERROR(__xludf.DUMMYFUNCTION("""COMPUTED_VALUE"""),"1867")</f>
        <v>1867</v>
      </c>
      <c r="G283" s="38" t="str">
        <f ca="1">IFERROR(__xludf.DUMMYFUNCTION("""COMPUTED_VALUE"""),"1079972")</f>
        <v>1079972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IFERROR(__xludf.DUMMYFUNCTION("""COMPUTED_VALUE"""),336)</f>
        <v>336</v>
      </c>
      <c r="Q283" s="38">
        <f ca="1">IFERROR(__xludf.DUMMYFUNCTION("""COMPUTED_VALUE"""),17745)</f>
        <v>17745</v>
      </c>
      <c r="R283" s="38">
        <f ca="1">IFERROR(__xludf.DUMMYFUNCTION("""COMPUTED_VALUE"""),0)</f>
        <v>0</v>
      </c>
      <c r="S283" s="38">
        <f ca="1">IFERROR(__xludf.DUMMYFUNCTION("""COMPUTED_VALUE"""),0)</f>
        <v>0</v>
      </c>
      <c r="T283" s="38">
        <f ca="1">IFERROR(__xludf.DUMMYFUNCTION("""COMPUTED_VALUE"""),2709)</f>
        <v>2709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IFERROR(__xludf.DUMMYFUNCTION("""COMPUTED_VALUE"""),0)</f>
        <v>0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IFERROR(__xludf.DUMMYFUNCTION("""COMPUTED_VALUE"""),"A.CONS.ESCOLAR E. EST.I GRAU LIBERDADE")</f>
        <v>A.CONS.ESCOLAR E. EST.I GRAU LIBERDADE</v>
      </c>
      <c r="D284" s="41" t="str">
        <f ca="1">IFERROR(__xludf.DUMMYFUNCTION("""COMPUTED_VALUE"""),"01936355000150")</f>
        <v>01936355000150</v>
      </c>
      <c r="E284" s="42" t="str">
        <f ca="1">IFERROR(__xludf.DUMMYFUNCTION("""COMPUTED_VALUE"""),"001")</f>
        <v>001</v>
      </c>
      <c r="F284" s="43" t="str">
        <f ca="1">IFERROR(__xludf.DUMMYFUNCTION("""COMPUTED_VALUE"""),"1505")</f>
        <v>1505</v>
      </c>
      <c r="G284" s="43" t="str">
        <f ca="1">IFERROR(__xludf.DUMMYFUNCTION("""COMPUTED_VALUE"""),"257028")</f>
        <v>257028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IFERROR(__xludf.DUMMYFUNCTION("""COMPUTED_VALUE"""),5166)</f>
        <v>5166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IFERROR(__xludf.DUMMYFUNCTION("""COMPUTED_VALUE"""),462)</f>
        <v>462</v>
      </c>
      <c r="Q284" s="43">
        <f ca="1">IFERROR(__xludf.DUMMYFUNCTION("""COMPUTED_VALUE"""),9828)</f>
        <v>9828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IFERROR(__xludf.DUMMYFUNCTION("""COMPUTED_VALUE"""),1743)</f>
        <v>1743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IFERROR(__xludf.DUMMYFUNCTION("""COMPUTED_VALUE"""),"ASSOC APOIO ESC EST MARIA DOS REIS ALVES BARROS")</f>
        <v>ASSOC APOIO ESC EST MARIA DOS REIS ALVES BARROS</v>
      </c>
      <c r="D285" s="36" t="str">
        <f ca="1">IFERROR(__xludf.DUMMYFUNCTION("""COMPUTED_VALUE"""),"08641263000191")</f>
        <v>08641263000191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IFERROR(__xludf.DUMMYFUNCTION("""COMPUTED_VALUE"""),"413666")</f>
        <v>413666</v>
      </c>
      <c r="H285" s="38">
        <f ca="1">IFERROR(__xludf.DUMMYFUNCTION("""COMPUTED_VALUE"""),0)</f>
        <v>0</v>
      </c>
      <c r="I285" s="38">
        <f ca="1">IFERROR(__xludf.DUMMYFUNCTION("""COMPUTED_VALUE"""),0)</f>
        <v>0</v>
      </c>
      <c r="J285" s="38">
        <f ca="1">IFERROR(__xludf.DUMMYFUNCTION("""COMPUTED_VALUE"""),21987)</f>
        <v>21987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IFERROR(__xludf.DUMMYFUNCTION("""COMPUTED_VALUE"""),1281)</f>
        <v>1281</v>
      </c>
      <c r="Q285" s="38">
        <f ca="1">IFERROR(__xludf.DUMMYFUNCTION("""COMPUTED_VALUE"""),12726)</f>
        <v>12726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IFERROR(__xludf.DUMMYFUNCTION("""COMPUTED_VALUE"""),3318)</f>
        <v>3318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IFERROR(__xludf.DUMMYFUNCTION("""COMPUTED_VALUE"""),"A.COM. DA ESC. EST. NOVO HORIZONTE")</f>
        <v>A.COM. DA ESC. EST. NOVO HORIZONTE</v>
      </c>
      <c r="D286" s="41" t="str">
        <f ca="1">IFERROR(__xludf.DUMMYFUNCTION("""COMPUTED_VALUE"""),"01221539000133")</f>
        <v>01221539000133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IFERROR(__xludf.DUMMYFUNCTION("""COMPUTED_VALUE"""),"351687")</f>
        <v>351687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IFERROR(__xludf.DUMMYFUNCTION("""COMPUTED_VALUE"""),6951)</f>
        <v>6951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IFERROR(__xludf.DUMMYFUNCTION("""COMPUTED_VALUE"""),693)</f>
        <v>693</v>
      </c>
      <c r="Q286" s="43">
        <f ca="1">IFERROR(__xludf.DUMMYFUNCTION("""COMPUTED_VALUE"""),8988)</f>
        <v>8988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IFERROR(__xludf.DUMMYFUNCTION("""COMPUTED_VALUE"""),840)</f>
        <v>840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IFERROR(__xludf.DUMMYFUNCTION("""COMPUTED_VALUE"""),"ASSOC.COMUNIDADE ESC. ESTADUAL RURAL ENTRE RIOS")</f>
        <v>ASSOC.COMUNIDADE ESC. ESTADUAL RURAL ENTRE RIOS</v>
      </c>
      <c r="D287" s="36" t="str">
        <f ca="1">IFERROR(__xludf.DUMMYFUNCTION("""COMPUTED_VALUE"""),"11257180000108")</f>
        <v>11257180000108</v>
      </c>
      <c r="E287" s="37" t="str">
        <f ca="1">IFERROR(__xludf.DUMMYFUNCTION("""COMPUTED_VALUE"""),"001")</f>
        <v>001</v>
      </c>
      <c r="F287" s="38" t="str">
        <f ca="1">IFERROR(__xludf.DUMMYFUNCTION("""COMPUTED_VALUE"""),"1886")</f>
        <v>1886</v>
      </c>
      <c r="G287" s="38" t="str">
        <f ca="1">IFERROR(__xludf.DUMMYFUNCTION("""COMPUTED_VALUE"""),"1464884")</f>
        <v>1464884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IFERROR(__xludf.DUMMYFUNCTION("""COMPUTED_VALUE"""),0)</f>
        <v>0</v>
      </c>
      <c r="K287" s="38">
        <f ca="1">IFERROR(__xludf.DUMMYFUNCTION("""COMPUTED_VALUE"""),3057.6)</f>
        <v>3057.6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IFERROR(__xludf.DUMMYFUNCTION("""COMPUTED_VALUE"""),0)</f>
        <v>0</v>
      </c>
      <c r="Q287" s="38">
        <f ca="1">IFERROR(__xludf.DUMMYFUNCTION("""COMPUTED_VALUE"""),0)</f>
        <v>0</v>
      </c>
      <c r="R287" s="38">
        <f ca="1">IFERROR(__xludf.DUMMYFUNCTION("""COMPUTED_VALUE"""),0)</f>
        <v>0</v>
      </c>
      <c r="S287" s="38">
        <f ca="1">IFERROR(__xludf.DUMMYFUNCTION("""COMPUTED_VALUE"""),0)</f>
        <v>0</v>
      </c>
      <c r="T287" s="38">
        <f ca="1">IFERROR(__xludf.DUMMYFUNCTION("""COMPUTED_VALUE"""),0)</f>
        <v>0</v>
      </c>
      <c r="U287" s="38">
        <f ca="1">IFERROR(__xludf.DUMMYFUNCTION("""COMPUTED_VALUE"""),0)</f>
        <v>0</v>
      </c>
      <c r="V287" s="38">
        <f ca="1">IFERROR(__xludf.DUMMYFUNCTION("""COMPUTED_VALUE"""),5803.2)</f>
        <v>5803.2</v>
      </c>
      <c r="W287" s="38">
        <f ca="1">IFERROR(__xludf.DUMMYFUNCTION("""COMPUTED_VALUE"""),0)</f>
        <v>0</v>
      </c>
      <c r="X287" s="38">
        <f ca="1">IFERROR(__xludf.DUMMYFUNCTION("""COMPUTED_VALUE"""),0)</f>
        <v>0</v>
      </c>
      <c r="Y287" s="38">
        <f ca="1">IFERROR(__xludf.DUMMYFUNCTION("""COMPUTED_VALUE"""),510.599999999999)</f>
        <v>510.599999999999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IFERROR(__xludf.DUMMYFUNCTION("""COMPUTED_VALUE"""),"A.A. DA COM. ESCOLAR - ESC. EST. SANTA FE")</f>
        <v>A.A. DA COM. ESCOLAR - ESC. EST. SANTA FE</v>
      </c>
      <c r="D288" s="41" t="str">
        <f ca="1">IFERROR(__xludf.DUMMYFUNCTION("""COMPUTED_VALUE"""),"01932049000145")</f>
        <v>01932049000145</v>
      </c>
      <c r="E288" s="42" t="str">
        <f ca="1">IFERROR(__xludf.DUMMYFUNCTION("""COMPUTED_VALUE"""),"001")</f>
        <v>001</v>
      </c>
      <c r="F288" s="43" t="str">
        <f ca="1">IFERROR(__xludf.DUMMYFUNCTION("""COMPUTED_VALUE"""),"2781")</f>
        <v>2781</v>
      </c>
      <c r="G288" s="43" t="str">
        <f ca="1">IFERROR(__xludf.DUMMYFUNCTION("""COMPUTED_VALUE"""),"261904")</f>
        <v>261904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IFERROR(__xludf.DUMMYFUNCTION("""COMPUTED_VALUE"""),0)</f>
        <v>0</v>
      </c>
      <c r="Q288" s="43">
        <f ca="1">IFERROR(__xludf.DUMMYFUNCTION("""COMPUTED_VALUE"""),0)</f>
        <v>0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IFERROR(__xludf.DUMMYFUNCTION("""COMPUTED_VALUE"""),0)</f>
        <v>0</v>
      </c>
      <c r="U288" s="43">
        <f ca="1">IFERROR(__xludf.DUMMYFUNCTION("""COMPUTED_VALUE"""),0)</f>
        <v>0</v>
      </c>
      <c r="V288" s="43">
        <f ca="1">IFERROR(__xludf.DUMMYFUNCTION("""COMPUTED_VALUE"""),0)</f>
        <v>0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IFERROR(__xludf.DUMMYFUNCTION("""COMPUTED_VALUE"""),0)</f>
        <v>0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IFERROR(__xludf.DUMMYFUNCTION("""COMPUTED_VALUE"""),"A.COMUN.ESCOLA-DA ESC. EST. SETOR SUL")</f>
        <v>A.COMUN.ESCOLA-DA ESC. EST. SETOR SUL</v>
      </c>
      <c r="D289" s="36" t="str">
        <f ca="1">IFERROR(__xludf.DUMMYFUNCTION("""COMPUTED_VALUE"""),"01926545000196")</f>
        <v>01926545000196</v>
      </c>
      <c r="E289" s="37" t="str">
        <f ca="1">IFERROR(__xludf.DUMMYFUNCTION("""COMPUTED_VALUE"""),"001")</f>
        <v>001</v>
      </c>
      <c r="F289" s="38" t="str">
        <f ca="1">IFERROR(__xludf.DUMMYFUNCTION("""COMPUTED_VALUE"""),"1505")</f>
        <v>1505</v>
      </c>
      <c r="G289" s="38" t="str">
        <f ca="1">IFERROR(__xludf.DUMMYFUNCTION("""COMPUTED_VALUE"""),"258105")</f>
        <v>258105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IFERROR(__xludf.DUMMYFUNCTION("""COMPUTED_VALUE"""),5355)</f>
        <v>5355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IFERROR(__xludf.DUMMYFUNCTION("""COMPUTED_VALUE"""),252)</f>
        <v>252</v>
      </c>
      <c r="Q289" s="38">
        <f ca="1">IFERROR(__xludf.DUMMYFUNCTION("""COMPUTED_VALUE"""),7182)</f>
        <v>7182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IFERROR(__xludf.DUMMYFUNCTION("""COMPUTED_VALUE"""),189)</f>
        <v>189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IFERROR(__xludf.DUMMYFUNCTION("""COMPUTED_VALUE"""),"A.COMUNIDADE ESCOLA/E. EST. VALE DO SOL")</f>
        <v>A.COMUNIDADE ESCOLA/E. EST. VALE DO SOL</v>
      </c>
      <c r="D290" s="41" t="str">
        <f ca="1">IFERROR(__xludf.DUMMYFUNCTION("""COMPUTED_VALUE"""),"01873442000105")</f>
        <v>01873442000105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IFERROR(__xludf.DUMMYFUNCTION("""COMPUTED_VALUE"""),"256404")</f>
        <v>256404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IFERROR(__xludf.DUMMYFUNCTION("""COMPUTED_VALUE"""),3108)</f>
        <v>3108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IFERROR(__xludf.DUMMYFUNCTION("""COMPUTED_VALUE"""),210)</f>
        <v>210</v>
      </c>
      <c r="Q290" s="43">
        <f ca="1">IFERROR(__xludf.DUMMYFUNCTION("""COMPUTED_VALUE"""),7623)</f>
        <v>7623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IFERROR(__xludf.DUMMYFUNCTION("""COMPUTED_VALUE"""),0)</f>
        <v>0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IFERROR(__xludf.DUMMYFUNCTION("""COMPUTED_VALUE"""),"A.P.M.DA ESC. EST. DE I GRAU VILA UNIAO")</f>
        <v>A.P.M.DA ESC. EST. DE I GRAU VILA UNIAO</v>
      </c>
      <c r="D291" s="36" t="str">
        <f ca="1">IFERROR(__xludf.DUMMYFUNCTION("""COMPUTED_VALUE"""),"01926551000143")</f>
        <v>01926551000143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IFERROR(__xludf.DUMMYFUNCTION("""COMPUTED_VALUE"""),"255734")</f>
        <v>255734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IFERROR(__xludf.DUMMYFUNCTION("""COMPUTED_VALUE"""),6447)</f>
        <v>6447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IFERROR(__xludf.DUMMYFUNCTION("""COMPUTED_VALUE"""),315)</f>
        <v>315</v>
      </c>
      <c r="Q291" s="38">
        <f ca="1">IFERROR(__xludf.DUMMYFUNCTION("""COMPUTED_VALUE"""),3213)</f>
        <v>3213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IFERROR(__xludf.DUMMYFUNCTION("""COMPUTED_VALUE"""),0)</f>
        <v>0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IFERROR(__xludf.DUMMYFUNCTION("""COMPUTED_VALUE"""),"AÇÃO SOCIAL JESUS DE NAZARÉ/ESC JOÃO PAULO II")</f>
        <v>AÇÃO SOCIAL JESUS DE NAZARÉ/ESC JOÃO PAULO II</v>
      </c>
      <c r="D292" s="41" t="str">
        <f ca="1">IFERROR(__xludf.DUMMYFUNCTION("""COMPUTED_VALUE"""),"03005522000174")</f>
        <v>03005522000174</v>
      </c>
      <c r="E292" s="42" t="str">
        <f ca="1">IFERROR(__xludf.DUMMYFUNCTION("""COMPUTED_VALUE"""),"001")</f>
        <v>001</v>
      </c>
      <c r="F292" s="43" t="str">
        <f ca="1">IFERROR(__xludf.DUMMYFUNCTION("""COMPUTED_VALUE"""),"1505")</f>
        <v>1505</v>
      </c>
      <c r="G292" s="43" t="str">
        <f ca="1">IFERROR(__xludf.DUMMYFUNCTION("""COMPUTED_VALUE"""),"423475")</f>
        <v>423475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IFERROR(__xludf.DUMMYFUNCTION("""COMPUTED_VALUE"""),2415)</f>
        <v>2415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IFERROR(__xludf.DUMMYFUNCTION("""COMPUTED_VALUE"""),0)</f>
        <v>0</v>
      </c>
      <c r="Q292" s="43">
        <f ca="1">IFERROR(__xludf.DUMMYFUNCTION("""COMPUTED_VALUE"""),0)</f>
        <v>0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IFERROR(__xludf.DUMMYFUNCTION("""COMPUTED_VALUE"""),0)</f>
        <v>0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IFERROR(__xludf.DUMMYFUNCTION("""COMPUTED_VALUE"""),0)</f>
        <v>0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IFERROR(__xludf.DUMMYFUNCTION("""COMPUTED_VALUE"""),"A.A. DO INST.PRESB.EDUC.SOC.REV.ROBERT CA")</f>
        <v>A.A. DO INST.PRESB.EDUC.SOC.REV.ROBERT CA</v>
      </c>
      <c r="D293" s="36" t="str">
        <f ca="1">IFERROR(__xludf.DUMMYFUNCTION("""COMPUTED_VALUE"""),"05470057000178")</f>
        <v>05470057000178</v>
      </c>
      <c r="E293" s="37" t="str">
        <f ca="1">IFERROR(__xludf.DUMMYFUNCTION("""COMPUTED_VALUE"""),"001")</f>
        <v>001</v>
      </c>
      <c r="F293" s="38" t="str">
        <f ca="1">IFERROR(__xludf.DUMMYFUNCTION("""COMPUTED_VALUE"""),"1505")</f>
        <v>1505</v>
      </c>
      <c r="G293" s="38" t="str">
        <f ca="1">IFERROR(__xludf.DUMMYFUNCTION("""COMPUTED_VALUE"""),"45110X")</f>
        <v>45110X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IFERROR(__xludf.DUMMYFUNCTION("""COMPUTED_VALUE"""),9534)</f>
        <v>9534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IFERROR(__xludf.DUMMYFUNCTION("""COMPUTED_VALUE"""),0)</f>
        <v>0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IFERROR(__xludf.DUMMYFUNCTION("""COMPUTED_VALUE"""),"Rio Sono")</f>
        <v>Rio Sono</v>
      </c>
      <c r="C294" s="40" t="str">
        <f ca="1">IFERROR(__xludf.DUMMYFUNCTION("""COMPUTED_VALUE"""),"A. DE PAIS E MESTRES DO COL. EST.RIO SONO")</f>
        <v>A. DE PAIS E MESTRES DO COL. EST.RIO SONO</v>
      </c>
      <c r="D294" s="41" t="str">
        <f ca="1">IFERROR(__xludf.DUMMYFUNCTION("""COMPUTED_VALUE"""),"01184376000166")</f>
        <v>01184376000166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IFERROR(__xludf.DUMMYFUNCTION("""COMPUTED_VALUE"""),"530042")</f>
        <v>530042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IFERROR(__xludf.DUMMYFUNCTION("""COMPUTED_VALUE"""),3717)</f>
        <v>3717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IFERROR(__xludf.DUMMYFUNCTION("""COMPUTED_VALUE"""),1218)</f>
        <v>1218</v>
      </c>
      <c r="Q294" s="43">
        <f ca="1">IFERROR(__xludf.DUMMYFUNCTION("""COMPUTED_VALUE"""),4032)</f>
        <v>4032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IFERROR(__xludf.DUMMYFUNCTION("""COMPUTED_VALUE"""),0)</f>
        <v>0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IFERROR(__xludf.DUMMYFUNCTION("""COMPUTED_VALUE"""),"Rio Sono")</f>
        <v>Rio Sono</v>
      </c>
      <c r="C295" s="35" t="str">
        <f ca="1">IFERROR(__xludf.DUMMYFUNCTION("""COMPUTED_VALUE"""),"A.A.  ESCOLA EST. IMACULADA CONCEICAO")</f>
        <v>A.A.  ESCOLA EST. IMACULADA CONCEICAO</v>
      </c>
      <c r="D295" s="36" t="str">
        <f ca="1">IFERROR(__xludf.DUMMYFUNCTION("""COMPUTED_VALUE"""),"01197175000101")</f>
        <v>01197175000101</v>
      </c>
      <c r="E295" s="37" t="str">
        <f ca="1">IFERROR(__xludf.DUMMYFUNCTION("""COMPUTED_VALUE"""),"001")</f>
        <v>001</v>
      </c>
      <c r="F295" s="38" t="str">
        <f ca="1">IFERROR(__xludf.DUMMYFUNCTION("""COMPUTED_VALUE"""),"0862")</f>
        <v>0862</v>
      </c>
      <c r="G295" s="38" t="str">
        <f ca="1">IFERROR(__xludf.DUMMYFUNCTION("""COMPUTED_VALUE"""),"161497")</f>
        <v>161497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IFERROR(__xludf.DUMMYFUNCTION("""COMPUTED_VALUE"""),1260)</f>
        <v>1260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IFERROR(__xludf.DUMMYFUNCTION("""COMPUTED_VALUE"""),0)</f>
        <v>0</v>
      </c>
      <c r="Q295" s="38">
        <f ca="1">IFERROR(__xludf.DUMMYFUNCTION("""COMPUTED_VALUE"""),1113)</f>
        <v>1113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IFERROR(__xludf.DUMMYFUNCTION("""COMPUTED_VALUE"""),"Santa Tereza do Tocantins")</f>
        <v>Santa Tereza do Tocantins</v>
      </c>
      <c r="C296" s="40" t="str">
        <f ca="1">IFERROR(__xludf.DUMMYFUNCTION("""COMPUTED_VALUE"""),"A.A. C.EST. MANOEL S.DOURADO")</f>
        <v>A.A. C.EST. MANOEL S.DOURADO</v>
      </c>
      <c r="D296" s="41" t="str">
        <f ca="1">IFERROR(__xludf.DUMMYFUNCTION("""COMPUTED_VALUE"""),"01136013000155")</f>
        <v>01136013000155</v>
      </c>
      <c r="E296" s="42" t="str">
        <f ca="1">IFERROR(__xludf.DUMMYFUNCTION("""COMPUTED_VALUE"""),"001")</f>
        <v>001</v>
      </c>
      <c r="F296" s="43" t="str">
        <f ca="1">IFERROR(__xludf.DUMMYFUNCTION("""COMPUTED_VALUE"""),"1117")</f>
        <v>1117</v>
      </c>
      <c r="G296" s="43" t="str">
        <f ca="1">IFERROR(__xludf.DUMMYFUNCTION("""COMPUTED_VALUE"""),"313033")</f>
        <v>313033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IFERROR(__xludf.DUMMYFUNCTION("""COMPUTED_VALUE"""),2205)</f>
        <v>2205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IFERROR(__xludf.DUMMYFUNCTION("""COMPUTED_VALUE"""),0)</f>
        <v>0</v>
      </c>
      <c r="Q296" s="43">
        <f ca="1">IFERROR(__xludf.DUMMYFUNCTION("""COMPUTED_VALUE"""),3045)</f>
        <v>3045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IFERROR(__xludf.DUMMYFUNCTION("""COMPUTED_VALUE"""),"Sao Felix do Tocantins")</f>
        <v>Sao Felix do Tocantins</v>
      </c>
      <c r="C297" s="35" t="str">
        <f ca="1">IFERROR(__xludf.DUMMYFUNCTION("""COMPUTED_VALUE"""),"A. DE AP.ESC. EST. SAGRADO CORACAO DE JESUS")</f>
        <v>A. DE AP.ESC. EST. SAGRADO CORACAO DE JESUS</v>
      </c>
      <c r="D297" s="36" t="str">
        <f ca="1">IFERROR(__xludf.DUMMYFUNCTION("""COMPUTED_VALUE"""),"01656550000126")</f>
        <v>01656550000126</v>
      </c>
      <c r="E297" s="37" t="str">
        <f ca="1">IFERROR(__xludf.DUMMYFUNCTION("""COMPUTED_VALUE"""),"001")</f>
        <v>001</v>
      </c>
      <c r="F297" s="38" t="str">
        <f ca="1">IFERROR(__xludf.DUMMYFUNCTION("""COMPUTED_VALUE"""),"3962")</f>
        <v>3962</v>
      </c>
      <c r="G297" s="38" t="str">
        <f ca="1">IFERROR(__xludf.DUMMYFUNCTION("""COMPUTED_VALUE"""),"147605")</f>
        <v>147605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IFERROR(__xludf.DUMMYFUNCTION("""COMPUTED_VALUE"""),4473)</f>
        <v>4473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IFERROR(__xludf.DUMMYFUNCTION("""COMPUTED_VALUE"""),0)</f>
        <v>0</v>
      </c>
      <c r="Q297" s="38">
        <f ca="1">IFERROR(__xludf.DUMMYFUNCTION("""COMPUTED_VALUE"""),2457)</f>
        <v>2457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IFERROR(__xludf.DUMMYFUNCTION("""COMPUTED_VALUE"""),"Paraíso")</f>
        <v>Paraíso</v>
      </c>
      <c r="B298" s="39" t="str">
        <f ca="1">IFERROR(__xludf.DUMMYFUNCTION("""COMPUTED_VALUE"""),"Abreulandia")</f>
        <v>Abreulandia</v>
      </c>
      <c r="C298" s="40" t="str">
        <f ca="1">IFERROR(__xludf.DUMMYFUNCTION("""COMPUTED_VALUE"""),"ASS. DE APOIO DA ESCOLA EST. SAO PEDRO")</f>
        <v>ASS. DE APOIO DA ESCOLA EST. SAO PEDRO</v>
      </c>
      <c r="D298" s="41" t="str">
        <f ca="1">IFERROR(__xludf.DUMMYFUNCTION("""COMPUTED_VALUE"""),"01071408000117")</f>
        <v>01071408000117</v>
      </c>
      <c r="E298" s="42" t="str">
        <f ca="1">IFERROR(__xludf.DUMMYFUNCTION("""COMPUTED_VALUE"""),"001")</f>
        <v>001</v>
      </c>
      <c r="F298" s="43" t="str">
        <f ca="1">IFERROR(__xludf.DUMMYFUNCTION("""COMPUTED_VALUE"""),"0804")</f>
        <v>0804</v>
      </c>
      <c r="G298" s="43" t="str">
        <f ca="1">IFERROR(__xludf.DUMMYFUNCTION("""COMPUTED_VALUE"""),"286893")</f>
        <v>286893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IFERROR(__xludf.DUMMYFUNCTION("""COMPUTED_VALUE"""),2247)</f>
        <v>2247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IFERROR(__xludf.DUMMYFUNCTION("""COMPUTED_VALUE"""),2772)</f>
        <v>2772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IFERROR(__xludf.DUMMYFUNCTION("""COMPUTED_VALUE"""),210)</f>
        <v>210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IFERROR(__xludf.DUMMYFUNCTION("""COMPUTED_VALUE"""),"Paraíso")</f>
        <v>Paraíso</v>
      </c>
      <c r="B299" s="34" t="str">
        <f ca="1">IFERROR(__xludf.DUMMYFUNCTION("""COMPUTED_VALUE"""),"Araguacema")</f>
        <v>Araguacema</v>
      </c>
      <c r="C299" s="35" t="str">
        <f ca="1">IFERROR(__xludf.DUMMYFUNCTION("""COMPUTED_VALUE"""),"ASSOC. DE APOIO AO COL. EST. DE ARAGUACEMA")</f>
        <v>ASSOC. DE APOIO AO COL. EST. DE ARAGUACEMA</v>
      </c>
      <c r="D299" s="36" t="str">
        <f ca="1">IFERROR(__xludf.DUMMYFUNCTION("""COMPUTED_VALUE"""),"01187107000153")</f>
        <v>01187107000153</v>
      </c>
      <c r="E299" s="37" t="str">
        <f ca="1">IFERROR(__xludf.DUMMYFUNCTION("""COMPUTED_VALUE"""),"001")</f>
        <v>001</v>
      </c>
      <c r="F299" s="38" t="str">
        <f ca="1">IFERROR(__xludf.DUMMYFUNCTION("""COMPUTED_VALUE"""),"0804")</f>
        <v>0804</v>
      </c>
      <c r="G299" s="38" t="str">
        <f ca="1">IFERROR(__xludf.DUMMYFUNCTION("""COMPUTED_VALUE"""),"286532")</f>
        <v>286532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IFERROR(__xludf.DUMMYFUNCTION("""COMPUTED_VALUE"""),2142)</f>
        <v>2142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IFERROR(__xludf.DUMMYFUNCTION("""COMPUTED_VALUE"""),0)</f>
        <v>0</v>
      </c>
      <c r="Q299" s="38">
        <f ca="1">IFERROR(__xludf.DUMMYFUNCTION("""COMPUTED_VALUE"""),6510)</f>
        <v>6510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IFERROR(__xludf.DUMMYFUNCTION("""COMPUTED_VALUE"""),0)</f>
        <v>0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IFERROR(__xludf.DUMMYFUNCTION("""COMPUTED_VALUE"""),"Paraíso")</f>
        <v>Paraíso</v>
      </c>
      <c r="B300" s="39" t="str">
        <f ca="1">IFERROR(__xludf.DUMMYFUNCTION("""COMPUTED_VALUE"""),"Araguacema")</f>
        <v>Araguacema</v>
      </c>
      <c r="C300" s="40" t="str">
        <f ca="1">IFERROR(__xludf.DUMMYFUNCTION("""COMPUTED_VALUE"""),"ASSOC. DE APOIO COLEGIO MENNO SIMONS")</f>
        <v>ASSOC. DE APOIO COLEGIO MENNO SIMONS</v>
      </c>
      <c r="D300" s="41" t="str">
        <f ca="1">IFERROR(__xludf.DUMMYFUNCTION("""COMPUTED_VALUE"""),"01138321000110")</f>
        <v>01138321000110</v>
      </c>
      <c r="E300" s="42" t="str">
        <f ca="1">IFERROR(__xludf.DUMMYFUNCTION("""COMPUTED_VALUE"""),"001")</f>
        <v>001</v>
      </c>
      <c r="F300" s="43" t="str">
        <f ca="1">IFERROR(__xludf.DUMMYFUNCTION("""COMPUTED_VALUE"""),"0804")</f>
        <v>0804</v>
      </c>
      <c r="G300" s="43" t="str">
        <f ca="1">IFERROR(__xludf.DUMMYFUNCTION("""COMPUTED_VALUE"""),"300764")</f>
        <v>300764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IFERROR(__xludf.DUMMYFUNCTION("""COMPUTED_VALUE"""),3927)</f>
        <v>3927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IFERROR(__xludf.DUMMYFUNCTION("""COMPUTED_VALUE"""),0)</f>
        <v>0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IFERROR(__xludf.DUMMYFUNCTION("""COMPUTED_VALUE"""),"Paraíso")</f>
        <v>Paraíso</v>
      </c>
      <c r="B301" s="34" t="str">
        <f ca="1">IFERROR(__xludf.DUMMYFUNCTION("""COMPUTED_VALUE"""),"Barrolandia")</f>
        <v>Barrolandia</v>
      </c>
      <c r="C301" s="35" t="str">
        <f ca="1">IFERROR(__xludf.DUMMYFUNCTION("""COMPUTED_VALUE"""),"ASSOC. DE A. DO COL. EST. PRES. TANCREDO NEVES")</f>
        <v>ASSOC. DE A. DO COL. EST. PRES. TANCREDO NEVES</v>
      </c>
      <c r="D301" s="36" t="str">
        <f ca="1">IFERROR(__xludf.DUMMYFUNCTION("""COMPUTED_VALUE"""),"01086975000147")</f>
        <v>01086975000147</v>
      </c>
      <c r="E301" s="37" t="str">
        <f ca="1">IFERROR(__xludf.DUMMYFUNCTION("""COMPUTED_VALUE"""),"001")</f>
        <v>001</v>
      </c>
      <c r="F301" s="38" t="str">
        <f ca="1">IFERROR(__xludf.DUMMYFUNCTION("""COMPUTED_VALUE"""),"0862")</f>
        <v>0862</v>
      </c>
      <c r="G301" s="38" t="str">
        <f ca="1">IFERROR(__xludf.DUMMYFUNCTION("""COMPUTED_VALUE"""),"244155")</f>
        <v>244155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IFERROR(__xludf.DUMMYFUNCTION("""COMPUTED_VALUE"""),0)</f>
        <v>0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IFERROR(__xludf.DUMMYFUNCTION("""COMPUTED_VALUE"""),0)</f>
        <v>0</v>
      </c>
      <c r="Q301" s="38">
        <f ca="1">IFERROR(__xludf.DUMMYFUNCTION("""COMPUTED_VALUE"""),0)</f>
        <v>0</v>
      </c>
      <c r="R301" s="38">
        <f ca="1">IFERROR(__xludf.DUMMYFUNCTION("""COMPUTED_VALUE"""),0)</f>
        <v>0</v>
      </c>
      <c r="S301" s="38">
        <f ca="1">IFERROR(__xludf.DUMMYFUNCTION("""COMPUTED_VALUE"""),9269)</f>
        <v>9269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IFERROR(__xludf.DUMMYFUNCTION("""COMPUTED_VALUE"""),964.8)</f>
        <v>964.8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IFERROR(__xludf.DUMMYFUNCTION("""COMPUTED_VALUE"""),"Paraíso")</f>
        <v>Paraíso</v>
      </c>
      <c r="B302" s="39" t="str">
        <f ca="1">IFERROR(__xludf.DUMMYFUNCTION("""COMPUTED_VALUE"""),"Barrolandia")</f>
        <v>Barrolandia</v>
      </c>
      <c r="C302" s="40" t="str">
        <f ca="1">IFERROR(__xludf.DUMMYFUNCTION("""COMPUTED_VALUE"""),"A..A. ESC. ESPECIAL AMOR DE DEUS")</f>
        <v>A..A. ESC. ESPECIAL AMOR DE DEUS</v>
      </c>
      <c r="D302" s="41" t="str">
        <f ca="1">IFERROR(__xludf.DUMMYFUNCTION("""COMPUTED_VALUE"""),"07935641000187")</f>
        <v>07935641000187</v>
      </c>
      <c r="E302" s="42" t="str">
        <f ca="1">IFERROR(__xludf.DUMMYFUNCTION("""COMPUTED_VALUE"""),"001")</f>
        <v>001</v>
      </c>
      <c r="F302" s="43" t="str">
        <f ca="1">IFERROR(__xludf.DUMMYFUNCTION("""COMPUTED_VALUE"""),"0804")</f>
        <v>0804</v>
      </c>
      <c r="G302" s="43" t="str">
        <f ca="1">IFERROR(__xludf.DUMMYFUNCTION("""COMPUTED_VALUE"""),"279501")</f>
        <v>279501</v>
      </c>
      <c r="H302" s="43">
        <f ca="1">IFERROR(__xludf.DUMMYFUNCTION("""COMPUTED_VALUE"""),0)</f>
        <v>0</v>
      </c>
      <c r="I302" s="43">
        <f ca="1">IFERROR(__xludf.DUMMYFUNCTION("""COMPUTED_VALUE"""),273)</f>
        <v>273</v>
      </c>
      <c r="J302" s="43">
        <f ca="1">IFERROR(__xludf.DUMMYFUNCTION("""COMPUTED_VALUE"""),210)</f>
        <v>210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IFERROR(__xludf.DUMMYFUNCTION("""COMPUTED_VALUE"""),252)</f>
        <v>252</v>
      </c>
      <c r="Q302" s="43">
        <f ca="1">IFERROR(__xludf.DUMMYFUNCTION("""COMPUTED_VALUE"""),0)</f>
        <v>0</v>
      </c>
      <c r="R302" s="43">
        <f ca="1">IFERROR(__xludf.DUMMYFUNCTION("""COMPUTED_VALUE"""),0)</f>
        <v>0</v>
      </c>
      <c r="S302" s="43">
        <f ca="1">IFERROR(__xludf.DUMMYFUNCTION("""COMPUTED_VALUE"""),0)</f>
        <v>0</v>
      </c>
      <c r="T302" s="43">
        <f ca="1">IFERROR(__xludf.DUMMYFUNCTION("""COMPUTED_VALUE"""),546)</f>
        <v>546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IFERROR(__xludf.DUMMYFUNCTION("""COMPUTED_VALUE"""),0)</f>
        <v>0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IFERROR(__xludf.DUMMYFUNCTION("""COMPUTED_VALUE"""),"Barrolandia")</f>
        <v>Barrolandia</v>
      </c>
      <c r="C303" s="35" t="str">
        <f ca="1">IFERROR(__xludf.DUMMYFUNCTION("""COMPUTED_VALUE"""),"ASS. APOIO DA ESC EST PAULINA CAMARA")</f>
        <v>ASS. APOIO DA ESC EST PAULINA CAMARA</v>
      </c>
      <c r="D303" s="36" t="str">
        <f ca="1">IFERROR(__xludf.DUMMYFUNCTION("""COMPUTED_VALUE"""),"01071402000140")</f>
        <v>01071402000140</v>
      </c>
      <c r="E303" s="37" t="str">
        <f ca="1">IFERROR(__xludf.DUMMYFUNCTION("""COMPUTED_VALUE"""),"001")</f>
        <v>001</v>
      </c>
      <c r="F303" s="38" t="str">
        <f ca="1">IFERROR(__xludf.DUMMYFUNCTION("""COMPUTED_VALUE"""),"0862")</f>
        <v>0862</v>
      </c>
      <c r="G303" s="38" t="str">
        <f ca="1">IFERROR(__xludf.DUMMYFUNCTION("""COMPUTED_VALUE"""),"68926")</f>
        <v>68926</v>
      </c>
      <c r="H303" s="38">
        <f ca="1">IFERROR(__xludf.DUMMYFUNCTION("""COMPUTED_VALUE"""),0)</f>
        <v>0</v>
      </c>
      <c r="I303" s="38">
        <f ca="1">IFERROR(__xludf.DUMMYFUNCTION("""COMPUTED_VALUE"""),0)</f>
        <v>0</v>
      </c>
      <c r="J303" s="38">
        <f ca="1">IFERROR(__xludf.DUMMYFUNCTION("""COMPUTED_VALUE"""),5376)</f>
        <v>5376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IFERROR(__xludf.DUMMYFUNCTION("""COMPUTED_VALUE"""),210)</f>
        <v>210</v>
      </c>
      <c r="Q303" s="38">
        <f ca="1">IFERROR(__xludf.DUMMYFUNCTION("""COMPUTED_VALUE"""),0)</f>
        <v>0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IFERROR(__xludf.DUMMYFUNCTION("""COMPUTED_VALUE"""),0)</f>
        <v>0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IFERROR(__xludf.DUMMYFUNCTION("""COMPUTED_VALUE"""),"Barrolandia")</f>
        <v>Barrolandia</v>
      </c>
      <c r="C304" s="40" t="str">
        <f ca="1">IFERROR(__xludf.DUMMYFUNCTION("""COMPUTED_VALUE"""),"A.A. COLEGIO ESTADUAL COSTA E SILVA")</f>
        <v>A.A. COLEGIO ESTADUAL COSTA E SILVA</v>
      </c>
      <c r="D304" s="41" t="str">
        <f ca="1">IFERROR(__xludf.DUMMYFUNCTION("""COMPUTED_VALUE"""),"01100434000126")</f>
        <v>01100434000126</v>
      </c>
      <c r="E304" s="42" t="str">
        <f ca="1">IFERROR(__xludf.DUMMYFUNCTION("""COMPUTED_VALUE"""),"001")</f>
        <v>001</v>
      </c>
      <c r="F304" s="43" t="str">
        <f ca="1">IFERROR(__xludf.DUMMYFUNCTION("""COMPUTED_VALUE"""),"0862")</f>
        <v>0862</v>
      </c>
      <c r="G304" s="43" t="str">
        <f ca="1">IFERROR(__xludf.DUMMYFUNCTION("""COMPUTED_VALUE"""),"68942")</f>
        <v>68942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IFERROR(__xludf.DUMMYFUNCTION("""COMPUTED_VALUE"""),2205)</f>
        <v>2205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IFERROR(__xludf.DUMMYFUNCTION("""COMPUTED_VALUE"""),0)</f>
        <v>0</v>
      </c>
      <c r="Q304" s="43">
        <f ca="1">IFERROR(__xludf.DUMMYFUNCTION("""COMPUTED_VALUE"""),2268)</f>
        <v>2268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IFERROR(__xludf.DUMMYFUNCTION("""COMPUTED_VALUE"""),"Caseara")</f>
        <v>Caseara</v>
      </c>
      <c r="C305" s="35" t="str">
        <f ca="1">IFERROR(__xludf.DUMMYFUNCTION("""COMPUTED_VALUE"""),"A.A. AO COLEGIO EST. TRAJANO DE ALMEIDA")</f>
        <v>A.A. AO COLEGIO EST. TRAJANO DE ALMEIDA</v>
      </c>
      <c r="D305" s="36" t="str">
        <f ca="1">IFERROR(__xludf.DUMMYFUNCTION("""COMPUTED_VALUE"""),"01136037000104")</f>
        <v>01136037000104</v>
      </c>
      <c r="E305" s="37" t="str">
        <f ca="1">IFERROR(__xludf.DUMMYFUNCTION("""COMPUTED_VALUE"""),"001")</f>
        <v>001</v>
      </c>
      <c r="F305" s="38" t="str">
        <f ca="1">IFERROR(__xludf.DUMMYFUNCTION("""COMPUTED_VALUE"""),"0804")</f>
        <v>0804</v>
      </c>
      <c r="G305" s="38" t="str">
        <f ca="1">IFERROR(__xludf.DUMMYFUNCTION("""COMPUTED_VALUE"""),"110558")</f>
        <v>110558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IFERROR(__xludf.DUMMYFUNCTION("""COMPUTED_VALUE"""),0)</f>
        <v>0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IFERROR(__xludf.DUMMYFUNCTION("""COMPUTED_VALUE"""),4347)</f>
        <v>4347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IFERROR(__xludf.DUMMYFUNCTION("""COMPUTED_VALUE"""),"Caseara")</f>
        <v>Caseara</v>
      </c>
      <c r="C306" s="40" t="str">
        <f ca="1">IFERROR(__xludf.DUMMYFUNCTION("""COMPUTED_VALUE"""),"A. DE APOIO A ESC. EST. JOSE ALVES DE ASSIS")</f>
        <v>A. DE APOIO A ESC. EST. JOSE ALVES DE ASSIS</v>
      </c>
      <c r="D306" s="41" t="str">
        <f ca="1">IFERROR(__xludf.DUMMYFUNCTION("""COMPUTED_VALUE"""),"01138318000104")</f>
        <v>01138318000104</v>
      </c>
      <c r="E306" s="42" t="str">
        <f ca="1">IFERROR(__xludf.DUMMYFUNCTION("""COMPUTED_VALUE"""),"104")</f>
        <v>104</v>
      </c>
      <c r="F306" s="43" t="str">
        <f ca="1">IFERROR(__xludf.DUMMYFUNCTION("""COMPUTED_VALUE"""),"1141")</f>
        <v>1141</v>
      </c>
      <c r="G306" s="43" t="str">
        <f ca="1">IFERROR(__xludf.DUMMYFUNCTION("""COMPUTED_VALUE"""),"307968")</f>
        <v>307968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IFERROR(__xludf.DUMMYFUNCTION("""COMPUTED_VALUE"""),7266)</f>
        <v>7266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IFERROR(__xludf.DUMMYFUNCTION("""COMPUTED_VALUE"""),0)</f>
        <v>0</v>
      </c>
      <c r="R306" s="43">
        <f ca="1">IFERROR(__xludf.DUMMYFUNCTION("""COMPUTED_VALUE"""),0)</f>
        <v>0</v>
      </c>
      <c r="S306" s="43">
        <f ca="1">IFERROR(__xludf.DUMMYFUNCTION("""COMPUTED_VALUE"""),0)</f>
        <v>0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IFERROR(__xludf.DUMMYFUNCTION("""COMPUTED_VALUE"""),0)</f>
        <v>0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IFERROR(__xludf.DUMMYFUNCTION("""COMPUTED_VALUE"""),"Cristalandia")</f>
        <v>Cristalandia</v>
      </c>
      <c r="C307" s="35" t="str">
        <f ca="1">IFERROR(__xludf.DUMMYFUNCTION("""COMPUTED_VALUE"""),"ASS. APOIO DO COL. EST. DE CRISTALANDIA")</f>
        <v>ASS. APOIO DO COL. EST. DE CRISTALANDIA</v>
      </c>
      <c r="D307" s="36" t="str">
        <f ca="1">IFERROR(__xludf.DUMMYFUNCTION("""COMPUTED_VALUE"""),"01186467000130")</f>
        <v>01186467000130</v>
      </c>
      <c r="E307" s="37" t="str">
        <f ca="1">IFERROR(__xludf.DUMMYFUNCTION("""COMPUTED_VALUE"""),"001")</f>
        <v>001</v>
      </c>
      <c r="F307" s="38" t="str">
        <f ca="1">IFERROR(__xludf.DUMMYFUNCTION("""COMPUTED_VALUE"""),"3638")</f>
        <v>3638</v>
      </c>
      <c r="G307" s="38" t="str">
        <f ca="1">IFERROR(__xludf.DUMMYFUNCTION("""COMPUTED_VALUE"""),"17469")</f>
        <v>17469</v>
      </c>
      <c r="H307" s="38">
        <f ca="1">IFERROR(__xludf.DUMMYFUNCTION("""COMPUTED_VALUE"""),0)</f>
        <v>0</v>
      </c>
      <c r="I307" s="38">
        <f ca="1">IFERROR(__xludf.DUMMYFUNCTION("""COMPUTED_VALUE"""),0)</f>
        <v>0</v>
      </c>
      <c r="J307" s="38">
        <f ca="1">IFERROR(__xludf.DUMMYFUNCTION("""COMPUTED_VALUE"""),4095)</f>
        <v>4095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IFERROR(__xludf.DUMMYFUNCTION("""COMPUTED_VALUE"""),0)</f>
        <v>0</v>
      </c>
      <c r="Q307" s="38">
        <f ca="1">IFERROR(__xludf.DUMMYFUNCTION("""COMPUTED_VALUE"""),4011)</f>
        <v>4011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IFERROR(__xludf.DUMMYFUNCTION("""COMPUTED_VALUE"""),0)</f>
        <v>0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IFERROR(__xludf.DUMMYFUNCTION("""COMPUTED_VALUE"""),"Cristalandia")</f>
        <v>Cristalandia</v>
      </c>
      <c r="C308" s="40" t="str">
        <f ca="1">IFERROR(__xludf.DUMMYFUNCTION("""COMPUTED_VALUE"""),"APAE DE CRISTALÂNDIA")</f>
        <v>APAE DE CRISTALÂNDIA</v>
      </c>
      <c r="D308" s="41" t="str">
        <f ca="1">IFERROR(__xludf.DUMMYFUNCTION("""COMPUTED_VALUE"""),"01995319000167")</f>
        <v>01995319000167</v>
      </c>
      <c r="E308" s="42" t="str">
        <f ca="1">IFERROR(__xludf.DUMMYFUNCTION("""COMPUTED_VALUE"""),"001")</f>
        <v>001</v>
      </c>
      <c r="F308" s="43" t="str">
        <f ca="1">IFERROR(__xludf.DUMMYFUNCTION("""COMPUTED_VALUE"""),"3638")</f>
        <v>3638</v>
      </c>
      <c r="G308" s="43" t="str">
        <f ca="1">IFERROR(__xludf.DUMMYFUNCTION("""COMPUTED_VALUE"""),"71315")</f>
        <v>71315</v>
      </c>
      <c r="H308" s="43">
        <f ca="1">IFERROR(__xludf.DUMMYFUNCTION("""COMPUTED_VALUE"""),0)</f>
        <v>0</v>
      </c>
      <c r="I308" s="43">
        <f ca="1">IFERROR(__xludf.DUMMYFUNCTION("""COMPUTED_VALUE"""),105)</f>
        <v>105</v>
      </c>
      <c r="J308" s="43">
        <f ca="1">IFERROR(__xludf.DUMMYFUNCTION("""COMPUTED_VALUE"""),63)</f>
        <v>63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IFERROR(__xludf.DUMMYFUNCTION("""COMPUTED_VALUE"""),609)</f>
        <v>609</v>
      </c>
      <c r="Q308" s="43">
        <f ca="1">IFERROR(__xludf.DUMMYFUNCTION("""COMPUTED_VALUE"""),0)</f>
        <v>0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IFERROR(__xludf.DUMMYFUNCTION("""COMPUTED_VALUE"""),630)</f>
        <v>630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IFERROR(__xludf.DUMMYFUNCTION("""COMPUTED_VALUE"""),"Cristalandia")</f>
        <v>Cristalandia</v>
      </c>
      <c r="C309" s="35" t="str">
        <f ca="1">IFERROR(__xludf.DUMMYFUNCTION("""COMPUTED_VALUE"""),"A.A. ESCOLA MUL.OTACILIO MARQUES ROSAL")</f>
        <v>A.A. ESCOLA MUL.OTACILIO MARQUES ROSAL</v>
      </c>
      <c r="D309" s="36" t="str">
        <f ca="1">IFERROR(__xludf.DUMMYFUNCTION("""COMPUTED_VALUE"""),"01071438000123")</f>
        <v>01071438000123</v>
      </c>
      <c r="E309" s="37" t="str">
        <f ca="1">IFERROR(__xludf.DUMMYFUNCTION("""COMPUTED_VALUE"""),"001")</f>
        <v>001</v>
      </c>
      <c r="F309" s="38" t="str">
        <f ca="1">IFERROR(__xludf.DUMMYFUNCTION("""COMPUTED_VALUE"""),"3638")</f>
        <v>3638</v>
      </c>
      <c r="G309" s="38" t="str">
        <f ca="1">IFERROR(__xludf.DUMMYFUNCTION("""COMPUTED_VALUE"""),"7120X")</f>
        <v>7120X</v>
      </c>
      <c r="H309" s="38">
        <f ca="1">IFERROR(__xludf.DUMMYFUNCTION("""COMPUTED_VALUE"""),0)</f>
        <v>0</v>
      </c>
      <c r="I309" s="38">
        <f ca="1">IFERROR(__xludf.DUMMYFUNCTION("""COMPUTED_VALUE"""),0)</f>
        <v>0</v>
      </c>
      <c r="J309" s="38">
        <f ca="1">IFERROR(__xludf.DUMMYFUNCTION("""COMPUTED_VALUE"""),5964)</f>
        <v>5964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IFERROR(__xludf.DUMMYFUNCTION("""COMPUTED_VALUE"""),273)</f>
        <v>273</v>
      </c>
      <c r="Q309" s="38">
        <f ca="1">IFERROR(__xludf.DUMMYFUNCTION("""COMPUTED_VALUE"""),1260)</f>
        <v>1260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IFERROR(__xludf.DUMMYFUNCTION("""COMPUTED_VALUE"""),0)</f>
        <v>0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IFERROR(__xludf.DUMMYFUNCTION("""COMPUTED_VALUE"""),"Divinopolis do Tocantins")</f>
        <v>Divinopolis do Tocantins</v>
      </c>
      <c r="C310" s="40" t="str">
        <f ca="1">IFERROR(__xludf.DUMMYFUNCTION("""COMPUTED_VALUE"""),"A.A. DO COLEGIO MUL. JOAO DIAS SOBRINHO")</f>
        <v>A.A. DO COLEGIO MUL. JOAO DIAS SOBRINHO</v>
      </c>
      <c r="D310" s="41" t="str">
        <f ca="1">IFERROR(__xludf.DUMMYFUNCTION("""COMPUTED_VALUE"""),"01184383000168")</f>
        <v>01184383000168</v>
      </c>
      <c r="E310" s="42" t="str">
        <f ca="1">IFERROR(__xludf.DUMMYFUNCTION("""COMPUTED_VALUE"""),"001")</f>
        <v>001</v>
      </c>
      <c r="F310" s="43" t="str">
        <f ca="1">IFERROR(__xludf.DUMMYFUNCTION("""COMPUTED_VALUE"""),"3812")</f>
        <v>3812</v>
      </c>
      <c r="G310" s="43" t="str">
        <f ca="1">IFERROR(__xludf.DUMMYFUNCTION("""COMPUTED_VALUE"""),"275069")</f>
        <v>275069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IFERROR(__xludf.DUMMYFUNCTION("""COMPUTED_VALUE"""),5859)</f>
        <v>5859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IFERROR(__xludf.DUMMYFUNCTION("""COMPUTED_VALUE"""),0)</f>
        <v>0</v>
      </c>
      <c r="Q310" s="43">
        <f ca="1">IFERROR(__xludf.DUMMYFUNCTION("""COMPUTED_VALUE"""),5145)</f>
        <v>5145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IFERROR(__xludf.DUMMYFUNCTION("""COMPUTED_VALUE"""),714)</f>
        <v>714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IFERROR(__xludf.DUMMYFUNCTION("""COMPUTED_VALUE"""),"Divinopolis do Tocantins")</f>
        <v>Divinopolis do Tocantins</v>
      </c>
      <c r="C311" s="35" t="str">
        <f ca="1">IFERROR(__xludf.DUMMYFUNCTION("""COMPUTED_VALUE"""),"ASS. APOIO ESC. EST. D. CANDIDA DE FREITAS")</f>
        <v>ASS. APOIO ESC. EST. D. CANDIDA DE FREITAS</v>
      </c>
      <c r="D311" s="36" t="str">
        <f ca="1">IFERROR(__xludf.DUMMYFUNCTION("""COMPUTED_VALUE"""),"01296363000189")</f>
        <v>01296363000189</v>
      </c>
      <c r="E311" s="37" t="str">
        <f ca="1">IFERROR(__xludf.DUMMYFUNCTION("""COMPUTED_VALUE"""),"001")</f>
        <v>001</v>
      </c>
      <c r="F311" s="38" t="str">
        <f ca="1">IFERROR(__xludf.DUMMYFUNCTION("""COMPUTED_VALUE"""),"3812")</f>
        <v>3812</v>
      </c>
      <c r="G311" s="38" t="str">
        <f ca="1">IFERROR(__xludf.DUMMYFUNCTION("""COMPUTED_VALUE"""),"70629")</f>
        <v>70629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IFERROR(__xludf.DUMMYFUNCTION("""COMPUTED_VALUE"""),4305)</f>
        <v>4305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IFERROR(__xludf.DUMMYFUNCTION("""COMPUTED_VALUE"""),0)</f>
        <v>0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IFERROR(__xludf.DUMMYFUNCTION("""COMPUTED_VALUE"""),315)</f>
        <v>315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IFERROR(__xludf.DUMMYFUNCTION("""COMPUTED_VALUE"""),"Lagoa da Confusao")</f>
        <v>Lagoa da Confusao</v>
      </c>
      <c r="C312" s="40" t="str">
        <f ca="1">IFERROR(__xludf.DUMMYFUNCTION("""COMPUTED_VALUE"""),"A.A.  ESTUD COL. EST. LAGOA DA CONFUSAO")</f>
        <v>A.A.  ESTUD COL. EST. LAGOA DA CONFUSAO</v>
      </c>
      <c r="D312" s="41" t="str">
        <f ca="1">IFERROR(__xludf.DUMMYFUNCTION("""COMPUTED_VALUE"""),"01179116000100")</f>
        <v>01179116000100</v>
      </c>
      <c r="E312" s="42" t="str">
        <f ca="1">IFERROR(__xludf.DUMMYFUNCTION("""COMPUTED_VALUE"""),"001")</f>
        <v>001</v>
      </c>
      <c r="F312" s="43" t="str">
        <f ca="1">IFERROR(__xludf.DUMMYFUNCTION("""COMPUTED_VALUE"""),"3983")</f>
        <v>3983</v>
      </c>
      <c r="G312" s="43" t="str">
        <f ca="1">IFERROR(__xludf.DUMMYFUNCTION("""COMPUTED_VALUE"""),"84735")</f>
        <v>84735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IFERROR(__xludf.DUMMYFUNCTION("""COMPUTED_VALUE"""),1827)</f>
        <v>1827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IFERROR(__xludf.DUMMYFUNCTION("""COMPUTED_VALUE"""),10962)</f>
        <v>10962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IFERROR(__xludf.DUMMYFUNCTION("""COMPUTED_VALUE"""),294)</f>
        <v>294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IFERROR(__xludf.DUMMYFUNCTION("""COMPUTED_VALUE"""),"Lagoa da Confusao")</f>
        <v>Lagoa da Confusao</v>
      </c>
      <c r="C313" s="35" t="str">
        <f ca="1">IFERROR(__xludf.DUMMYFUNCTION("""COMPUTED_VALUE"""),"ASSOCIAÇÃO DA ESCOLA ESPECIAL LAGOA DA CONFUSÃO")</f>
        <v>ASSOCIAÇÃO DA ESCOLA ESPECIAL LAGOA DA CONFUSÃO</v>
      </c>
      <c r="D313" s="36" t="str">
        <f ca="1">IFERROR(__xludf.DUMMYFUNCTION("""COMPUTED_VALUE"""),"08755554000100")</f>
        <v>08755554000100</v>
      </c>
      <c r="E313" s="37" t="str">
        <f ca="1">IFERROR(__xludf.DUMMYFUNCTION("""COMPUTED_VALUE"""),"001")</f>
        <v>001</v>
      </c>
      <c r="F313" s="38" t="str">
        <f ca="1">IFERROR(__xludf.DUMMYFUNCTION("""COMPUTED_VALUE"""),"3983")</f>
        <v>3983</v>
      </c>
      <c r="G313" s="38" t="str">
        <f ca="1">IFERROR(__xludf.DUMMYFUNCTION("""COMPUTED_VALUE"""),"83712")</f>
        <v>83712</v>
      </c>
      <c r="H313" s="38">
        <f ca="1">IFERROR(__xludf.DUMMYFUNCTION("""COMPUTED_VALUE"""),0)</f>
        <v>0</v>
      </c>
      <c r="I313" s="38">
        <f ca="1">IFERROR(__xludf.DUMMYFUNCTION("""COMPUTED_VALUE"""),42)</f>
        <v>42</v>
      </c>
      <c r="J313" s="38">
        <f ca="1">IFERROR(__xludf.DUMMYFUNCTION("""COMPUTED_VALUE"""),189)</f>
        <v>189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IFERROR(__xludf.DUMMYFUNCTION("""COMPUTED_VALUE"""),567)</f>
        <v>567</v>
      </c>
      <c r="Q313" s="38">
        <f ca="1">IFERROR(__xludf.DUMMYFUNCTION("""COMPUTED_VALUE"""),0)</f>
        <v>0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IFERROR(__xludf.DUMMYFUNCTION("""COMPUTED_VALUE"""),315)</f>
        <v>315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IFERROR(__xludf.DUMMYFUNCTION("""COMPUTED_VALUE"""),"Marianopolis do Tocantins")</f>
        <v>Marianopolis do Tocantins</v>
      </c>
      <c r="C314" s="40" t="str">
        <f ca="1">IFERROR(__xludf.DUMMYFUNCTION("""COMPUTED_VALUE"""),"A.A. DO COL. EST. DAVID BARBOSA ROLINS")</f>
        <v>A.A. DO COL. EST. DAVID BARBOSA ROLINS</v>
      </c>
      <c r="D314" s="41" t="str">
        <f ca="1">IFERROR(__xludf.DUMMYFUNCTION("""COMPUTED_VALUE"""),"01980050000145")</f>
        <v>01980050000145</v>
      </c>
      <c r="E314" s="42" t="str">
        <f ca="1">IFERROR(__xludf.DUMMYFUNCTION("""COMPUTED_VALUE"""),"001")</f>
        <v>001</v>
      </c>
      <c r="F314" s="43" t="str">
        <f ca="1">IFERROR(__xludf.DUMMYFUNCTION("""COMPUTED_VALUE"""),"0804")</f>
        <v>0804</v>
      </c>
      <c r="G314" s="43" t="str">
        <f ca="1">IFERROR(__xludf.DUMMYFUNCTION("""COMPUTED_VALUE"""),"219045")</f>
        <v>219045</v>
      </c>
      <c r="H314" s="43">
        <f ca="1">IFERROR(__xludf.DUMMYFUNCTION("""COMPUTED_VALUE"""),0)</f>
        <v>0</v>
      </c>
      <c r="I314" s="43">
        <f ca="1">IFERROR(__xludf.DUMMYFUNCTION("""COMPUTED_VALUE"""),0)</f>
        <v>0</v>
      </c>
      <c r="J314" s="43">
        <f ca="1">IFERROR(__xludf.DUMMYFUNCTION("""COMPUTED_VALUE"""),2226)</f>
        <v>2226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IFERROR(__xludf.DUMMYFUNCTION("""COMPUTED_VALUE"""),0)</f>
        <v>0</v>
      </c>
      <c r="Q314" s="43">
        <f ca="1">IFERROR(__xludf.DUMMYFUNCTION("""COMPUTED_VALUE"""),3885)</f>
        <v>3885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IFERROR(__xludf.DUMMYFUNCTION("""COMPUTED_VALUE"""),0)</f>
        <v>0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IFERROR(__xludf.DUMMYFUNCTION("""COMPUTED_VALUE"""),"Nova Rosalandia")</f>
        <v>Nova Rosalandia</v>
      </c>
      <c r="C315" s="35" t="str">
        <f ca="1">IFERROR(__xludf.DUMMYFUNCTION("""COMPUTED_VALUE"""),"A. ESC. COM. ESC. EST.PEDRO XAVIER TEIXEIRA")</f>
        <v>A. ESC. COM. ESC. EST.PEDRO XAVIER TEIXEIRA</v>
      </c>
      <c r="D315" s="36" t="str">
        <f ca="1">IFERROR(__xludf.DUMMYFUNCTION("""COMPUTED_VALUE"""),"01068367000100")</f>
        <v>01068367000100</v>
      </c>
      <c r="E315" s="37" t="str">
        <f ca="1">IFERROR(__xludf.DUMMYFUNCTION("""COMPUTED_VALUE"""),"001")</f>
        <v>001</v>
      </c>
      <c r="F315" s="38" t="str">
        <f ca="1">IFERROR(__xludf.DUMMYFUNCTION("""COMPUTED_VALUE"""),"0804")</f>
        <v>0804</v>
      </c>
      <c r="G315" s="38" t="str">
        <f ca="1">IFERROR(__xludf.DUMMYFUNCTION("""COMPUTED_VALUE"""),"234265")</f>
        <v>234265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IFERROR(__xludf.DUMMYFUNCTION("""COMPUTED_VALUE"""),1764)</f>
        <v>1764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IFERROR(__xludf.DUMMYFUNCTION("""COMPUTED_VALUE"""),2226)</f>
        <v>2226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IFERROR(__xludf.DUMMYFUNCTION("""COMPUTED_VALUE"""),189)</f>
        <v>189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IFERROR(__xludf.DUMMYFUNCTION("""COMPUTED_VALUE"""),"Nova Rosalandia")</f>
        <v>Nova Rosalandia</v>
      </c>
      <c r="C316" s="40" t="str">
        <f ca="1">IFERROR(__xludf.DUMMYFUNCTION("""COMPUTED_VALUE"""),"A.A. A ESCOLA ESTADUAL CAMPO MAIOR")</f>
        <v>A.A. A ESCOLA ESTADUAL CAMPO MAIOR</v>
      </c>
      <c r="D316" s="41" t="str">
        <f ca="1">IFERROR(__xludf.DUMMYFUNCTION("""COMPUTED_VALUE"""),"01068373000167")</f>
        <v>01068373000167</v>
      </c>
      <c r="E316" s="42" t="str">
        <f ca="1">IFERROR(__xludf.DUMMYFUNCTION("""COMPUTED_VALUE"""),"001")</f>
        <v>001</v>
      </c>
      <c r="F316" s="43" t="str">
        <f ca="1">IFERROR(__xludf.DUMMYFUNCTION("""COMPUTED_VALUE"""),"0804")</f>
        <v>0804</v>
      </c>
      <c r="G316" s="43" t="str">
        <f ca="1">IFERROR(__xludf.DUMMYFUNCTION("""COMPUTED_VALUE"""),"341290")</f>
        <v>341290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IFERROR(__xludf.DUMMYFUNCTION("""COMPUTED_VALUE"""),861)</f>
        <v>861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IFERROR(__xludf.DUMMYFUNCTION("""COMPUTED_VALUE"""),0)</f>
        <v>0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IFERROR(__xludf.DUMMYFUNCTION("""COMPUTED_VALUE"""),0)</f>
        <v>0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IFERROR(__xludf.DUMMYFUNCTION("""COMPUTED_VALUE"""),"Nova Rosalandia")</f>
        <v>Nova Rosalandia</v>
      </c>
      <c r="C317" s="35" t="str">
        <f ca="1">IFERROR(__xludf.DUMMYFUNCTION("""COMPUTED_VALUE"""),"ASSOC.COM. ESC EST.REGINA SIQUEIRA CAMPOS")</f>
        <v>ASSOC.COM. ESC EST.REGINA SIQUEIRA CAMPOS</v>
      </c>
      <c r="D317" s="36" t="str">
        <f ca="1">IFERROR(__xludf.DUMMYFUNCTION("""COMPUTED_VALUE"""),"01181170000182")</f>
        <v>01181170000182</v>
      </c>
      <c r="E317" s="37" t="str">
        <f ca="1">IFERROR(__xludf.DUMMYFUNCTION("""COMPUTED_VALUE"""),"001")</f>
        <v>001</v>
      </c>
      <c r="F317" s="38" t="str">
        <f ca="1">IFERROR(__xludf.DUMMYFUNCTION("""COMPUTED_VALUE"""),"0804")</f>
        <v>0804</v>
      </c>
      <c r="G317" s="38" t="str">
        <f ca="1">IFERROR(__xludf.DUMMYFUNCTION("""COMPUTED_VALUE"""),"16383X")</f>
        <v>16383X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IFERROR(__xludf.DUMMYFUNCTION("""COMPUTED_VALUE"""),0)</f>
        <v>0</v>
      </c>
      <c r="K317" s="38">
        <f ca="1">IFERROR(__xludf.DUMMYFUNCTION("""COMPUTED_VALUE"""),11603.2)</f>
        <v>11603.2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IFERROR(__xludf.DUMMYFUNCTION("""COMPUTED_VALUE"""),0)</f>
        <v>0</v>
      </c>
      <c r="Q317" s="38">
        <f ca="1">IFERROR(__xludf.DUMMYFUNCTION("""COMPUTED_VALUE"""),0)</f>
        <v>0</v>
      </c>
      <c r="R317" s="38">
        <f ca="1">IFERROR(__xludf.DUMMYFUNCTION("""COMPUTED_VALUE"""),1176)</f>
        <v>1176</v>
      </c>
      <c r="S317" s="38">
        <f ca="1">IFERROR(__xludf.DUMMYFUNCTION("""COMPUTED_VALUE"""),0)</f>
        <v>0</v>
      </c>
      <c r="T317" s="38">
        <f ca="1">IFERROR(__xludf.DUMMYFUNCTION("""COMPUTED_VALUE"""),0)</f>
        <v>0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IFERROR(__xludf.DUMMYFUNCTION("""COMPUTED_VALUE"""),1097.8)</f>
        <v>1097.8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IFERROR(__xludf.DUMMYFUNCTION("""COMPUTED_VALUE"""),"Paraiso do Tocantins")</f>
        <v>Paraiso do Tocantins</v>
      </c>
      <c r="C318" s="40" t="str">
        <f ca="1">IFERROR(__xludf.DUMMYFUNCTION("""COMPUTED_VALUE"""),"A.A. ESC. EST.ISOL.INDIG REG PARAISO DO TO")</f>
        <v>A.A. ESC. EST.ISOL.INDIG REG PARAISO DO TO</v>
      </c>
      <c r="D318" s="41" t="str">
        <f ca="1">IFERROR(__xludf.DUMMYFUNCTION("""COMPUTED_VALUE"""),"05099542000187")</f>
        <v>05099542000187</v>
      </c>
      <c r="E318" s="42" t="str">
        <f ca="1">IFERROR(__xludf.DUMMYFUNCTION("""COMPUTED_VALUE"""),"001")</f>
        <v>001</v>
      </c>
      <c r="F318" s="43" t="str">
        <f ca="1">IFERROR(__xludf.DUMMYFUNCTION("""COMPUTED_VALUE"""),"0804")</f>
        <v>0804</v>
      </c>
      <c r="G318" s="43" t="str">
        <f ca="1">IFERROR(__xludf.DUMMYFUNCTION("""COMPUTED_VALUE"""),"111678")</f>
        <v>111678</v>
      </c>
      <c r="H318" s="43">
        <f ca="1">IFERROR(__xludf.DUMMYFUNCTION("""COMPUTED_VALUE"""),0)</f>
        <v>0</v>
      </c>
      <c r="I318" s="43">
        <f ca="1">IFERROR(__xludf.DUMMYFUNCTION("""COMPUTED_VALUE"""),0)</f>
        <v>0</v>
      </c>
      <c r="J318" s="43">
        <f ca="1">IFERROR(__xludf.DUMMYFUNCTION("""COMPUTED_VALUE"""),0)</f>
        <v>0</v>
      </c>
      <c r="K318" s="43">
        <f ca="1">IFERROR(__xludf.DUMMYFUNCTION("""COMPUTED_VALUE"""),0)</f>
        <v>0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IFERROR(__xludf.DUMMYFUNCTION("""COMPUTED_VALUE"""),21441)</f>
        <v>21441</v>
      </c>
      <c r="P318" s="43">
        <f ca="1">IFERROR(__xludf.DUMMYFUNCTION("""COMPUTED_VALUE"""),0)</f>
        <v>0</v>
      </c>
      <c r="Q318" s="43">
        <f ca="1">IFERROR(__xludf.DUMMYFUNCTION("""COMPUTED_VALUE"""),0)</f>
        <v>0</v>
      </c>
      <c r="R318" s="43">
        <f ca="1">IFERROR(__xludf.DUMMYFUNCTION("""COMPUTED_VALUE"""),0)</f>
        <v>0</v>
      </c>
      <c r="S318" s="43">
        <f ca="1">IFERROR(__xludf.DUMMYFUNCTION("""COMPUTED_VALUE"""),0)</f>
        <v>0</v>
      </c>
      <c r="T318" s="43">
        <f ca="1">IFERROR(__xludf.DUMMYFUNCTION("""COMPUTED_VALUE"""),0)</f>
        <v>0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IFERROR(__xludf.DUMMYFUNCTION("""COMPUTED_VALUE"""),0)</f>
        <v>0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IFERROR(__xludf.DUMMYFUNCTION("""COMPUTED_VALUE"""),"Paraiso do Tocantins")</f>
        <v>Paraiso do Tocantins</v>
      </c>
      <c r="C319" s="35" t="str">
        <f ca="1">IFERROR(__xludf.DUMMYFUNCTION("""COMPUTED_VALUE"""),"A.A. COLÉGIO MILITAR DIACONÍZIO BEZERRA DA SILVA")</f>
        <v>A.A. COLÉGIO MILITAR DIACONÍZIO BEZERRA DA SILVA</v>
      </c>
      <c r="D319" s="36" t="str">
        <f ca="1">IFERROR(__xludf.DUMMYFUNCTION("""COMPUTED_VALUE"""),"11675300000197")</f>
        <v>11675300000197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IFERROR(__xludf.DUMMYFUNCTION("""COMPUTED_VALUE"""),"320781")</f>
        <v>320781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IFERROR(__xludf.DUMMYFUNCTION("""COMPUTED_VALUE"""),12600)</f>
        <v>12600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IFERROR(__xludf.DUMMYFUNCTION("""COMPUTED_VALUE"""),0)</f>
        <v>0</v>
      </c>
      <c r="P319" s="38">
        <f ca="1">IFERROR(__xludf.DUMMYFUNCTION("""COMPUTED_VALUE"""),0)</f>
        <v>0</v>
      </c>
      <c r="Q319" s="38">
        <f ca="1">IFERROR(__xludf.DUMMYFUNCTION("""COMPUTED_VALUE"""),6615)</f>
        <v>6615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IFERROR(__xludf.DUMMYFUNCTION("""COMPUTED_VALUE"""),"Paraiso do Tocantins")</f>
        <v>Paraiso do Tocantins</v>
      </c>
      <c r="C320" s="40" t="str">
        <f ca="1">IFERROR(__xludf.DUMMYFUNCTION("""COMPUTED_VALUE"""),"ASSOC. APOIO AO CEM JOSE ALVES DE ASSIS")</f>
        <v>ASSOC. APOIO AO CEM JOSE ALVES DE ASSIS</v>
      </c>
      <c r="D320" s="41" t="str">
        <f ca="1">IFERROR(__xludf.DUMMYFUNCTION("""COMPUTED_VALUE"""),"01181169000158")</f>
        <v>01181169000158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IFERROR(__xludf.DUMMYFUNCTION("""COMPUTED_VALUE"""),"286257")</f>
        <v>286257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IFERROR(__xludf.DUMMYFUNCTION("""COMPUTED_VALUE"""),0)</f>
        <v>0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IFERROR(__xludf.DUMMYFUNCTION("""COMPUTED_VALUE"""),11361)</f>
        <v>11361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IFERROR(__xludf.DUMMYFUNCTION("""COMPUTED_VALUE"""),2604)</f>
        <v>2604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IFERROR(__xludf.DUMMYFUNCTION("""COMPUTED_VALUE"""),"Paraiso do Tocantins")</f>
        <v>Paraiso do Tocantins</v>
      </c>
      <c r="C321" s="35" t="str">
        <f ca="1">IFERROR(__xludf.DUMMYFUNCTION("""COMPUTED_VALUE"""),"ASSOC. DE APOIO ESC. EST.IDALINA DE PAULA")</f>
        <v>ASSOC. DE APOIO ESC. EST.IDALINA DE PAULA</v>
      </c>
      <c r="D321" s="36" t="str">
        <f ca="1">IFERROR(__xludf.DUMMYFUNCTION("""COMPUTED_VALUE"""),"01066419000109")</f>
        <v>01066419000109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IFERROR(__xludf.DUMMYFUNCTION("""COMPUTED_VALUE"""),"115797")</f>
        <v>115797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IFERROR(__xludf.DUMMYFUNCTION("""COMPUTED_VALUE"""),7665)</f>
        <v>7665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IFERROR(__xludf.DUMMYFUNCTION("""COMPUTED_VALUE"""),0)</f>
        <v>0</v>
      </c>
      <c r="Q321" s="38">
        <f ca="1">IFERROR(__xludf.DUMMYFUNCTION("""COMPUTED_VALUE"""),5019)</f>
        <v>5019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IFERROR(__xludf.DUMMYFUNCTION("""COMPUTED_VALUE"""),126)</f>
        <v>126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IFERROR(__xludf.DUMMYFUNCTION("""COMPUTED_VALUE"""),"Paraiso do Tocantins")</f>
        <v>Paraiso do Tocantins</v>
      </c>
      <c r="C322" s="40" t="str">
        <f ca="1">IFERROR(__xludf.DUMMYFUNCTION("""COMPUTED_VALUE"""),"ASS. APOIO ESC. EST.PROF. JOSE NEZIO RAMOS")</f>
        <v>ASS. APOIO ESC. EST.PROF. JOSE NEZIO RAMOS</v>
      </c>
      <c r="D322" s="41" t="str">
        <f ca="1">IFERROR(__xludf.DUMMYFUNCTION("""COMPUTED_VALUE"""),"01233716000100")</f>
        <v>01233716000100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IFERROR(__xludf.DUMMYFUNCTION("""COMPUTED_VALUE"""),"0263656")</f>
        <v>0263656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IFERROR(__xludf.DUMMYFUNCTION("""COMPUTED_VALUE"""),0)</f>
        <v>0</v>
      </c>
      <c r="K322" s="43">
        <f ca="1">IFERROR(__xludf.DUMMYFUNCTION("""COMPUTED_VALUE"""),0)</f>
        <v>0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IFERROR(__xludf.DUMMYFUNCTION("""COMPUTED_VALUE"""),7959)</f>
        <v>7959</v>
      </c>
      <c r="R322" s="43">
        <f ca="1">IFERROR(__xludf.DUMMYFUNCTION("""COMPUTED_VALUE"""),0)</f>
        <v>0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IFERROR(__xludf.DUMMYFUNCTION("""COMPUTED_VALUE"""),0)</f>
        <v>0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IFERROR(__xludf.DUMMYFUNCTION("""COMPUTED_VALUE"""),"AAE. ESPECIAL LUZ DA VIDA")</f>
        <v>AAE. ESPECIAL LUZ DA VIDA</v>
      </c>
      <c r="D323" s="36" t="str">
        <f ca="1">IFERROR(__xludf.DUMMYFUNCTION("""COMPUTED_VALUE"""),"07905330000175")</f>
        <v>07905330000175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IFERROR(__xludf.DUMMYFUNCTION("""COMPUTED_VALUE"""),"331724")</f>
        <v>331724</v>
      </c>
      <c r="H323" s="38">
        <f ca="1">IFERROR(__xludf.DUMMYFUNCTION("""COMPUTED_VALUE"""),0)</f>
        <v>0</v>
      </c>
      <c r="I323" s="38">
        <f ca="1">IFERROR(__xludf.DUMMYFUNCTION("""COMPUTED_VALUE"""),273)</f>
        <v>273</v>
      </c>
      <c r="J323" s="38">
        <f ca="1">IFERROR(__xludf.DUMMYFUNCTION("""COMPUTED_VALUE"""),525)</f>
        <v>525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IFERROR(__xludf.DUMMYFUNCTION("""COMPUTED_VALUE"""),0)</f>
        <v>0</v>
      </c>
      <c r="P323" s="38">
        <f ca="1">IFERROR(__xludf.DUMMYFUNCTION("""COMPUTED_VALUE"""),1365)</f>
        <v>1365</v>
      </c>
      <c r="Q323" s="38">
        <f ca="1">IFERROR(__xludf.DUMMYFUNCTION("""COMPUTED_VALUE"""),0)</f>
        <v>0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IFERROR(__xludf.DUMMYFUNCTION("""COMPUTED_VALUE"""),1386)</f>
        <v>1386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IFERROR(__xludf.DUMMYFUNCTION("""COMPUTED_VALUE"""),"ASS. DE APOIO ESC. EST. AMANCIO DE MORAES")</f>
        <v>ASS. DE APOIO ESC. EST. AMANCIO DE MORAES</v>
      </c>
      <c r="D324" s="41" t="str">
        <f ca="1">IFERROR(__xludf.DUMMYFUNCTION("""COMPUTED_VALUE"""),"01068375000156")</f>
        <v>01068375000156</v>
      </c>
      <c r="E324" s="42" t="str">
        <f ca="1">IFERROR(__xludf.DUMMYFUNCTION("""COMPUTED_VALUE"""),"104")</f>
        <v>104</v>
      </c>
      <c r="F324" s="43" t="str">
        <f ca="1">IFERROR(__xludf.DUMMYFUNCTION("""COMPUTED_VALUE"""),"1141")</f>
        <v>1141</v>
      </c>
      <c r="G324" s="43" t="str">
        <f ca="1">IFERROR(__xludf.DUMMYFUNCTION("""COMPUTED_VALUE"""),"308140")</f>
        <v>308140</v>
      </c>
      <c r="H324" s="43">
        <f ca="1">IFERROR(__xludf.DUMMYFUNCTION("""COMPUTED_VALUE"""),0)</f>
        <v>0</v>
      </c>
      <c r="I324" s="43">
        <f ca="1">IFERROR(__xludf.DUMMYFUNCTION("""COMPUTED_VALUE"""),0)</f>
        <v>0</v>
      </c>
      <c r="J324" s="43">
        <f ca="1">IFERROR(__xludf.DUMMYFUNCTION("""COMPUTED_VALUE"""),5061)</f>
        <v>5061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IFERROR(__xludf.DUMMYFUNCTION("""COMPUTED_VALUE"""),315)</f>
        <v>315</v>
      </c>
      <c r="Q324" s="43">
        <f ca="1">IFERROR(__xludf.DUMMYFUNCTION("""COMPUTED_VALUE"""),0)</f>
        <v>0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IFERROR(__xludf.DUMMYFUNCTION("""COMPUTED_VALUE"""),0)</f>
        <v>0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IFERROR(__xludf.DUMMYFUNCTION("""COMPUTED_VALUE"""),"A.A. ESCOLA ESTADUAL DEUSA DE MORAES")</f>
        <v>A.A. ESCOLA ESTADUAL DEUSA DE MORAES</v>
      </c>
      <c r="D325" s="36" t="str">
        <f ca="1">IFERROR(__xludf.DUMMYFUNCTION("""COMPUTED_VALUE"""),"01068362000187")</f>
        <v>01068362000187</v>
      </c>
      <c r="E325" s="37" t="str">
        <f ca="1">IFERROR(__xludf.DUMMYFUNCTION("""COMPUTED_VALUE"""),"001")</f>
        <v>001</v>
      </c>
      <c r="F325" s="38" t="str">
        <f ca="1">IFERROR(__xludf.DUMMYFUNCTION("""COMPUTED_VALUE"""),"0804")</f>
        <v>0804</v>
      </c>
      <c r="G325" s="38" t="str">
        <f ca="1">IFERROR(__xludf.DUMMYFUNCTION("""COMPUTED_VALUE"""),"304549")</f>
        <v>304549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IFERROR(__xludf.DUMMYFUNCTION("""COMPUTED_VALUE"""),8001)</f>
        <v>8001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IFERROR(__xludf.DUMMYFUNCTION("""COMPUTED_VALUE"""),0)</f>
        <v>0</v>
      </c>
      <c r="Q325" s="38">
        <f ca="1">IFERROR(__xludf.DUMMYFUNCTION("""COMPUTED_VALUE"""),0)</f>
        <v>0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IFERROR(__xludf.DUMMYFUNCTION("""COMPUTED_VALUE"""),0)</f>
        <v>0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IFERROR(__xludf.DUMMYFUNCTION("""COMPUTED_VALUE"""),"A. ESC COM. DA ESC EST J.K. DE OLIVEIRA")</f>
        <v>A. ESC COM. DA ESC EST J.K. DE OLIVEIRA</v>
      </c>
      <c r="D326" s="41" t="str">
        <f ca="1">IFERROR(__xludf.DUMMYFUNCTION("""COMPUTED_VALUE"""),"00921537000194")</f>
        <v>00921537000194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IFERROR(__xludf.DUMMYFUNCTION("""COMPUTED_VALUE"""),"163821")</f>
        <v>163821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IFERROR(__xludf.DUMMYFUNCTION("""COMPUTED_VALUE"""),5523)</f>
        <v>5523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IFERROR(__xludf.DUMMYFUNCTION("""COMPUTED_VALUE"""),504)</f>
        <v>504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IFERROR(__xludf.DUMMYFUNCTION("""COMPUTED_VALUE"""),"A.A.  ESCOLA EST. SAO JOSE OPERARIO")</f>
        <v>A.A.  ESCOLA EST. SAO JOSE OPERARIO</v>
      </c>
      <c r="D327" s="36" t="str">
        <f ca="1">IFERROR(__xludf.DUMMYFUNCTION("""COMPUTED_VALUE"""),"01186454000161")</f>
        <v>01186454000161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IFERROR(__xludf.DUMMYFUNCTION("""COMPUTED_VALUE"""),"285986")</f>
        <v>285986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IFERROR(__xludf.DUMMYFUNCTION("""COMPUTED_VALUE"""),8988)</f>
        <v>8988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IFERROR(__xludf.DUMMYFUNCTION("""COMPUTED_VALUE"""),2499)</f>
        <v>2499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IFERROR(__xludf.DUMMYFUNCTION("""COMPUTED_VALUE"""),"A.A. DO COL. PRESB. VALE DO TOCANTINS")</f>
        <v>A.A. DO COL. PRESB. VALE DO TOCANTINS</v>
      </c>
      <c r="D328" s="41" t="str">
        <f ca="1">IFERROR(__xludf.DUMMYFUNCTION("""COMPUTED_VALUE"""),"01071426000107")</f>
        <v>01071426000107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IFERROR(__xludf.DUMMYFUNCTION("""COMPUTED_VALUE"""),"311618")</f>
        <v>311618</v>
      </c>
      <c r="H328" s="43">
        <f ca="1">IFERROR(__xludf.DUMMYFUNCTION("""COMPUTED_VALUE"""),0)</f>
        <v>0</v>
      </c>
      <c r="I328" s="43">
        <f ca="1">IFERROR(__xludf.DUMMYFUNCTION("""COMPUTED_VALUE"""),0)</f>
        <v>0</v>
      </c>
      <c r="J328" s="43">
        <f ca="1">IFERROR(__xludf.DUMMYFUNCTION("""COMPUTED_VALUE"""),10437)</f>
        <v>10437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IFERROR(__xludf.DUMMYFUNCTION("""COMPUTED_VALUE"""),0)</f>
        <v>0</v>
      </c>
      <c r="Q328" s="43">
        <f ca="1">IFERROR(__xludf.DUMMYFUNCTION("""COMPUTED_VALUE"""),8652)</f>
        <v>8652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IFERROR(__xludf.DUMMYFUNCTION("""COMPUTED_VALUE"""),0)</f>
        <v>0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IFERROR(__xludf.DUMMYFUNCTION("""COMPUTED_VALUE"""),"ASS. A. ESCOLA EST. DE TEMPO INTEGRAL PROFESSORA RITA ANDRADE SANTOS")</f>
        <v>ASS. A. ESCOLA EST. DE TEMPO INTEGRAL PROFESSORA RITA ANDRADE SANTOS</v>
      </c>
      <c r="D329" s="36" t="str">
        <f ca="1">IFERROR(__xludf.DUMMYFUNCTION("""COMPUTED_VALUE"""),"48740961000169")</f>
        <v>48740961000169</v>
      </c>
      <c r="E329" s="37" t="str">
        <f ca="1">IFERROR(__xludf.DUMMYFUNCTION("""COMPUTED_VALUE"""),"001")</f>
        <v>001</v>
      </c>
      <c r="F329" s="38" t="str">
        <f ca="1">IFERROR(__xludf.DUMMYFUNCTION("""COMPUTED_VALUE"""),"0804")</f>
        <v>0804</v>
      </c>
      <c r="G329" s="38" t="str">
        <f ca="1">IFERROR(__xludf.DUMMYFUNCTION("""COMPUTED_VALUE"""),"58858X")</f>
        <v>58858X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IFERROR(__xludf.DUMMYFUNCTION("""COMPUTED_VALUE"""),0)</f>
        <v>0</v>
      </c>
      <c r="K329" s="38">
        <f ca="1">IFERROR(__xludf.DUMMYFUNCTION("""COMPUTED_VALUE"""),41787.2)</f>
        <v>41787.199999999997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IFERROR(__xludf.DUMMYFUNCTION("""COMPUTED_VALUE"""),0)</f>
        <v>0</v>
      </c>
      <c r="Q329" s="38">
        <f ca="1">IFERROR(__xludf.DUMMYFUNCTION("""COMPUTED_VALUE"""),0)</f>
        <v>0</v>
      </c>
      <c r="R329" s="38">
        <f ca="1">IFERROR(__xludf.DUMMYFUNCTION("""COMPUTED_VALUE"""),2508.8)</f>
        <v>2508.8000000000002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IFERROR(__xludf.DUMMYFUNCTION("""COMPUTED_VALUE"""),3792.4)</f>
        <v>3792.4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IFERROR(__xludf.DUMMYFUNCTION("""COMPUTED_VALUE"""),"Pium")</f>
        <v>Pium</v>
      </c>
      <c r="C330" s="40" t="str">
        <f ca="1">IFERROR(__xludf.DUMMYFUNCTION("""COMPUTED_VALUE"""),"A.A. COLEGIO ESTADUAL BARTOLOMEU BUENO")</f>
        <v>A.A. COLEGIO ESTADUAL BARTOLOMEU BUENO</v>
      </c>
      <c r="D330" s="41" t="str">
        <f ca="1">IFERROR(__xludf.DUMMYFUNCTION("""COMPUTED_VALUE"""),"01071436000134")</f>
        <v>01071436000134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IFERROR(__xludf.DUMMYFUNCTION("""COMPUTED_VALUE"""),"286206")</f>
        <v>286206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IFERROR(__xludf.DUMMYFUNCTION("""COMPUTED_VALUE"""),1239)</f>
        <v>1239</v>
      </c>
      <c r="K330" s="43">
        <f ca="1">IFERROR(__xludf.DUMMYFUNCTION("""COMPUTED_VALUE"""),0)</f>
        <v>0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IFERROR(__xludf.DUMMYFUNCTION("""COMPUTED_VALUE"""),210)</f>
        <v>210</v>
      </c>
      <c r="Q330" s="43">
        <f ca="1">IFERROR(__xludf.DUMMYFUNCTION("""COMPUTED_VALUE"""),5544)</f>
        <v>5544</v>
      </c>
      <c r="R330" s="43">
        <f ca="1">IFERROR(__xludf.DUMMYFUNCTION("""COMPUTED_VALUE"""),0)</f>
        <v>0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IFERROR(__xludf.DUMMYFUNCTION("""COMPUTED_VALUE"""),0)</f>
        <v>0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IFERROR(__xludf.DUMMYFUNCTION("""COMPUTED_VALUE"""),"Pugmil")</f>
        <v>Pugmil</v>
      </c>
      <c r="C331" s="35" t="str">
        <f ca="1">IFERROR(__xludf.DUMMYFUNCTION("""COMPUTED_VALUE"""),"A.A. DA ESC. EST. DARCY RIBEIRO")</f>
        <v>A.A. DA ESC. EST. DARCY RIBEIRO</v>
      </c>
      <c r="D331" s="36" t="str">
        <f ca="1">IFERROR(__xludf.DUMMYFUNCTION("""COMPUTED_VALUE"""),"02382845000114")</f>
        <v>02382845000114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IFERROR(__xludf.DUMMYFUNCTION("""COMPUTED_VALUE"""),"286648")</f>
        <v>286648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IFERROR(__xludf.DUMMYFUNCTION("""COMPUTED_VALUE"""),1239)</f>
        <v>1239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IFERROR(__xludf.DUMMYFUNCTION("""COMPUTED_VALUE"""),0)</f>
        <v>0</v>
      </c>
      <c r="Q331" s="38">
        <f ca="1">IFERROR(__xludf.DUMMYFUNCTION("""COMPUTED_VALUE"""),2037)</f>
        <v>2037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IFERROR(__xludf.DUMMYFUNCTION("""COMPUTED_VALUE"""),966)</f>
        <v>966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IFERROR(__xludf.DUMMYFUNCTION("""COMPUTED_VALUE"""),"Pedro Afonso")</f>
        <v>Pedro Afonso</v>
      </c>
      <c r="B332" s="39" t="str">
        <f ca="1">IFERROR(__xludf.DUMMYFUNCTION("""COMPUTED_VALUE"""),"Bom Jesus do Tocantins")</f>
        <v>Bom Jesus do Tocantins</v>
      </c>
      <c r="C332" s="40" t="str">
        <f ca="1">IFERROR(__xludf.DUMMYFUNCTION("""COMPUTED_VALUE"""),"ASSOC. DE AP.A ESC. EST. ALFREDO NASSER")</f>
        <v>ASSOC. DE AP.A ESC. EST. ALFREDO NASSER</v>
      </c>
      <c r="D332" s="41" t="str">
        <f ca="1">IFERROR(__xludf.DUMMYFUNCTION("""COMPUTED_VALUE"""),"01138329000186")</f>
        <v>01138329000186</v>
      </c>
      <c r="E332" s="42" t="str">
        <f ca="1">IFERROR(__xludf.DUMMYFUNCTION("""COMPUTED_VALUE"""),"001")</f>
        <v>001</v>
      </c>
      <c r="F332" s="43" t="str">
        <f ca="1">IFERROR(__xludf.DUMMYFUNCTION("""COMPUTED_VALUE"""),"1595")</f>
        <v>1595</v>
      </c>
      <c r="G332" s="43" t="str">
        <f ca="1">IFERROR(__xludf.DUMMYFUNCTION("""COMPUTED_VALUE"""),"59277")</f>
        <v>59277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IFERROR(__xludf.DUMMYFUNCTION("""COMPUTED_VALUE"""),5460)</f>
        <v>5460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IFERROR(__xludf.DUMMYFUNCTION("""COMPUTED_VALUE"""),4200)</f>
        <v>4200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IFERROR(__xludf.DUMMYFUNCTION("""COMPUTED_VALUE"""),0)</f>
        <v>0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IFERROR(__xludf.DUMMYFUNCTION("""COMPUTED_VALUE"""),"Pedro Afonso")</f>
        <v>Pedro Afonso</v>
      </c>
      <c r="B333" s="34" t="str">
        <f ca="1">IFERROR(__xludf.DUMMYFUNCTION("""COMPUTED_VALUE"""),"Centenario")</f>
        <v>Centenario</v>
      </c>
      <c r="C333" s="35" t="str">
        <f ca="1">IFERROR(__xludf.DUMMYFUNCTION("""COMPUTED_VALUE"""),"A. ESC. COM. DO COL. EST. OTONIEL C.DE JESUS")</f>
        <v>A. ESC. COM. DO COL. EST. OTONIEL C.DE JESUS</v>
      </c>
      <c r="D333" s="36" t="str">
        <f ca="1">IFERROR(__xludf.DUMMYFUNCTION("""COMPUTED_VALUE"""),"02008180000183")</f>
        <v>02008180000183</v>
      </c>
      <c r="E333" s="37" t="str">
        <f ca="1">IFERROR(__xludf.DUMMYFUNCTION("""COMPUTED_VALUE"""),"001")</f>
        <v>001</v>
      </c>
      <c r="F333" s="38" t="str">
        <f ca="1">IFERROR(__xludf.DUMMYFUNCTION("""COMPUTED_VALUE"""),"1595")</f>
        <v>1595</v>
      </c>
      <c r="G333" s="38" t="str">
        <f ca="1">IFERROR(__xludf.DUMMYFUNCTION("""COMPUTED_VALUE"""),"10081")</f>
        <v>10081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IFERROR(__xludf.DUMMYFUNCTION("""COMPUTED_VALUE"""),714)</f>
        <v>714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IFERROR(__xludf.DUMMYFUNCTION("""COMPUTED_VALUE"""),2331)</f>
        <v>2331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IFERROR(__xludf.DUMMYFUNCTION("""COMPUTED_VALUE"""),"Pedro Afonso")</f>
        <v>Pedro Afonso</v>
      </c>
      <c r="B334" s="39" t="str">
        <f ca="1">IFERROR(__xludf.DUMMYFUNCTION("""COMPUTED_VALUE"""),"Itacaja")</f>
        <v>Itacaja</v>
      </c>
      <c r="C334" s="40" t="str">
        <f ca="1">IFERROR(__xludf.DUMMYFUNCTION("""COMPUTED_VALUE"""),"A.A. COLEGIO ESTADUAL DE ITACAJA")</f>
        <v>A.A. COLEGIO ESTADUAL DE ITACAJA</v>
      </c>
      <c r="D334" s="41" t="str">
        <f ca="1">IFERROR(__xludf.DUMMYFUNCTION("""COMPUTED_VALUE"""),"01138428000168")</f>
        <v>01138428000168</v>
      </c>
      <c r="E334" s="42" t="str">
        <f ca="1">IFERROR(__xludf.DUMMYFUNCTION("""COMPUTED_VALUE"""),"001")</f>
        <v>001</v>
      </c>
      <c r="F334" s="43" t="str">
        <f ca="1">IFERROR(__xludf.DUMMYFUNCTION("""COMPUTED_VALUE"""),"1595")</f>
        <v>1595</v>
      </c>
      <c r="G334" s="43" t="str">
        <f ca="1">IFERROR(__xludf.DUMMYFUNCTION("""COMPUTED_VALUE"""),"59773")</f>
        <v>59773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IFERROR(__xludf.DUMMYFUNCTION("""COMPUTED_VALUE"""),6657)</f>
        <v>6657</v>
      </c>
      <c r="K334" s="43">
        <f ca="1">IFERROR(__xludf.DUMMYFUNCTION("""COMPUTED_VALUE"""),0)</f>
        <v>0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IFERROR(__xludf.DUMMYFUNCTION("""COMPUTED_VALUE"""),4662)</f>
        <v>4662</v>
      </c>
      <c r="R334" s="43">
        <f ca="1">IFERROR(__xludf.DUMMYFUNCTION("""COMPUTED_VALUE"""),0)</f>
        <v>0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IFERROR(__xludf.DUMMYFUNCTION("""COMPUTED_VALUE"""),0)</f>
        <v>0</v>
      </c>
    </row>
    <row r="335" spans="1:26" ht="12.75">
      <c r="A335" s="34" t="str">
        <f ca="1">IFERROR(__xludf.DUMMYFUNCTION("""COMPUTED_VALUE"""),"Pedro Afonso")</f>
        <v>Pedro Afonso</v>
      </c>
      <c r="B335" s="34" t="str">
        <f ca="1">IFERROR(__xludf.DUMMYFUNCTION("""COMPUTED_VALUE"""),"Itacaja")</f>
        <v>Itacaja</v>
      </c>
      <c r="C335" s="35" t="str">
        <f ca="1">IFERROR(__xludf.DUMMYFUNCTION("""COMPUTED_VALUE"""),"ASSOC. APOIO ESC. EST. ALMEIDA SARDINHA")</f>
        <v>ASSOC. APOIO ESC. EST. ALMEIDA SARDINHA</v>
      </c>
      <c r="D335" s="36" t="str">
        <f ca="1">IFERROR(__xludf.DUMMYFUNCTION("""COMPUTED_VALUE"""),"01138335000133")</f>
        <v>01138335000133</v>
      </c>
      <c r="E335" s="37" t="str">
        <f ca="1">IFERROR(__xludf.DUMMYFUNCTION("""COMPUTED_VALUE"""),"001")</f>
        <v>001</v>
      </c>
      <c r="F335" s="38" t="str">
        <f ca="1">IFERROR(__xludf.DUMMYFUNCTION("""COMPUTED_VALUE"""),"2094")</f>
        <v>2094</v>
      </c>
      <c r="G335" s="38" t="str">
        <f ca="1">IFERROR(__xludf.DUMMYFUNCTION("""COMPUTED_VALUE"""),"466484")</f>
        <v>466484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IFERROR(__xludf.DUMMYFUNCTION("""COMPUTED_VALUE"""),1932)</f>
        <v>1932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IFERROR(__xludf.DUMMYFUNCTION("""COMPUTED_VALUE"""),168)</f>
        <v>168</v>
      </c>
      <c r="Q335" s="38">
        <f ca="1">IFERROR(__xludf.DUMMYFUNCTION("""COMPUTED_VALUE"""),1239)</f>
        <v>1239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IFERROR(__xludf.DUMMYFUNCTION("""COMPUTED_VALUE"""),945)</f>
        <v>945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IFERROR(__xludf.DUMMYFUNCTION("""COMPUTED_VALUE"""),"Pedro Afonso")</f>
        <v>Pedro Afonso</v>
      </c>
      <c r="B336" s="39" t="str">
        <f ca="1">IFERROR(__xludf.DUMMYFUNCTION("""COMPUTED_VALUE"""),"Itacajá")</f>
        <v>Itacajá</v>
      </c>
      <c r="C336" s="40" t="str">
        <f ca="1">IFERROR(__xludf.DUMMYFUNCTION("""COMPUTED_VALUE"""),"A.A. ESCOLAS ESTADUAIS INDIGENAS DE ITACAJA II")</f>
        <v>A.A. ESCOLAS ESTADUAIS INDIGENAS DE ITACAJA II</v>
      </c>
      <c r="D336" s="41" t="str">
        <f ca="1">IFERROR(__xludf.DUMMYFUNCTION("""COMPUTED_VALUE"""),"43551682000133")</f>
        <v>43551682000133</v>
      </c>
      <c r="E336" s="42" t="str">
        <f ca="1">IFERROR(__xludf.DUMMYFUNCTION("""COMPUTED_VALUE"""),"001")</f>
        <v>001</v>
      </c>
      <c r="F336" s="43" t="str">
        <f ca="1">IFERROR(__xludf.DUMMYFUNCTION("""COMPUTED_VALUE"""),"1595")</f>
        <v>1595</v>
      </c>
      <c r="G336" s="43" t="str">
        <f ca="1">IFERROR(__xludf.DUMMYFUNCTION("""COMPUTED_VALUE"""),"327905")</f>
        <v>327905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IFERROR(__xludf.DUMMYFUNCTION("""COMPUTED_VALUE"""),0)</f>
        <v>0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IFERROR(__xludf.DUMMYFUNCTION("""COMPUTED_VALUE"""),3486)</f>
        <v>3486</v>
      </c>
      <c r="P336" s="43">
        <f ca="1">IFERROR(__xludf.DUMMYFUNCTION("""COMPUTED_VALUE"""),0)</f>
        <v>0</v>
      </c>
      <c r="Q336" s="43">
        <f ca="1">IFERROR(__xludf.DUMMYFUNCTION("""COMPUTED_VALUE"""),0)</f>
        <v>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IFERROR(__xludf.DUMMYFUNCTION("""COMPUTED_VALUE"""),0)</f>
        <v>0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IFERROR(__xludf.DUMMYFUNCTION("""COMPUTED_VALUE"""),"Pedro Afonso")</f>
        <v>Pedro Afonso</v>
      </c>
      <c r="C337" s="35" t="str">
        <f ca="1">IFERROR(__xludf.DUMMYFUNCTION("""COMPUTED_VALUE"""),"A.A. EC.INDIGENAS")</f>
        <v>A.A. EC.INDIGENAS</v>
      </c>
      <c r="D337" s="36" t="str">
        <f ca="1">IFERROR(__xludf.DUMMYFUNCTION("""COMPUTED_VALUE"""),"06135108000178")</f>
        <v>06135108000178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IFERROR(__xludf.DUMMYFUNCTION("""COMPUTED_VALUE"""),"114499")</f>
        <v>114499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IFERROR(__xludf.DUMMYFUNCTION("""COMPUTED_VALUE"""),0)</f>
        <v>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IFERROR(__xludf.DUMMYFUNCTION("""COMPUTED_VALUE"""),23247)</f>
        <v>23247</v>
      </c>
      <c r="P337" s="38">
        <f ca="1">IFERROR(__xludf.DUMMYFUNCTION("""COMPUTED_VALUE"""),0)</f>
        <v>0</v>
      </c>
      <c r="Q337" s="38">
        <f ca="1">IFERROR(__xludf.DUMMYFUNCTION("""COMPUTED_VALUE"""),0)</f>
        <v>0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IFERROR(__xludf.DUMMYFUNCTION("""COMPUTED_VALUE"""),"Pedro Afonso")</f>
        <v>Pedro Afonso</v>
      </c>
      <c r="C338" s="40" t="str">
        <f ca="1">IFERROR(__xludf.DUMMYFUNCTION("""COMPUTED_VALUE"""),"A.A. E. EST.IS.DA REG.DE ENS.DE GUARAI")</f>
        <v>A.A. E. EST.IS.DA REG.DE ENS.DE GUARAI</v>
      </c>
      <c r="D338" s="41" t="str">
        <f ca="1">IFERROR(__xludf.DUMMYFUNCTION("""COMPUTED_VALUE"""),"02508361000179")</f>
        <v>02508361000179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IFERROR(__xludf.DUMMYFUNCTION("""COMPUTED_VALUE"""),"110663")</f>
        <v>110663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IFERROR(__xludf.DUMMYFUNCTION("""COMPUTED_VALUE"""),1743)</f>
        <v>1743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IFERROR(__xludf.DUMMYFUNCTION("""COMPUTED_VALUE"""),0)</f>
        <v>0</v>
      </c>
      <c r="P338" s="43">
        <f ca="1">IFERROR(__xludf.DUMMYFUNCTION("""COMPUTED_VALUE"""),63)</f>
        <v>63</v>
      </c>
      <c r="Q338" s="43">
        <f ca="1">IFERROR(__xludf.DUMMYFUNCTION("""COMPUTED_VALUE"""),735)</f>
        <v>735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IFERROR(__xludf.DUMMYFUNCTION("""COMPUTED_VALUE"""),"Pedro Afonso")</f>
        <v>Pedro Afonso</v>
      </c>
      <c r="C339" s="35" t="str">
        <f ca="1">IFERROR(__xludf.DUMMYFUNCTION("""COMPUTED_VALUE"""),"A.A. ESCOLAR DO COLEGIO EST.CRISTO REI")</f>
        <v>A.A. ESCOLAR DO COLEGIO EST.CRISTO REI</v>
      </c>
      <c r="D339" s="36" t="str">
        <f ca="1">IFERROR(__xludf.DUMMYFUNCTION("""COMPUTED_VALUE"""),"02250658000187")</f>
        <v>02250658000187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IFERROR(__xludf.DUMMYFUNCTION("""COMPUTED_VALUE"""),"66141")</f>
        <v>66141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IFERROR(__xludf.DUMMYFUNCTION("""COMPUTED_VALUE"""),0)</f>
        <v>0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IFERROR(__xludf.DUMMYFUNCTION("""COMPUTED_VALUE"""),126)</f>
        <v>126</v>
      </c>
      <c r="Q339" s="38">
        <f ca="1">IFERROR(__xludf.DUMMYFUNCTION("""COMPUTED_VALUE"""),11319)</f>
        <v>11319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IFERROR(__xludf.DUMMYFUNCTION("""COMPUTED_VALUE"""),"Pedro Afonso")</f>
        <v>Pedro Afonso</v>
      </c>
      <c r="C340" s="40" t="str">
        <f ca="1">IFERROR(__xludf.DUMMYFUNCTION("""COMPUTED_VALUE"""),"ASSOCIAÇÃO DE PAIS E AMIGOS DOS EXCEPCIONAIS DE PEDRO AFONSO")</f>
        <v>ASSOCIAÇÃO DE PAIS E AMIGOS DOS EXCEPCIONAIS DE PEDRO AFONSO</v>
      </c>
      <c r="D340" s="41" t="str">
        <f ca="1">IFERROR(__xludf.DUMMYFUNCTION("""COMPUTED_VALUE"""),"04406588000139")</f>
        <v>04406588000139</v>
      </c>
      <c r="E340" s="42" t="str">
        <f ca="1">IFERROR(__xludf.DUMMYFUNCTION("""COMPUTED_VALUE"""),"001")</f>
        <v>001</v>
      </c>
      <c r="F340" s="43" t="str">
        <f ca="1">IFERROR(__xludf.DUMMYFUNCTION("""COMPUTED_VALUE"""),"1595")</f>
        <v>1595</v>
      </c>
      <c r="G340" s="43" t="str">
        <f ca="1">IFERROR(__xludf.DUMMYFUNCTION("""COMPUTED_VALUE"""),"119105")</f>
        <v>119105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IFERROR(__xludf.DUMMYFUNCTION("""COMPUTED_VALUE"""),105)</f>
        <v>105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IFERROR(__xludf.DUMMYFUNCTION("""COMPUTED_VALUE"""),2688)</f>
        <v>2688</v>
      </c>
      <c r="Q340" s="43">
        <f ca="1">IFERROR(__xludf.DUMMYFUNCTION("""COMPUTED_VALUE"""),0)</f>
        <v>0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IFERROR(__xludf.DUMMYFUNCTION("""COMPUTED_VALUE"""),2583)</f>
        <v>2583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IFERROR(__xludf.DUMMYFUNCTION("""COMPUTED_VALUE"""),"Pedro Afonso")</f>
        <v>Pedro Afonso</v>
      </c>
      <c r="C341" s="35" t="str">
        <f ca="1">IFERROR(__xludf.DUMMYFUNCTION("""COMPUTED_VALUE"""),"A. DE PAIS E MEST. DA ESC. EST. ANA AMORIM")</f>
        <v>A. DE PAIS E MEST. DA ESC. EST. ANA AMORIM</v>
      </c>
      <c r="D341" s="36" t="str">
        <f ca="1">IFERROR(__xludf.DUMMYFUNCTION("""COMPUTED_VALUE"""),"01990364000129")</f>
        <v>01990364000129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IFERROR(__xludf.DUMMYFUNCTION("""COMPUTED_VALUE"""),"59722")</f>
        <v>59722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IFERROR(__xludf.DUMMYFUNCTION("""COMPUTED_VALUE"""),10416)</f>
        <v>10416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IFERROR(__xludf.DUMMYFUNCTION("""COMPUTED_VALUE"""),0)</f>
        <v>0</v>
      </c>
      <c r="P341" s="38">
        <f ca="1">IFERROR(__xludf.DUMMYFUNCTION("""COMPUTED_VALUE"""),294)</f>
        <v>294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IFERROR(__xludf.DUMMYFUNCTION("""COMPUTED_VALUE"""),2499)</f>
        <v>2499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IFERROR(__xludf.DUMMYFUNCTION("""COMPUTED_VALUE"""),"ASS. DE APOIO A ESCOLA ESTADUAL BOM TEMPO")</f>
        <v>ASS. DE APOIO A ESCOLA ESTADUAL BOM TEMPO</v>
      </c>
      <c r="D342" s="41" t="str">
        <f ca="1">IFERROR(__xludf.DUMMYFUNCTION("""COMPUTED_VALUE"""),"44776099000193")</f>
        <v>44776099000193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IFERROR(__xludf.DUMMYFUNCTION("""COMPUTED_VALUE"""),"324981")</f>
        <v>324981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IFERROR(__xludf.DUMMYFUNCTION("""COMPUTED_VALUE"""),861)</f>
        <v>861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IFERROR(__xludf.DUMMYFUNCTION("""COMPUTED_VALUE"""),0)</f>
        <v>0</v>
      </c>
      <c r="P342" s="43">
        <f ca="1">IFERROR(__xludf.DUMMYFUNCTION("""COMPUTED_VALUE"""),0)</f>
        <v>0</v>
      </c>
      <c r="Q342" s="43">
        <f ca="1">IFERROR(__xludf.DUMMYFUNCTION("""COMPUTED_VALUE"""),189)</f>
        <v>189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IFERROR(__xludf.DUMMYFUNCTION("""COMPUTED_VALUE"""),294)</f>
        <v>294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IFERROR(__xludf.DUMMYFUNCTION("""COMPUTED_VALUE"""),"A.A. AO COLÉGIO DE TEMPO INTEGRAL PROFESSOR ANTONIO BELARMINO FILHO")</f>
        <v>A.A. AO COLÉGIO DE TEMPO INTEGRAL PROFESSOR ANTONIO BELARMINO FILHO</v>
      </c>
      <c r="D343" s="36" t="str">
        <f ca="1">IFERROR(__xludf.DUMMYFUNCTION("""COMPUTED_VALUE"""),"47823286000179")</f>
        <v>47823286000179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IFERROR(__xludf.DUMMYFUNCTION("""COMPUTED_VALUE"""),"334804")</f>
        <v>334804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IFERROR(__xludf.DUMMYFUNCTION("""COMPUTED_VALUE"""),0)</f>
        <v>0</v>
      </c>
      <c r="K343" s="38">
        <f ca="1">IFERROR(__xludf.DUMMYFUNCTION("""COMPUTED_VALUE"""),33398.4)</f>
        <v>33398.400000000001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IFERROR(__xludf.DUMMYFUNCTION("""COMPUTED_VALUE"""),0)</f>
        <v>0</v>
      </c>
      <c r="Q343" s="38">
        <f ca="1">IFERROR(__xludf.DUMMYFUNCTION("""COMPUTED_VALUE"""),0)</f>
        <v>0</v>
      </c>
      <c r="R343" s="38">
        <f ca="1">IFERROR(__xludf.DUMMYFUNCTION("""COMPUTED_VALUE"""),9172.8)</f>
        <v>9172.7999999999993</v>
      </c>
      <c r="S343" s="38">
        <f ca="1">IFERROR(__xludf.DUMMYFUNCTION("""COMPUTED_VALUE"""),0)</f>
        <v>0</v>
      </c>
      <c r="T343" s="38">
        <f ca="1">IFERROR(__xludf.DUMMYFUNCTION("""COMPUTED_VALUE"""),0)</f>
        <v>0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IFERROR(__xludf.DUMMYFUNCTION("""COMPUTED_VALUE"""),3592.79999999999)</f>
        <v>3592.7999999999902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IFERROR(__xludf.DUMMYFUNCTION("""COMPUTED_VALUE"""),"Recursolandia")</f>
        <v>Recursolandia</v>
      </c>
      <c r="C344" s="40" t="str">
        <f ca="1">IFERROR(__xludf.DUMMYFUNCTION("""COMPUTED_VALUE"""),"ASS. DE A. A ESCOLA EST. RECURSO I")</f>
        <v>ASS. DE A. A ESCOLA EST. RECURSO I</v>
      </c>
      <c r="D344" s="41" t="str">
        <f ca="1">IFERROR(__xludf.DUMMYFUNCTION("""COMPUTED_VALUE"""),"02021097000144")</f>
        <v>02021097000144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IFERROR(__xludf.DUMMYFUNCTION("""COMPUTED_VALUE"""),"11029")</f>
        <v>11029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IFERROR(__xludf.DUMMYFUNCTION("""COMPUTED_VALUE"""),2541)</f>
        <v>2541</v>
      </c>
      <c r="K344" s="43">
        <f ca="1">IFERROR(__xludf.DUMMYFUNCTION("""COMPUTED_VALUE"""),0)</f>
        <v>0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IFERROR(__xludf.DUMMYFUNCTION("""COMPUTED_VALUE"""),0)</f>
        <v>0</v>
      </c>
      <c r="Q344" s="43">
        <f ca="1">IFERROR(__xludf.DUMMYFUNCTION("""COMPUTED_VALUE"""),4431)</f>
        <v>4431</v>
      </c>
      <c r="R344" s="43">
        <f ca="1">IFERROR(__xludf.DUMMYFUNCTION("""COMPUTED_VALUE"""),0)</f>
        <v>0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IFERROR(__xludf.DUMMYFUNCTION("""COMPUTED_VALUE"""),0)</f>
        <v>0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IFERROR(__xludf.DUMMYFUNCTION("""COMPUTED_VALUE"""),"Santa Maria do Tocantins")</f>
        <v>Santa Maria do Tocantins</v>
      </c>
      <c r="C345" s="35" t="str">
        <f ca="1">IFERROR(__xludf.DUMMYFUNCTION("""COMPUTED_VALUE"""),"A. A.AS ESC.DO COL. EST. SANTA MARIA")</f>
        <v>A. A.AS ESC.DO COL. EST. SANTA MARIA</v>
      </c>
      <c r="D345" s="36" t="str">
        <f ca="1">IFERROR(__xludf.DUMMYFUNCTION("""COMPUTED_VALUE"""),"02087933000193")</f>
        <v>02087933000193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IFERROR(__xludf.DUMMYFUNCTION("""COMPUTED_VALUE"""),"83089")</f>
        <v>83089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IFERROR(__xludf.DUMMYFUNCTION("""COMPUTED_VALUE"""),3045)</f>
        <v>3045</v>
      </c>
      <c r="K345" s="38">
        <f ca="1">IFERROR(__xludf.DUMMYFUNCTION("""COMPUTED_VALUE"""),8780.8)</f>
        <v>8780.7999999999993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IFERROR(__xludf.DUMMYFUNCTION("""COMPUTED_VALUE"""),0)</f>
        <v>0</v>
      </c>
      <c r="Q345" s="38">
        <f ca="1">IFERROR(__xludf.DUMMYFUNCTION("""COMPUTED_VALUE"""),2646)</f>
        <v>2646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IFERROR(__xludf.DUMMYFUNCTION("""COMPUTED_VALUE"""),0)</f>
        <v>0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IFERROR(__xludf.DUMMYFUNCTION("""COMPUTED_VALUE"""),698.6)</f>
        <v>698.6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IFERROR(__xludf.DUMMYFUNCTION("""COMPUTED_VALUE"""),"Tupirama")</f>
        <v>Tupirama</v>
      </c>
      <c r="C346" s="40" t="str">
        <f ca="1">IFERROR(__xludf.DUMMYFUNCTION("""COMPUTED_VALUE"""),"A.A. A ESCOLA EST. MARIA DA GLORIA")</f>
        <v>A.A. A ESCOLA EST. MARIA DA GLORIA</v>
      </c>
      <c r="D346" s="41" t="str">
        <f ca="1">IFERROR(__xludf.DUMMYFUNCTION("""COMPUTED_VALUE"""),"02096555000104")</f>
        <v>02096555000104</v>
      </c>
      <c r="E346" s="42" t="str">
        <f ca="1">IFERROR(__xludf.DUMMYFUNCTION("""COMPUTED_VALUE"""),"001")</f>
        <v>001</v>
      </c>
      <c r="F346" s="43" t="str">
        <f ca="1">IFERROR(__xludf.DUMMYFUNCTION("""COMPUTED_VALUE"""),"2094")</f>
        <v>2094</v>
      </c>
      <c r="G346" s="43" t="str">
        <f ca="1">IFERROR(__xludf.DUMMYFUNCTION("""COMPUTED_VALUE"""),"50482")</f>
        <v>50482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IFERROR(__xludf.DUMMYFUNCTION("""COMPUTED_VALUE"""),0)</f>
        <v>0</v>
      </c>
      <c r="K346" s="43">
        <f ca="1">IFERROR(__xludf.DUMMYFUNCTION("""COMPUTED_VALUE"""),9956.8)</f>
        <v>9956.7999999999993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IFERROR(__xludf.DUMMYFUNCTION("""COMPUTED_VALUE"""),0)</f>
        <v>0</v>
      </c>
      <c r="Q346" s="43">
        <f ca="1">IFERROR(__xludf.DUMMYFUNCTION("""COMPUTED_VALUE"""),1281)</f>
        <v>1281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IFERROR(__xludf.DUMMYFUNCTION("""COMPUTED_VALUE"""),0)</f>
        <v>0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IFERROR(__xludf.DUMMYFUNCTION("""COMPUTED_VALUE"""),798.4)</f>
        <v>798.4</v>
      </c>
    </row>
    <row r="347" spans="1:26" ht="12.75">
      <c r="A347" s="34" t="str">
        <f ca="1">IFERROR(__xludf.DUMMYFUNCTION("""COMPUTED_VALUE"""),"Porto Nacional")</f>
        <v>Porto Nacional</v>
      </c>
      <c r="B347" s="34" t="str">
        <f ca="1">IFERROR(__xludf.DUMMYFUNCTION("""COMPUTED_VALUE"""),"Brejinho de Nazare")</f>
        <v>Brejinho de Nazare</v>
      </c>
      <c r="C347" s="35" t="str">
        <f ca="1">IFERROR(__xludf.DUMMYFUNCTION("""COMPUTED_VALUE"""),"A.A. DO COLEGIO ESTADUAL PADRAO")</f>
        <v>A.A. DO COLEGIO ESTADUAL PADRAO</v>
      </c>
      <c r="D347" s="36" t="str">
        <f ca="1">IFERROR(__xludf.DUMMYFUNCTION("""COMPUTED_VALUE"""),"01181175000105")</f>
        <v>01181175000105</v>
      </c>
      <c r="E347" s="37" t="str">
        <f ca="1">IFERROR(__xludf.DUMMYFUNCTION("""COMPUTED_VALUE"""),"001")</f>
        <v>001</v>
      </c>
      <c r="F347" s="38" t="str">
        <f ca="1">IFERROR(__xludf.DUMMYFUNCTION("""COMPUTED_VALUE"""),"3976")</f>
        <v>3976</v>
      </c>
      <c r="G347" s="38" t="str">
        <f ca="1">IFERROR(__xludf.DUMMYFUNCTION("""COMPUTED_VALUE"""),"51047")</f>
        <v>51047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IFERROR(__xludf.DUMMYFUNCTION("""COMPUTED_VALUE"""),0)</f>
        <v>0</v>
      </c>
      <c r="K347" s="38">
        <f ca="1">IFERROR(__xludf.DUMMYFUNCTION("""COMPUTED_VALUE"""),0)</f>
        <v>0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IFERROR(__xludf.DUMMYFUNCTION("""COMPUTED_VALUE"""),0)</f>
        <v>0</v>
      </c>
      <c r="R347" s="38">
        <f ca="1">IFERROR(__xludf.DUMMYFUNCTION("""COMPUTED_VALUE"""),0)</f>
        <v>0</v>
      </c>
      <c r="S347" s="38">
        <f ca="1">IFERROR(__xludf.DUMMYFUNCTION("""COMPUTED_VALUE"""),14830.4)</f>
        <v>14830.4</v>
      </c>
      <c r="T347" s="38">
        <f ca="1">IFERROR(__xludf.DUMMYFUNCTION("""COMPUTED_VALUE"""),294)</f>
        <v>294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IFERROR(__xludf.DUMMYFUNCTION("""COMPUTED_VALUE"""),1447.19999999999)</f>
        <v>1447.19999999999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IFERROR(__xludf.DUMMYFUNCTION("""COMPUTED_VALUE"""),0)</f>
        <v>0</v>
      </c>
    </row>
    <row r="348" spans="1:26" ht="12.75">
      <c r="A348" s="39" t="str">
        <f ca="1">IFERROR(__xludf.DUMMYFUNCTION("""COMPUTED_VALUE"""),"Porto Nacional")</f>
        <v>Porto Nacional</v>
      </c>
      <c r="B348" s="39" t="str">
        <f ca="1">IFERROR(__xludf.DUMMYFUNCTION("""COMPUTED_VALUE"""),"Brejinho de Nazare")</f>
        <v>Brejinho de Nazare</v>
      </c>
      <c r="C348" s="40" t="str">
        <f ca="1">IFERROR(__xludf.DUMMYFUNCTION("""COMPUTED_VALUE"""),"AS.DE APOIO A ESC. EST. JONAS PEREIRA LIMA")</f>
        <v>AS.DE APOIO A ESC. EST. JONAS PEREIRA LIMA</v>
      </c>
      <c r="D348" s="41" t="str">
        <f ca="1">IFERROR(__xludf.DUMMYFUNCTION("""COMPUTED_VALUE"""),"01148459000108")</f>
        <v>01148459000108</v>
      </c>
      <c r="E348" s="42" t="str">
        <f ca="1">IFERROR(__xludf.DUMMYFUNCTION("""COMPUTED_VALUE"""),"001")</f>
        <v>001</v>
      </c>
      <c r="F348" s="43" t="str">
        <f ca="1">IFERROR(__xludf.DUMMYFUNCTION("""COMPUTED_VALUE"""),"3976")</f>
        <v>3976</v>
      </c>
      <c r="G348" s="43" t="str">
        <f ca="1">IFERROR(__xludf.DUMMYFUNCTION("""COMPUTED_VALUE"""),"80489")</f>
        <v>80489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IFERROR(__xludf.DUMMYFUNCTION("""COMPUTED_VALUE"""),21716.8)</f>
        <v>21716.799999999999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IFERROR(__xludf.DUMMYFUNCTION("""COMPUTED_VALUE"""),273)</f>
        <v>273</v>
      </c>
      <c r="Q348" s="43">
        <f ca="1">IFERROR(__xludf.DUMMYFUNCTION("""COMPUTED_VALUE"""),0)</f>
        <v>0</v>
      </c>
      <c r="R348" s="43">
        <f ca="1">IFERROR(__xludf.DUMMYFUNCTION("""COMPUTED_VALUE"""),0)</f>
        <v>0</v>
      </c>
      <c r="S348" s="43">
        <f ca="1">IFERROR(__xludf.DUMMYFUNCTION("""COMPUTED_VALUE"""),0)</f>
        <v>0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IFERROR(__xludf.DUMMYFUNCTION("""COMPUTED_VALUE"""),0)</f>
        <v>0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IFERROR(__xludf.DUMMYFUNCTION("""COMPUTED_VALUE"""),1796.39999999999)</f>
        <v>1796.3999999999901</v>
      </c>
    </row>
    <row r="349" spans="1:26" ht="12.75">
      <c r="A349" s="34" t="str">
        <f ca="1">IFERROR(__xludf.DUMMYFUNCTION("""COMPUTED_VALUE"""),"Porto Nacional")</f>
        <v>Porto Nacional</v>
      </c>
      <c r="B349" s="34" t="str">
        <f ca="1">IFERROR(__xludf.DUMMYFUNCTION("""COMPUTED_VALUE"""),"Chapada da Natividade")</f>
        <v>Chapada da Natividade</v>
      </c>
      <c r="C349" s="35" t="str">
        <f ca="1">IFERROR(__xludf.DUMMYFUNCTION("""COMPUTED_VALUE"""),"A. APOIO ESCOLA EST. FULGENCIO NUNES")</f>
        <v>A. APOIO ESCOLA EST. FULGENCIO NUNES</v>
      </c>
      <c r="D349" s="36" t="str">
        <f ca="1">IFERROR(__xludf.DUMMYFUNCTION("""COMPUTED_VALUE"""),"01257085000150")</f>
        <v>01257085000150</v>
      </c>
      <c r="E349" s="37" t="str">
        <f ca="1">IFERROR(__xludf.DUMMYFUNCTION("""COMPUTED_VALUE"""),"003")</f>
        <v>003</v>
      </c>
      <c r="F349" s="38" t="str">
        <f ca="1">IFERROR(__xludf.DUMMYFUNCTION("""COMPUTED_VALUE"""),"0037")</f>
        <v>0037</v>
      </c>
      <c r="G349" s="38" t="str">
        <f ca="1">IFERROR(__xludf.DUMMYFUNCTION("""COMPUTED_VALUE"""),"706153")</f>
        <v>706153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IFERROR(__xludf.DUMMYFUNCTION("""COMPUTED_VALUE"""),0)</f>
        <v>0</v>
      </c>
      <c r="K349" s="38">
        <f ca="1">IFERROR(__xludf.DUMMYFUNCTION("""COMPUTED_VALUE"""),0)</f>
        <v>0</v>
      </c>
      <c r="L349" s="38">
        <f ca="1">IFERROR(__xludf.DUMMYFUNCTION("""COMPUTED_VALUE"""),6741)</f>
        <v>6741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IFERROR(__xludf.DUMMYFUNCTION("""COMPUTED_VALUE"""),0)</f>
        <v>0</v>
      </c>
      <c r="Q349" s="38">
        <f ca="1">IFERROR(__xludf.DUMMYFUNCTION("""COMPUTED_VALUE"""),0)</f>
        <v>0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IFERROR(__xludf.DUMMYFUNCTION("""COMPUTED_VALUE"""),0)</f>
        <v>0</v>
      </c>
    </row>
    <row r="350" spans="1:26" ht="12.75">
      <c r="A350" s="39" t="str">
        <f ca="1">IFERROR(__xludf.DUMMYFUNCTION("""COMPUTED_VALUE"""),"Porto Nacional")</f>
        <v>Porto Nacional</v>
      </c>
      <c r="B350" s="39" t="str">
        <f ca="1">IFERROR(__xludf.DUMMYFUNCTION("""COMPUTED_VALUE"""),"Fatima")</f>
        <v>Fatima</v>
      </c>
      <c r="C350" s="40" t="str">
        <f ca="1">IFERROR(__xludf.DUMMYFUNCTION("""COMPUTED_VALUE"""),"A.A. ESCOLA ESTADUAL CONCEICAO BRITO")</f>
        <v>A.A. ESCOLA ESTADUAL CONCEICAO BRITO</v>
      </c>
      <c r="D350" s="41" t="str">
        <f ca="1">IFERROR(__xludf.DUMMYFUNCTION("""COMPUTED_VALUE"""),"01268285000109")</f>
        <v>01268285000109</v>
      </c>
      <c r="E350" s="42" t="str">
        <f ca="1">IFERROR(__xludf.DUMMYFUNCTION("""COMPUTED_VALUE"""),"001")</f>
        <v>001</v>
      </c>
      <c r="F350" s="43" t="str">
        <f ca="1">IFERROR(__xludf.DUMMYFUNCTION("""COMPUTED_VALUE"""),"4107")</f>
        <v>4107</v>
      </c>
      <c r="G350" s="43" t="str">
        <f ca="1">IFERROR(__xludf.DUMMYFUNCTION("""COMPUTED_VALUE"""),"50911")</f>
        <v>50911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IFERROR(__xludf.DUMMYFUNCTION("""COMPUTED_VALUE"""),5754)</f>
        <v>5754</v>
      </c>
      <c r="K350" s="43">
        <f ca="1">IFERROR(__xludf.DUMMYFUNCTION("""COMPUTED_VALUE"""),0)</f>
        <v>0</v>
      </c>
      <c r="L350" s="43">
        <f ca="1">IFERROR(__xludf.DUMMYFUNCTION("""COMPUTED_VALUE"""),0)</f>
        <v>0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IFERROR(__xludf.DUMMYFUNCTION("""COMPUTED_VALUE"""),210)</f>
        <v>210</v>
      </c>
      <c r="Q350" s="43">
        <f ca="1">IFERROR(__xludf.DUMMYFUNCTION("""COMPUTED_VALUE"""),2898)</f>
        <v>2898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IFERROR(__xludf.DUMMYFUNCTION("""COMPUTED_VALUE"""),0)</f>
        <v>0</v>
      </c>
    </row>
    <row r="351" spans="1:26" ht="12.75">
      <c r="A351" s="34" t="str">
        <f ca="1">IFERROR(__xludf.DUMMYFUNCTION("""COMPUTED_VALUE"""),"Porto Nacional")</f>
        <v>Porto Nacional</v>
      </c>
      <c r="B351" s="34" t="str">
        <f ca="1">IFERROR(__xludf.DUMMYFUNCTION("""COMPUTED_VALUE"""),"Fatima")</f>
        <v>Fatima</v>
      </c>
      <c r="C351" s="35" t="str">
        <f ca="1">IFERROR(__xludf.DUMMYFUNCTION("""COMPUTED_VALUE"""),"ASSOC. DE APOIO A ESCOLA ESPECIAL RENASCER")</f>
        <v>ASSOC. DE APOIO A ESCOLA ESPECIAL RENASCER</v>
      </c>
      <c r="D351" s="36" t="str">
        <f ca="1">IFERROR(__xludf.DUMMYFUNCTION("""COMPUTED_VALUE"""),"11726757000183")</f>
        <v>11726757000183</v>
      </c>
      <c r="E351" s="37" t="str">
        <f ca="1">IFERROR(__xludf.DUMMYFUNCTION("""COMPUTED_VALUE"""),"001")</f>
        <v>001</v>
      </c>
      <c r="F351" s="38" t="str">
        <f ca="1">IFERROR(__xludf.DUMMYFUNCTION("""COMPUTED_VALUE"""),"4107")</f>
        <v>4107</v>
      </c>
      <c r="G351" s="38" t="str">
        <f ca="1">IFERROR(__xludf.DUMMYFUNCTION("""COMPUTED_VALUE"""),"7991X")</f>
        <v>7991X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IFERROR(__xludf.DUMMYFUNCTION("""COMPUTED_VALUE"""),0)</f>
        <v>0</v>
      </c>
      <c r="K351" s="38">
        <f ca="1">IFERROR(__xludf.DUMMYFUNCTION("""COMPUTED_VALUE"""),0)</f>
        <v>0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IFERROR(__xludf.DUMMYFUNCTION("""COMPUTED_VALUE"""),672)</f>
        <v>672</v>
      </c>
      <c r="Q351" s="38">
        <f ca="1">IFERROR(__xludf.DUMMYFUNCTION("""COMPUTED_VALUE"""),0)</f>
        <v>0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IFERROR(__xludf.DUMMYFUNCTION("""COMPUTED_VALUE"""),672)</f>
        <v>672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IFERROR(__xludf.DUMMYFUNCTION("""COMPUTED_VALUE"""),0)</f>
        <v>0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IFERROR(__xludf.DUMMYFUNCTION("""COMPUTED_VALUE"""),"Ipueiras")</f>
        <v>Ipueiras</v>
      </c>
      <c r="C352" s="40" t="str">
        <f ca="1">IFERROR(__xludf.DUMMYFUNCTION("""COMPUTED_VALUE"""),"ASSOC. DE APOIO DA ESC. EST. FELIX CAMOA")</f>
        <v>ASSOC. DE APOIO DA ESC. EST. FELIX CAMOA</v>
      </c>
      <c r="D352" s="41" t="str">
        <f ca="1">IFERROR(__xludf.DUMMYFUNCTION("""COMPUTED_VALUE"""),"01469443000199")</f>
        <v>01469443000199</v>
      </c>
      <c r="E352" s="42" t="str">
        <f ca="1">IFERROR(__xludf.DUMMYFUNCTION("""COMPUTED_VALUE"""),"001")</f>
        <v>001</v>
      </c>
      <c r="F352" s="43" t="str">
        <f ca="1">IFERROR(__xludf.DUMMYFUNCTION("""COMPUTED_VALUE"""),"1117")</f>
        <v>1117</v>
      </c>
      <c r="G352" s="43" t="str">
        <f ca="1">IFERROR(__xludf.DUMMYFUNCTION("""COMPUTED_VALUE"""),"315052")</f>
        <v>315052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IFERROR(__xludf.DUMMYFUNCTION("""COMPUTED_VALUE"""),252)</f>
        <v>252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IFERROR(__xludf.DUMMYFUNCTION("""COMPUTED_VALUE"""),126)</f>
        <v>126</v>
      </c>
      <c r="Q352" s="43">
        <f ca="1">IFERROR(__xludf.DUMMYFUNCTION("""COMPUTED_VALUE"""),1617)</f>
        <v>1617</v>
      </c>
      <c r="R352" s="43">
        <f ca="1">IFERROR(__xludf.DUMMYFUNCTION("""COMPUTED_VALUE"""),0)</f>
        <v>0</v>
      </c>
      <c r="S352" s="43">
        <f ca="1">IFERROR(__xludf.DUMMYFUNCTION("""COMPUTED_VALUE"""),0)</f>
        <v>0</v>
      </c>
      <c r="T352" s="43">
        <f ca="1">IFERROR(__xludf.DUMMYFUNCTION("""COMPUTED_VALUE"""),336)</f>
        <v>336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IFERROR(__xludf.DUMMYFUNCTION("""COMPUTED_VALUE"""),0)</f>
        <v>0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IFERROR(__xludf.DUMMYFUNCTION("""COMPUTED_VALUE"""),"Monte do Carmo")</f>
        <v>Monte do Carmo</v>
      </c>
      <c r="C353" s="35" t="str">
        <f ca="1">IFERROR(__xludf.DUMMYFUNCTION("""COMPUTED_VALUE"""),"A.A. DA ESC. EST. BRIGADAS CHE GUEVARA")</f>
        <v>A.A. DA ESC. EST. BRIGADAS CHE GUEVARA</v>
      </c>
      <c r="D353" s="36" t="str">
        <f ca="1">IFERROR(__xludf.DUMMYFUNCTION("""COMPUTED_VALUE"""),"08593650000108")</f>
        <v>08593650000108</v>
      </c>
      <c r="E353" s="37" t="str">
        <f ca="1">IFERROR(__xludf.DUMMYFUNCTION("""COMPUTED_VALUE"""),"001")</f>
        <v>001</v>
      </c>
      <c r="F353" s="38" t="str">
        <f ca="1">IFERROR(__xludf.DUMMYFUNCTION("""COMPUTED_VALUE"""),"1117")</f>
        <v>1117</v>
      </c>
      <c r="G353" s="38" t="str">
        <f ca="1">IFERROR(__xludf.DUMMYFUNCTION("""COMPUTED_VALUE"""),"263060")</f>
        <v>263060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IFERROR(__xludf.DUMMYFUNCTION("""COMPUTED_VALUE"""),0)</f>
        <v>0</v>
      </c>
      <c r="K353" s="38">
        <f ca="1">IFERROR(__xludf.DUMMYFUNCTION("""COMPUTED_VALUE"""),0)</f>
        <v>0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IFERROR(__xludf.DUMMYFUNCTION("""COMPUTED_VALUE"""),0)</f>
        <v>0</v>
      </c>
      <c r="Q353" s="38">
        <f ca="1">IFERROR(__xludf.DUMMYFUNCTION("""COMPUTED_VALUE"""),0)</f>
        <v>0</v>
      </c>
      <c r="R353" s="38">
        <f ca="1">IFERROR(__xludf.DUMMYFUNCTION("""COMPUTED_VALUE"""),4233.6)</f>
        <v>4233.6000000000004</v>
      </c>
      <c r="S353" s="38">
        <f ca="1">IFERROR(__xludf.DUMMYFUNCTION("""COMPUTED_VALUE"""),0)</f>
        <v>0</v>
      </c>
      <c r="T353" s="38">
        <f ca="1">IFERROR(__xludf.DUMMYFUNCTION("""COMPUTED_VALUE"""),0)</f>
        <v>0</v>
      </c>
      <c r="U353" s="38">
        <f ca="1">IFERROR(__xludf.DUMMYFUNCTION("""COMPUTED_VALUE"""),0)</f>
        <v>0</v>
      </c>
      <c r="V353" s="38">
        <f ca="1">IFERROR(__xludf.DUMMYFUNCTION("""COMPUTED_VALUE"""),8035.2)</f>
        <v>8035.2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IFERROR(__xludf.DUMMYFUNCTION("""COMPUTED_VALUE"""),680.8)</f>
        <v>680.8</v>
      </c>
      <c r="Z353" s="38">
        <f ca="1">IFERROR(__xludf.DUMMYFUNCTION("""COMPUTED_VALUE"""),0)</f>
        <v>0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IFERROR(__xludf.DUMMYFUNCTION("""COMPUTED_VALUE"""),"Monte do Carmo")</f>
        <v>Monte do Carmo</v>
      </c>
      <c r="C354" s="40" t="str">
        <f ca="1">IFERROR(__xludf.DUMMYFUNCTION("""COMPUTED_VALUE"""),"A.A.  DO COLEGIO EST. PADRE GAMA")</f>
        <v>A.A.  DO COLEGIO EST. PADRE GAMA</v>
      </c>
      <c r="D354" s="41" t="str">
        <f ca="1">IFERROR(__xludf.DUMMYFUNCTION("""COMPUTED_VALUE"""),"01071443000136")</f>
        <v>01071443000136</v>
      </c>
      <c r="E354" s="42" t="str">
        <f ca="1">IFERROR(__xludf.DUMMYFUNCTION("""COMPUTED_VALUE"""),"001")</f>
        <v>001</v>
      </c>
      <c r="F354" s="43" t="str">
        <f ca="1">IFERROR(__xludf.DUMMYFUNCTION("""COMPUTED_VALUE"""),"1117")</f>
        <v>1117</v>
      </c>
      <c r="G354" s="43" t="str">
        <f ca="1">IFERROR(__xludf.DUMMYFUNCTION("""COMPUTED_VALUE"""),"0312878")</f>
        <v>0312878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IFERROR(__xludf.DUMMYFUNCTION("""COMPUTED_VALUE"""),0)</f>
        <v>0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IFERROR(__xludf.DUMMYFUNCTION("""COMPUTED_VALUE"""),0)</f>
        <v>0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IFERROR(__xludf.DUMMYFUNCTION("""COMPUTED_VALUE"""),0)</f>
        <v>0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IFERROR(__xludf.DUMMYFUNCTION("""COMPUTED_VALUE"""),"Monte do Carmo")</f>
        <v>Monte do Carmo</v>
      </c>
      <c r="C355" s="35" t="str">
        <f ca="1">IFERROR(__xludf.DUMMYFUNCTION("""COMPUTED_VALUE"""),"A.APOIO DA ESCOLA ESTADUAL MESTRA BELA")</f>
        <v>A.APOIO DA ESCOLA ESTADUAL MESTRA BELA</v>
      </c>
      <c r="D355" s="36" t="str">
        <f ca="1">IFERROR(__xludf.DUMMYFUNCTION("""COMPUTED_VALUE"""),"01071442000191")</f>
        <v>01071442000191</v>
      </c>
      <c r="E355" s="37" t="str">
        <f ca="1">IFERROR(__xludf.DUMMYFUNCTION("""COMPUTED_VALUE"""),"001")</f>
        <v>001</v>
      </c>
      <c r="F355" s="38" t="str">
        <f ca="1">IFERROR(__xludf.DUMMYFUNCTION("""COMPUTED_VALUE"""),"1117")</f>
        <v>1117</v>
      </c>
      <c r="G355" s="38" t="str">
        <f ca="1">IFERROR(__xludf.DUMMYFUNCTION("""COMPUTED_VALUE"""),"31286X")</f>
        <v>31286X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IFERROR(__xludf.DUMMYFUNCTION("""COMPUTED_VALUE"""),0)</f>
        <v>0</v>
      </c>
      <c r="K355" s="38">
        <f ca="1">IFERROR(__xludf.DUMMYFUNCTION("""COMPUTED_VALUE"""),8937.6)</f>
        <v>8937.6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IFERROR(__xludf.DUMMYFUNCTION("""COMPUTED_VALUE"""),147)</f>
        <v>147</v>
      </c>
      <c r="Q355" s="38">
        <f ca="1">IFERROR(__xludf.DUMMYFUNCTION("""COMPUTED_VALUE"""),0)</f>
        <v>0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IFERROR(__xludf.DUMMYFUNCTION("""COMPUTED_VALUE"""),0)</f>
        <v>0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IFERROR(__xludf.DUMMYFUNCTION("""COMPUTED_VALUE"""),798.4)</f>
        <v>798.4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IFERROR(__xludf.DUMMYFUNCTION("""COMPUTED_VALUE"""),"Monte do Carmo")</f>
        <v>Monte do Carmo</v>
      </c>
      <c r="C356" s="40" t="str">
        <f ca="1">IFERROR(__xludf.DUMMYFUNCTION("""COMPUTED_VALUE"""),"ASSOC. APOIA A ESC. EST. PROF.DINA DE OLIVEIRA AMORIM")</f>
        <v>ASSOC. APOIA A ESC. EST. PROF.DINA DE OLIVEIRA AMORIM</v>
      </c>
      <c r="D356" s="41" t="str">
        <f ca="1">IFERROR(__xludf.DUMMYFUNCTION("""COMPUTED_VALUE"""),"16437349000125")</f>
        <v>16437349000125</v>
      </c>
      <c r="E356" s="42" t="str">
        <f ca="1">IFERROR(__xludf.DUMMYFUNCTION("""COMPUTED_VALUE"""),"001")</f>
        <v>001</v>
      </c>
      <c r="F356" s="43" t="str">
        <f ca="1">IFERROR(__xludf.DUMMYFUNCTION("""COMPUTED_VALUE"""),"1117")</f>
        <v>1117</v>
      </c>
      <c r="G356" s="43" t="str">
        <f ca="1">IFERROR(__xludf.DUMMYFUNCTION("""COMPUTED_VALUE"""),"339113")</f>
        <v>339113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IFERROR(__xludf.DUMMYFUNCTION("""COMPUTED_VALUE"""),1743)</f>
        <v>1743</v>
      </c>
      <c r="K356" s="43">
        <f ca="1">IFERROR(__xludf.DUMMYFUNCTION("""COMPUTED_VALUE"""),0)</f>
        <v>0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IFERROR(__xludf.DUMMYFUNCTION("""COMPUTED_VALUE"""),0)</f>
        <v>0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IFERROR(__xludf.DUMMYFUNCTION("""COMPUTED_VALUE"""),0)</f>
        <v>0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IFERROR(__xludf.DUMMYFUNCTION("""COMPUTED_VALUE"""),0)</f>
        <v>0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IFERROR(__xludf.DUMMYFUNCTION("""COMPUTED_VALUE"""),"Natividade")</f>
        <v>Natividade</v>
      </c>
      <c r="C357" s="35" t="str">
        <f ca="1">IFERROR(__xludf.DUMMYFUNCTION("""COMPUTED_VALUE"""),"ASSOC. NOSSA SENHORA NATIVIDADE COL. AGRÍCOLA")</f>
        <v>ASSOC. NOSSA SENHORA NATIVIDADE COL. AGRÍCOLA</v>
      </c>
      <c r="D357" s="36" t="str">
        <f ca="1">IFERROR(__xludf.DUMMYFUNCTION("""COMPUTED_VALUE"""),"03758716000140")</f>
        <v>03758716000140</v>
      </c>
      <c r="E357" s="37" t="str">
        <f ca="1">IFERROR(__xludf.DUMMYFUNCTION("""COMPUTED_VALUE"""),"001")</f>
        <v>001</v>
      </c>
      <c r="F357" s="38" t="str">
        <f ca="1">IFERROR(__xludf.DUMMYFUNCTION("""COMPUTED_VALUE"""),"3980")</f>
        <v>3980</v>
      </c>
      <c r="G357" s="38" t="str">
        <f ca="1">IFERROR(__xludf.DUMMYFUNCTION("""COMPUTED_VALUE"""),"282782")</f>
        <v>282782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IFERROR(__xludf.DUMMYFUNCTION("""COMPUTED_VALUE"""),0)</f>
        <v>0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IFERROR(__xludf.DUMMYFUNCTION("""COMPUTED_VALUE"""),0)</f>
        <v>0</v>
      </c>
      <c r="Q357" s="38">
        <f ca="1">IFERROR(__xludf.DUMMYFUNCTION("""COMPUTED_VALUE"""),0)</f>
        <v>0</v>
      </c>
      <c r="R357" s="38">
        <f ca="1">IFERROR(__xludf.DUMMYFUNCTION("""COMPUTED_VALUE"""),0)</f>
        <v>0</v>
      </c>
      <c r="S357" s="38">
        <f ca="1">IFERROR(__xludf.DUMMYFUNCTION("""COMPUTED_VALUE"""),17973.8)</f>
        <v>17973.8</v>
      </c>
      <c r="T357" s="38">
        <f ca="1">IFERROR(__xludf.DUMMYFUNCTION("""COMPUTED_VALUE"""),0)</f>
        <v>0</v>
      </c>
      <c r="U357" s="38">
        <f ca="1">IFERROR(__xludf.DUMMYFUNCTION("""COMPUTED_VALUE"""),0)</f>
        <v>0</v>
      </c>
      <c r="V357" s="38">
        <f ca="1">IFERROR(__xludf.DUMMYFUNCTION("""COMPUTED_VALUE"""),33182.4)</f>
        <v>33182.400000000001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IFERROR(__xludf.DUMMYFUNCTION("""COMPUTED_VALUE"""),2553)</f>
        <v>2553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IFERROR(__xludf.DUMMYFUNCTION("""COMPUTED_VALUE"""),"Natividade")</f>
        <v>Natividade</v>
      </c>
      <c r="C358" s="40" t="str">
        <f ca="1">IFERROR(__xludf.DUMMYFUNCTION("""COMPUTED_VALUE"""),"A.A. COL. EST. DR.QUINTILIANO DA SILVA")</f>
        <v>A.A. COL. EST. DR.QUINTILIANO DA SILVA</v>
      </c>
      <c r="D358" s="41" t="str">
        <f ca="1">IFERROR(__xludf.DUMMYFUNCTION("""COMPUTED_VALUE"""),"01133702000106")</f>
        <v>01133702000106</v>
      </c>
      <c r="E358" s="42" t="str">
        <f ca="1">IFERROR(__xludf.DUMMYFUNCTION("""COMPUTED_VALUE"""),"003")</f>
        <v>003</v>
      </c>
      <c r="F358" s="43" t="str">
        <f ca="1">IFERROR(__xludf.DUMMYFUNCTION("""COMPUTED_VALUE"""),"0037")</f>
        <v>0037</v>
      </c>
      <c r="G358" s="43" t="str">
        <f ca="1">IFERROR(__xludf.DUMMYFUNCTION("""COMPUTED_VALUE"""),"0702727")</f>
        <v>0702727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IFERROR(__xludf.DUMMYFUNCTION("""COMPUTED_VALUE"""),0)</f>
        <v>0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IFERROR(__xludf.DUMMYFUNCTION("""COMPUTED_VALUE"""),0)</f>
        <v>0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IFERROR(__xludf.DUMMYFUNCTION("""COMPUTED_VALUE"""),"Natividade")</f>
        <v>Natividade</v>
      </c>
      <c r="C359" s="35" t="str">
        <f ca="1">IFERROR(__xludf.DUMMYFUNCTION("""COMPUTED_VALUE"""),"ASSOC. DE APOIO A ESC. ESPECIAL TIA CORACI DE SENA FERNANDES")</f>
        <v>ASSOC. DE APOIO A ESC. ESPECIAL TIA CORACI DE SENA FERNANDES</v>
      </c>
      <c r="D359" s="36" t="str">
        <f ca="1">IFERROR(__xludf.DUMMYFUNCTION("""COMPUTED_VALUE"""),"17163914000176")</f>
        <v>17163914000176</v>
      </c>
      <c r="E359" s="37" t="str">
        <f ca="1">IFERROR(__xludf.DUMMYFUNCTION("""COMPUTED_VALUE"""),"001")</f>
        <v>001</v>
      </c>
      <c r="F359" s="38" t="str">
        <f ca="1">IFERROR(__xludf.DUMMYFUNCTION("""COMPUTED_VALUE"""),"2334")</f>
        <v>2334</v>
      </c>
      <c r="G359" s="38" t="str">
        <f ca="1">IFERROR(__xludf.DUMMYFUNCTION("""COMPUTED_VALUE"""),"19860")</f>
        <v>19860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IFERROR(__xludf.DUMMYFUNCTION("""COMPUTED_VALUE"""),147)</f>
        <v>147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IFERROR(__xludf.DUMMYFUNCTION("""COMPUTED_VALUE"""),1029)</f>
        <v>1029</v>
      </c>
      <c r="Q359" s="38">
        <f ca="1">IFERROR(__xludf.DUMMYFUNCTION("""COMPUTED_VALUE"""),0)</f>
        <v>0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IFERROR(__xludf.DUMMYFUNCTION("""COMPUTED_VALUE"""),945)</f>
        <v>945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IFERROR(__xludf.DUMMYFUNCTION("""COMPUTED_VALUE"""),"Natividade")</f>
        <v>Natividade</v>
      </c>
      <c r="C360" s="40" t="str">
        <f ca="1">IFERROR(__xludf.DUMMYFUNCTION("""COMPUTED_VALUE"""),"ASS. APOIO ESC. EST. JOAQUIM LINO SUARTE")</f>
        <v>ASS. APOIO ESC. EST. JOAQUIM LINO SUARTE</v>
      </c>
      <c r="D360" s="41" t="str">
        <f ca="1">IFERROR(__xludf.DUMMYFUNCTION("""COMPUTED_VALUE"""),"01133708000183")</f>
        <v>01133708000183</v>
      </c>
      <c r="E360" s="42" t="str">
        <f ca="1">IFERROR(__xludf.DUMMYFUNCTION("""COMPUTED_VALUE"""),"003")</f>
        <v>003</v>
      </c>
      <c r="F360" s="43" t="str">
        <f ca="1">IFERROR(__xludf.DUMMYFUNCTION("""COMPUTED_VALUE"""),"0037")</f>
        <v>0037</v>
      </c>
      <c r="G360" s="43" t="str">
        <f ca="1">IFERROR(__xludf.DUMMYFUNCTION("""COMPUTED_VALUE"""),"0702670")</f>
        <v>0702670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IFERROR(__xludf.DUMMYFUNCTION("""COMPUTED_VALUE"""),3549)</f>
        <v>3549</v>
      </c>
      <c r="K360" s="43">
        <f ca="1">IFERROR(__xludf.DUMMYFUNCTION("""COMPUTED_VALUE"""),0)</f>
        <v>0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IFERROR(__xludf.DUMMYFUNCTION("""COMPUTED_VALUE"""),252)</f>
        <v>252</v>
      </c>
      <c r="Q360" s="43">
        <f ca="1">IFERROR(__xludf.DUMMYFUNCTION("""COMPUTED_VALUE"""),1008)</f>
        <v>1008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IFERROR(__xludf.DUMMYFUNCTION("""COMPUTED_VALUE"""),0)</f>
        <v>0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IFERROR(__xludf.DUMMYFUNCTION("""COMPUTED_VALUE"""),0)</f>
        <v>0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IFERROR(__xludf.DUMMYFUNCTION("""COMPUTED_VALUE"""),"Natividade")</f>
        <v>Natividade</v>
      </c>
      <c r="C361" s="35" t="str">
        <f ca="1">IFERROR(__xludf.DUMMYFUNCTION("""COMPUTED_VALUE"""),"A.A. E. EST.NOSSA SENHORA DE FATIMA")</f>
        <v>A.A. E. EST.NOSSA SENHORA DE FATIMA</v>
      </c>
      <c r="D361" s="36" t="str">
        <f ca="1">IFERROR(__xludf.DUMMYFUNCTION("""COMPUTED_VALUE"""),"01064860000151")</f>
        <v>01064860000151</v>
      </c>
      <c r="E361" s="37" t="str">
        <f ca="1">IFERROR(__xludf.DUMMYFUNCTION("""COMPUTED_VALUE"""),"003")</f>
        <v>003</v>
      </c>
      <c r="F361" s="38" t="str">
        <f ca="1">IFERROR(__xludf.DUMMYFUNCTION("""COMPUTED_VALUE"""),"0037")</f>
        <v>0037</v>
      </c>
      <c r="G361" s="38" t="str">
        <f ca="1">IFERROR(__xludf.DUMMYFUNCTION("""COMPUTED_VALUE"""),"0702646")</f>
        <v>0702646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IFERROR(__xludf.DUMMYFUNCTION("""COMPUTED_VALUE"""),6384)</f>
        <v>6384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IFERROR(__xludf.DUMMYFUNCTION("""COMPUTED_VALUE"""),210)</f>
        <v>210</v>
      </c>
      <c r="Q361" s="38">
        <f ca="1">IFERROR(__xludf.DUMMYFUNCTION("""COMPUTED_VALUE"""),0)</f>
        <v>0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IFERROR(__xludf.DUMMYFUNCTION("""COMPUTED_VALUE"""),294)</f>
        <v>294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IFERROR(__xludf.DUMMYFUNCTION("""COMPUTED_VALUE"""),"Oliveira de Fatima")</f>
        <v>Oliveira de Fatima</v>
      </c>
      <c r="C362" s="40" t="str">
        <f ca="1">IFERROR(__xludf.DUMMYFUNCTION("""COMPUTED_VALUE"""),"ASS. DE APOIO DA ESC. EST.RIACHUELO")</f>
        <v>ASS. DE APOIO DA ESC. EST.RIACHUELO</v>
      </c>
      <c r="D362" s="41" t="str">
        <f ca="1">IFERROR(__xludf.DUMMYFUNCTION("""COMPUTED_VALUE"""),"01696068000110")</f>
        <v>01696068000110</v>
      </c>
      <c r="E362" s="42" t="str">
        <f ca="1">IFERROR(__xludf.DUMMYFUNCTION("""COMPUTED_VALUE"""),"001")</f>
        <v>001</v>
      </c>
      <c r="F362" s="43" t="str">
        <f ca="1">IFERROR(__xludf.DUMMYFUNCTION("""COMPUTED_VALUE"""),"4107")</f>
        <v>4107</v>
      </c>
      <c r="G362" s="43" t="str">
        <f ca="1">IFERROR(__xludf.DUMMYFUNCTION("""COMPUTED_VALUE"""),"319511")</f>
        <v>319511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IFERROR(__xludf.DUMMYFUNCTION("""COMPUTED_VALUE"""),441)</f>
        <v>441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IFERROR(__xludf.DUMMYFUNCTION("""COMPUTED_VALUE"""),0)</f>
        <v>0</v>
      </c>
      <c r="Q362" s="43">
        <f ca="1">IFERROR(__xludf.DUMMYFUNCTION("""COMPUTED_VALUE"""),1113)</f>
        <v>1113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IFERROR(__xludf.DUMMYFUNCTION("""COMPUTED_VALUE"""),336)</f>
        <v>336</v>
      </c>
      <c r="U362" s="43">
        <f ca="1">IFERROR(__xludf.DUMMYFUNCTION("""COMPUTED_VALUE"""),0)</f>
        <v>0</v>
      </c>
      <c r="V362" s="43">
        <f ca="1">IFERROR(__xludf.DUMMYFUNCTION("""COMPUTED_VALUE"""),0)</f>
        <v>0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IFERROR(__xludf.DUMMYFUNCTION("""COMPUTED_VALUE"""),0)</f>
        <v>0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IFERROR(__xludf.DUMMYFUNCTION("""COMPUTED_VALUE"""),"Pindorama do Tocantins")</f>
        <v>Pindorama do Tocantins</v>
      </c>
      <c r="C363" s="35" t="str">
        <f ca="1">IFERROR(__xludf.DUMMYFUNCTION("""COMPUTED_VALUE"""),"A.A. DO COL. EST. MANOEL DOS SANTOS ROSAL")</f>
        <v>A.A. DO COL. EST. MANOEL DOS SANTOS ROSAL</v>
      </c>
      <c r="D363" s="36" t="str">
        <f ca="1">IFERROR(__xludf.DUMMYFUNCTION("""COMPUTED_VALUE"""),"01034136000185")</f>
        <v>01034136000185</v>
      </c>
      <c r="E363" s="37" t="str">
        <f ca="1">IFERROR(__xludf.DUMMYFUNCTION("""COMPUTED_VALUE"""),"001")</f>
        <v>001</v>
      </c>
      <c r="F363" s="38" t="str">
        <f ca="1">IFERROR(__xludf.DUMMYFUNCTION("""COMPUTED_VALUE"""),"1117")</f>
        <v>1117</v>
      </c>
      <c r="G363" s="38" t="str">
        <f ca="1">IFERROR(__xludf.DUMMYFUNCTION("""COMPUTED_VALUE"""),"312991")</f>
        <v>312991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IFERROR(__xludf.DUMMYFUNCTION("""COMPUTED_VALUE"""),0)</f>
        <v>0</v>
      </c>
      <c r="K363" s="38">
        <f ca="1">IFERROR(__xludf.DUMMYFUNCTION("""COMPUTED_VALUE"""),8545.6)</f>
        <v>8545.6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IFERROR(__xludf.DUMMYFUNCTION("""COMPUTED_VALUE"""),0)</f>
        <v>0</v>
      </c>
      <c r="R363" s="38">
        <f ca="1">IFERROR(__xludf.DUMMYFUNCTION("""COMPUTED_VALUE"""),0)</f>
        <v>0</v>
      </c>
      <c r="S363" s="38">
        <f ca="1">IFERROR(__xludf.DUMMYFUNCTION("""COMPUTED_VALUE"""),14830.4)</f>
        <v>14830.4</v>
      </c>
      <c r="T363" s="38">
        <f ca="1">IFERROR(__xludf.DUMMYFUNCTION("""COMPUTED_VALUE"""),0)</f>
        <v>0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IFERROR(__xludf.DUMMYFUNCTION("""COMPUTED_VALUE"""),1447.19999999999)</f>
        <v>1447.19999999999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IFERROR(__xludf.DUMMYFUNCTION("""COMPUTED_VALUE"""),698.6)</f>
        <v>698.6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IFERROR(__xludf.DUMMYFUNCTION("""COMPUTED_VALUE"""),"Pindorama do Tocantins")</f>
        <v>Pindorama do Tocantins</v>
      </c>
      <c r="C364" s="40" t="str">
        <f ca="1">IFERROR(__xludf.DUMMYFUNCTION("""COMPUTED_VALUE"""),"A.A. E. E. DEP.JOSE A. DE ASSIS")</f>
        <v>A.A. E. E. DEP.JOSE A. DE ASSIS</v>
      </c>
      <c r="D364" s="41" t="str">
        <f ca="1">IFERROR(__xludf.DUMMYFUNCTION("""COMPUTED_VALUE"""),"01066411000142")</f>
        <v>01066411000142</v>
      </c>
      <c r="E364" s="42" t="str">
        <f ca="1">IFERROR(__xludf.DUMMYFUNCTION("""COMPUTED_VALUE"""),"001")</f>
        <v>001</v>
      </c>
      <c r="F364" s="43" t="str">
        <f ca="1">IFERROR(__xludf.DUMMYFUNCTION("""COMPUTED_VALUE"""),"1117")</f>
        <v>1117</v>
      </c>
      <c r="G364" s="43" t="str">
        <f ca="1">IFERROR(__xludf.DUMMYFUNCTION("""COMPUTED_VALUE"""),"312770")</f>
        <v>312770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IFERROR(__xludf.DUMMYFUNCTION("""COMPUTED_VALUE"""),3003)</f>
        <v>3003</v>
      </c>
      <c r="K364" s="43">
        <f ca="1">IFERROR(__xludf.DUMMYFUNCTION("""COMPUTED_VALUE"""),0)</f>
        <v>0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IFERROR(__xludf.DUMMYFUNCTION("""COMPUTED_VALUE"""),231)</f>
        <v>231</v>
      </c>
      <c r="Q364" s="43">
        <f ca="1">IFERROR(__xludf.DUMMYFUNCTION("""COMPUTED_VALUE"""),756)</f>
        <v>756</v>
      </c>
      <c r="R364" s="43">
        <f ca="1">IFERROR(__xludf.DUMMYFUNCTION("""COMPUTED_VALUE"""),0)</f>
        <v>0</v>
      </c>
      <c r="S364" s="43">
        <f ca="1">IFERROR(__xludf.DUMMYFUNCTION("""COMPUTED_VALUE"""),0)</f>
        <v>0</v>
      </c>
      <c r="T364" s="43">
        <f ca="1">IFERROR(__xludf.DUMMYFUNCTION("""COMPUTED_VALUE"""),0)</f>
        <v>0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IFERROR(__xludf.DUMMYFUNCTION("""COMPUTED_VALUE"""),0)</f>
        <v>0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IFERROR(__xludf.DUMMYFUNCTION("""COMPUTED_VALUE"""),0)</f>
        <v>0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IFERROR(__xludf.DUMMYFUNCTION("""COMPUTED_VALUE"""),"Ponte Alta do Tocantins")</f>
        <v>Ponte Alta do Tocantins</v>
      </c>
      <c r="C365" s="35" t="str">
        <f ca="1">IFERROR(__xludf.DUMMYFUNCTION("""COMPUTED_VALUE"""),"ASS. A. AO COL. EST. ODOLFO SOARES")</f>
        <v>ASS. A. AO COL. EST. ODOLFO SOARES</v>
      </c>
      <c r="D365" s="36" t="str">
        <f ca="1">IFERROR(__xludf.DUMMYFUNCTION("""COMPUTED_VALUE"""),"01342866000143")</f>
        <v>01342866000143</v>
      </c>
      <c r="E365" s="37" t="str">
        <f ca="1">IFERROR(__xludf.DUMMYFUNCTION("""COMPUTED_VALUE"""),"001")</f>
        <v>001</v>
      </c>
      <c r="F365" s="38" t="str">
        <f ca="1">IFERROR(__xludf.DUMMYFUNCTION("""COMPUTED_VALUE"""),"1117")</f>
        <v>1117</v>
      </c>
      <c r="G365" s="38" t="str">
        <f ca="1">IFERROR(__xludf.DUMMYFUNCTION("""COMPUTED_VALUE"""),"333921")</f>
        <v>333921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IFERROR(__xludf.DUMMYFUNCTION("""COMPUTED_VALUE"""),6510)</f>
        <v>6510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IFERROR(__xludf.DUMMYFUNCTION("""COMPUTED_VALUE"""),315)</f>
        <v>315</v>
      </c>
      <c r="Q365" s="38">
        <f ca="1">IFERROR(__xludf.DUMMYFUNCTION("""COMPUTED_VALUE"""),7035)</f>
        <v>7035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IFERROR(__xludf.DUMMYFUNCTION("""COMPUTED_VALUE"""),"Ponte Alta do Tocantins")</f>
        <v>Ponte Alta do Tocantins</v>
      </c>
      <c r="C366" s="40" t="str">
        <f ca="1">IFERROR(__xludf.DUMMYFUNCTION("""COMPUTED_VALUE"""),"ASS. APOIO DA ESCOLA EST. ALCIDES RUFO")</f>
        <v>ASS. APOIO DA ESCOLA EST. ALCIDES RUFO</v>
      </c>
      <c r="D366" s="41" t="str">
        <f ca="1">IFERROR(__xludf.DUMMYFUNCTION("""COMPUTED_VALUE"""),"01192931000100")</f>
        <v>01192931000100</v>
      </c>
      <c r="E366" s="42" t="str">
        <f ca="1">IFERROR(__xludf.DUMMYFUNCTION("""COMPUTED_VALUE"""),"001")</f>
        <v>001</v>
      </c>
      <c r="F366" s="43" t="str">
        <f ca="1">IFERROR(__xludf.DUMMYFUNCTION("""COMPUTED_VALUE"""),"1117")</f>
        <v>1117</v>
      </c>
      <c r="G366" s="43" t="str">
        <f ca="1">IFERROR(__xludf.DUMMYFUNCTION("""COMPUTED_VALUE"""),"313785")</f>
        <v>313785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IFERROR(__xludf.DUMMYFUNCTION("""COMPUTED_VALUE"""),5586)</f>
        <v>5586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IFERROR(__xludf.DUMMYFUNCTION("""COMPUTED_VALUE"""),0)</f>
        <v>0</v>
      </c>
      <c r="Q366" s="43">
        <f ca="1">IFERROR(__xludf.DUMMYFUNCTION("""COMPUTED_VALUE"""),0)</f>
        <v>0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IFERROR(__xludf.DUMMYFUNCTION("""COMPUTED_VALUE"""),"Ponte Alta do Tocantins")</f>
        <v>Ponte Alta do Tocantins</v>
      </c>
      <c r="C367" s="35" t="str">
        <f ca="1">IFERROR(__xludf.DUMMYFUNCTION("""COMPUTED_VALUE"""),"ASS. DE APOIO A ESCOLA EST. ESPECIAL AMILSON FRAZÃO DOS REIS")</f>
        <v>ASS. DE APOIO A ESCOLA EST. ESPECIAL AMILSON FRAZÃO DOS REIS</v>
      </c>
      <c r="D367" s="36" t="str">
        <f ca="1">IFERROR(__xludf.DUMMYFUNCTION("""COMPUTED_VALUE"""),"20309905000155")</f>
        <v>20309905000155</v>
      </c>
      <c r="E367" s="37" t="str">
        <f ca="1">IFERROR(__xludf.DUMMYFUNCTION("""COMPUTED_VALUE"""),"001")</f>
        <v>001</v>
      </c>
      <c r="F367" s="38" t="str">
        <f ca="1">IFERROR(__xludf.DUMMYFUNCTION("""COMPUTED_VALUE"""),"1117")</f>
        <v>1117</v>
      </c>
      <c r="G367" s="38" t="str">
        <f ca="1">IFERROR(__xludf.DUMMYFUNCTION("""COMPUTED_VALUE"""),"567426")</f>
        <v>567426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IFERROR(__xludf.DUMMYFUNCTION("""COMPUTED_VALUE"""),168)</f>
        <v>168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IFERROR(__xludf.DUMMYFUNCTION("""COMPUTED_VALUE"""),840)</f>
        <v>840</v>
      </c>
      <c r="Q367" s="38">
        <f ca="1">IFERROR(__xludf.DUMMYFUNCTION("""COMPUTED_VALUE"""),0)</f>
        <v>0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IFERROR(__xludf.DUMMYFUNCTION("""COMPUTED_VALUE"""),924)</f>
        <v>924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IFERROR(__xludf.DUMMYFUNCTION("""COMPUTED_VALUE"""),"Porto Nacional")</f>
        <v>Porto Nacional</v>
      </c>
      <c r="C368" s="40" t="str">
        <f ca="1">IFERROR(__xludf.DUMMYFUNCTION("""COMPUTED_VALUE"""),"ASSOC. DE APOIO AO CEM FELIX CAMOA I")</f>
        <v>ASSOC. DE APOIO AO CEM FELIX CAMOA I</v>
      </c>
      <c r="D368" s="41" t="str">
        <f ca="1">IFERROR(__xludf.DUMMYFUNCTION("""COMPUTED_VALUE"""),"01112476000187")</f>
        <v>01112476000187</v>
      </c>
      <c r="E368" s="42" t="str">
        <f ca="1">IFERROR(__xludf.DUMMYFUNCTION("""COMPUTED_VALUE"""),"104")</f>
        <v>104</v>
      </c>
      <c r="F368" s="43" t="str">
        <f ca="1">IFERROR(__xludf.DUMMYFUNCTION("""COMPUTED_VALUE"""),"1829")</f>
        <v>1829</v>
      </c>
      <c r="G368" s="43" t="str">
        <f ca="1">IFERROR(__xludf.DUMMYFUNCTION("""COMPUTED_VALUE"""),"3050011")</f>
        <v>3050011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IFERROR(__xludf.DUMMYFUNCTION("""COMPUTED_VALUE"""),0)</f>
        <v>0</v>
      </c>
      <c r="K368" s="43">
        <f ca="1">IFERROR(__xludf.DUMMYFUNCTION("""COMPUTED_VALUE"""),0)</f>
        <v>0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IFERROR(__xludf.DUMMYFUNCTION("""COMPUTED_VALUE"""),126)</f>
        <v>126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IFERROR(__xludf.DUMMYFUNCTION("""COMPUTED_VALUE"""),13057.1999999999)</f>
        <v>13057.199999999901</v>
      </c>
      <c r="T368" s="43">
        <f ca="1">IFERROR(__xludf.DUMMYFUNCTION("""COMPUTED_VALUE"""),0)</f>
        <v>0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IFERROR(__xludf.DUMMYFUNCTION("""COMPUTED_VALUE"""),1326.6)</f>
        <v>1326.6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IFERROR(__xludf.DUMMYFUNCTION("""COMPUTED_VALUE"""),0)</f>
        <v>0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IFERROR(__xludf.DUMMYFUNCTION("""COMPUTED_VALUE"""),"Porto Nacional")</f>
        <v>Porto Nacional</v>
      </c>
      <c r="C369" s="35" t="str">
        <f ca="1">IFERROR(__xludf.DUMMYFUNCTION("""COMPUTED_VALUE"""),"ASSOC. DE A.DO CEM PROFº. FLORÊNCIO AIRES DA SILVA")</f>
        <v>ASSOC. DE A.DO CEM PROFº. FLORÊNCIO AIRES DA SILVA</v>
      </c>
      <c r="D369" s="36" t="str">
        <f ca="1">IFERROR(__xludf.DUMMYFUNCTION("""COMPUTED_VALUE"""),"01138326000142")</f>
        <v>01138326000142</v>
      </c>
      <c r="E369" s="37" t="str">
        <f ca="1">IFERROR(__xludf.DUMMYFUNCTION("""COMPUTED_VALUE"""),"001")</f>
        <v>001</v>
      </c>
      <c r="F369" s="38" t="str">
        <f ca="1">IFERROR(__xludf.DUMMYFUNCTION("""COMPUTED_VALUE"""),"1117")</f>
        <v>1117</v>
      </c>
      <c r="G369" s="38" t="str">
        <f ca="1">IFERROR(__xludf.DUMMYFUNCTION("""COMPUTED_VALUE"""),"5500X")</f>
        <v>5500X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IFERROR(__xludf.DUMMYFUNCTION("""COMPUTED_VALUE"""),2121)</f>
        <v>2121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IFERROR(__xludf.DUMMYFUNCTION("""COMPUTED_VALUE"""),231)</f>
        <v>231</v>
      </c>
      <c r="Q369" s="38">
        <f ca="1">IFERROR(__xludf.DUMMYFUNCTION("""COMPUTED_VALUE"""),4851)</f>
        <v>4851</v>
      </c>
      <c r="R369" s="38">
        <f ca="1">IFERROR(__xludf.DUMMYFUNCTION("""COMPUTED_VALUE"""),0)</f>
        <v>0</v>
      </c>
      <c r="S369" s="38">
        <f ca="1">IFERROR(__xludf.DUMMYFUNCTION("""COMPUTED_VALUE"""),0)</f>
        <v>0</v>
      </c>
      <c r="T369" s="38">
        <f ca="1">IFERROR(__xludf.DUMMYFUNCTION("""COMPUTED_VALUE"""),1659)</f>
        <v>1659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IFERROR(__xludf.DUMMYFUNCTION("""COMPUTED_VALUE"""),0)</f>
        <v>0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IFERROR(__xludf.DUMMYFUNCTION("""COMPUTED_VALUE"""),"Porto Nacional")</f>
        <v>Porto Nacional</v>
      </c>
      <c r="C370" s="40" t="str">
        <f ca="1">IFERROR(__xludf.DUMMYFUNCTION("""COMPUTED_VALUE"""),"A. E. COM. ESC. CONV. ANGELICA R. ARANHA")</f>
        <v>A. E. COM. ESC. CONV. ANGELICA R. ARANHA</v>
      </c>
      <c r="D370" s="41" t="str">
        <f ca="1">IFERROR(__xludf.DUMMYFUNCTION("""COMPUTED_VALUE"""),"01075455000139")</f>
        <v>01075455000139</v>
      </c>
      <c r="E370" s="42" t="str">
        <f ca="1">IFERROR(__xludf.DUMMYFUNCTION("""COMPUTED_VALUE"""),"104")</f>
        <v>104</v>
      </c>
      <c r="F370" s="43" t="str">
        <f ca="1">IFERROR(__xludf.DUMMYFUNCTION("""COMPUTED_VALUE"""),"1829")</f>
        <v>1829</v>
      </c>
      <c r="G370" s="43" t="str">
        <f ca="1">IFERROR(__xludf.DUMMYFUNCTION("""COMPUTED_VALUE"""),"307313")</f>
        <v>307313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IFERROR(__xludf.DUMMYFUNCTION("""COMPUTED_VALUE"""),3003)</f>
        <v>3003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IFERROR(__xludf.DUMMYFUNCTION("""COMPUTED_VALUE"""),273)</f>
        <v>273</v>
      </c>
      <c r="Q370" s="43">
        <f ca="1">IFERROR(__xludf.DUMMYFUNCTION("""COMPUTED_VALUE"""),1491)</f>
        <v>1491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IFERROR(__xludf.DUMMYFUNCTION("""COMPUTED_VALUE"""),0)</f>
        <v>0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IFERROR(__xludf.DUMMYFUNCTION("""COMPUTED_VALUE"""),"Porto Nacional")</f>
        <v>Porto Nacional</v>
      </c>
      <c r="C371" s="35" t="str">
        <f ca="1">IFERROR(__xludf.DUMMYFUNCTION("""COMPUTED_VALUE"""),"A.A. ESC. EST. DR.PEDRO LUDOVICO TEIXEIRA")</f>
        <v>A.A. ESC. EST. DR.PEDRO LUDOVICO TEIXEIRA</v>
      </c>
      <c r="D371" s="36" t="str">
        <f ca="1">IFERROR(__xludf.DUMMYFUNCTION("""COMPUTED_VALUE"""),"01135997000150")</f>
        <v>01135997000150</v>
      </c>
      <c r="E371" s="37" t="str">
        <f ca="1">IFERROR(__xludf.DUMMYFUNCTION("""COMPUTED_VALUE"""),"104")</f>
        <v>104</v>
      </c>
      <c r="F371" s="38" t="str">
        <f ca="1">IFERROR(__xludf.DUMMYFUNCTION("""COMPUTED_VALUE"""),"1829")</f>
        <v>1829</v>
      </c>
      <c r="G371" s="38" t="str">
        <f ca="1">IFERROR(__xludf.DUMMYFUNCTION("""COMPUTED_VALUE"""),"305949")</f>
        <v>305949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IFERROR(__xludf.DUMMYFUNCTION("""COMPUTED_VALUE"""),10374)</f>
        <v>10374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IFERROR(__xludf.DUMMYFUNCTION("""COMPUTED_VALUE"""),483)</f>
        <v>483</v>
      </c>
      <c r="Q371" s="38">
        <f ca="1">IFERROR(__xludf.DUMMYFUNCTION("""COMPUTED_VALUE"""),5418)</f>
        <v>5418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IFERROR(__xludf.DUMMYFUNCTION("""COMPUTED_VALUE"""),"Porto Nacional")</f>
        <v>Porto Nacional</v>
      </c>
      <c r="C372" s="40" t="str">
        <f ca="1">IFERROR(__xludf.DUMMYFUNCTION("""COMPUTED_VALUE"""),"A. ESCOL.COM. ESC. EST. MAL.ARTUR C.E SILVA")</f>
        <v>A. ESCOL.COM. ESC. EST. MAL.ARTUR C.E SILVA</v>
      </c>
      <c r="D372" s="41" t="str">
        <f ca="1">IFERROR(__xludf.DUMMYFUNCTION("""COMPUTED_VALUE"""),"01112763000197")</f>
        <v>01112763000197</v>
      </c>
      <c r="E372" s="42" t="str">
        <f ca="1">IFERROR(__xludf.DUMMYFUNCTION("""COMPUTED_VALUE"""),"104")</f>
        <v>104</v>
      </c>
      <c r="F372" s="43" t="str">
        <f ca="1">IFERROR(__xludf.DUMMYFUNCTION("""COMPUTED_VALUE"""),"1829")</f>
        <v>1829</v>
      </c>
      <c r="G372" s="43" t="str">
        <f ca="1">IFERROR(__xludf.DUMMYFUNCTION("""COMPUTED_VALUE"""),"307364")</f>
        <v>307364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IFERROR(__xludf.DUMMYFUNCTION("""COMPUTED_VALUE"""),4746)</f>
        <v>4746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IFERROR(__xludf.DUMMYFUNCTION("""COMPUTED_VALUE"""),105)</f>
        <v>105</v>
      </c>
      <c r="Q372" s="43">
        <f ca="1">IFERROR(__xludf.DUMMYFUNCTION("""COMPUTED_VALUE"""),2919)</f>
        <v>2919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IFERROR(__xludf.DUMMYFUNCTION("""COMPUTED_VALUE"""),2058)</f>
        <v>2058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IFERROR(__xludf.DUMMYFUNCTION("""COMPUTED_VALUE"""),"ASSOCIAÇÃO DE APOIO DA ESCOLA FAMÍLIA AGRÍCOLA")</f>
        <v>ASSOCIAÇÃO DE APOIO DA ESCOLA FAMÍLIA AGRÍCOLA</v>
      </c>
      <c r="D373" s="36" t="str">
        <f ca="1">IFERROR(__xludf.DUMMYFUNCTION("""COMPUTED_VALUE"""),"01197155000122")</f>
        <v>01197155000122</v>
      </c>
      <c r="E373" s="37" t="str">
        <f ca="1">IFERROR(__xludf.DUMMYFUNCTION("""COMPUTED_VALUE"""),"001")</f>
        <v>001</v>
      </c>
      <c r="F373" s="38" t="str">
        <f ca="1">IFERROR(__xludf.DUMMYFUNCTION("""COMPUTED_VALUE"""),"1117")</f>
        <v>1117</v>
      </c>
      <c r="G373" s="38" t="str">
        <f ca="1">IFERROR(__xludf.DUMMYFUNCTION("""COMPUTED_VALUE"""),"313483")</f>
        <v>313483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IFERROR(__xludf.DUMMYFUNCTION("""COMPUTED_VALUE"""),0)</f>
        <v>0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IFERROR(__xludf.DUMMYFUNCTION("""COMPUTED_VALUE"""),0)</f>
        <v>0</v>
      </c>
      <c r="Q373" s="38">
        <f ca="1">IFERROR(__xludf.DUMMYFUNCTION("""COMPUTED_VALUE"""),0)</f>
        <v>0</v>
      </c>
      <c r="R373" s="38">
        <f ca="1">IFERROR(__xludf.DUMMYFUNCTION("""COMPUTED_VALUE"""),18267.2)</f>
        <v>18267.2</v>
      </c>
      <c r="S373" s="38">
        <f ca="1">IFERROR(__xludf.DUMMYFUNCTION("""COMPUTED_VALUE"""),0)</f>
        <v>0</v>
      </c>
      <c r="T373" s="38">
        <f ca="1">IFERROR(__xludf.DUMMYFUNCTION("""COMPUTED_VALUE"""),0)</f>
        <v>0</v>
      </c>
      <c r="U373" s="38">
        <f ca="1">IFERROR(__xludf.DUMMYFUNCTION("""COMPUTED_VALUE"""),0)</f>
        <v>0</v>
      </c>
      <c r="V373" s="38">
        <f ca="1">IFERROR(__xludf.DUMMYFUNCTION("""COMPUTED_VALUE"""),34670.4)</f>
        <v>34670.400000000001</v>
      </c>
      <c r="W373" s="38">
        <f ca="1">IFERROR(__xludf.DUMMYFUNCTION("""COMPUTED_VALUE"""),0)</f>
        <v>0</v>
      </c>
      <c r="X373" s="38">
        <f ca="1">IFERROR(__xludf.DUMMYFUNCTION("""COMPUTED_VALUE"""),0)</f>
        <v>0</v>
      </c>
      <c r="Y373" s="38">
        <f ca="1">IFERROR(__xludf.DUMMYFUNCTION("""COMPUTED_VALUE"""),2723.2)</f>
        <v>2723.2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IFERROR(__xludf.DUMMYFUNCTION("""COMPUTED_VALUE"""),"ASSOC.P.A.DOS EXCEP. DE PORTO NACIONAL")</f>
        <v>ASSOC.P.A.DOS EXCEP. DE PORTO NACIONAL</v>
      </c>
      <c r="D374" s="41" t="str">
        <f ca="1">IFERROR(__xludf.DUMMYFUNCTION("""COMPUTED_VALUE"""),"26752113000137")</f>
        <v>26752113000137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IFERROR(__xludf.DUMMYFUNCTION("""COMPUTED_VALUE"""),"86657")</f>
        <v>86657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IFERROR(__xludf.DUMMYFUNCTION("""COMPUTED_VALUE"""),0)</f>
        <v>0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IFERROR(__xludf.DUMMYFUNCTION("""COMPUTED_VALUE"""),0)</f>
        <v>0</v>
      </c>
      <c r="Q374" s="43">
        <f ca="1">IFERROR(__xludf.DUMMYFUNCTION("""COMPUTED_VALUE"""),0)</f>
        <v>0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IFERROR(__xludf.DUMMYFUNCTION("""COMPUTED_VALUE"""),0)</f>
        <v>0</v>
      </c>
      <c r="U374" s="43">
        <f ca="1">IFERROR(__xludf.DUMMYFUNCTION("""COMPUTED_VALUE"""),0)</f>
        <v>0</v>
      </c>
      <c r="V374" s="43">
        <f ca="1">IFERROR(__xludf.DUMMYFUNCTION("""COMPUTED_VALUE"""),0)</f>
        <v>0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IFERROR(__xludf.DUMMYFUNCTION("""COMPUTED_VALUE"""),0)</f>
        <v>0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IFERROR(__xludf.DUMMYFUNCTION("""COMPUTED_VALUE"""),"A.A.  ESCOLA ESTADUAL ALFREDO NASSER")</f>
        <v>A.A.  ESCOLA ESTADUAL ALFREDO NASSER</v>
      </c>
      <c r="D375" s="36" t="str">
        <f ca="1">IFERROR(__xludf.DUMMYFUNCTION("""COMPUTED_VALUE"""),"01251862000150")</f>
        <v>01251862000150</v>
      </c>
      <c r="E375" s="37" t="str">
        <f ca="1">IFERROR(__xludf.DUMMYFUNCTION("""COMPUTED_VALUE"""),"104")</f>
        <v>104</v>
      </c>
      <c r="F375" s="38" t="str">
        <f ca="1">IFERROR(__xludf.DUMMYFUNCTION("""COMPUTED_VALUE"""),"1829")</f>
        <v>1829</v>
      </c>
      <c r="G375" s="38" t="str">
        <f ca="1">IFERROR(__xludf.DUMMYFUNCTION("""COMPUTED_VALUE"""),"307410")</f>
        <v>307410</v>
      </c>
      <c r="H375" s="38">
        <f ca="1">IFERROR(__xludf.DUMMYFUNCTION("""COMPUTED_VALUE"""),0)</f>
        <v>0</v>
      </c>
      <c r="I375" s="38">
        <f ca="1">IFERROR(__xludf.DUMMYFUNCTION("""COMPUTED_VALUE"""),0)</f>
        <v>0</v>
      </c>
      <c r="J375" s="38">
        <f ca="1">IFERROR(__xludf.DUMMYFUNCTION("""COMPUTED_VALUE"""),2835)</f>
        <v>2835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IFERROR(__xludf.DUMMYFUNCTION("""COMPUTED_VALUE"""),168)</f>
        <v>168</v>
      </c>
      <c r="Q375" s="38">
        <f ca="1">IFERROR(__xludf.DUMMYFUNCTION("""COMPUTED_VALUE"""),1155)</f>
        <v>1155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IFERROR(__xludf.DUMMYFUNCTION("""COMPUTED_VALUE"""),0)</f>
        <v>0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ESCOLA ESTADUAL ANA MACEDO MAIA")</f>
        <v>A.A. ESCOLA ESTADUAL ANA MACEDO MAIA</v>
      </c>
      <c r="D376" s="41" t="str">
        <f ca="1">IFERROR(__xludf.DUMMYFUNCTION("""COMPUTED_VALUE"""),"01243662000155")</f>
        <v>01243662000155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IFERROR(__xludf.DUMMYFUNCTION("""COMPUTED_VALUE"""),"306015")</f>
        <v>306015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IFERROR(__xludf.DUMMYFUNCTION("""COMPUTED_VALUE"""),6384)</f>
        <v>6384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IFERROR(__xludf.DUMMYFUNCTION("""COMPUTED_VALUE"""),0)</f>
        <v>0</v>
      </c>
      <c r="Q376" s="43">
        <f ca="1">IFERROR(__xludf.DUMMYFUNCTION("""COMPUTED_VALUE"""),0)</f>
        <v>0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 ESCOLAR COMUN. DA ESC. CONV. BRASIL")</f>
        <v>A. ESCOLAR COMUN. DA ESC. CONV. BRASIL</v>
      </c>
      <c r="D377" s="36" t="str">
        <f ca="1">IFERROR(__xludf.DUMMYFUNCTION("""COMPUTED_VALUE"""),"01112471000154")</f>
        <v>01112471000154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IFERROR(__xludf.DUMMYFUNCTION("""COMPUTED_VALUE"""),"307402")</f>
        <v>307402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IFERROR(__xludf.DUMMYFUNCTION("""COMPUTED_VALUE"""),1827)</f>
        <v>1827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IFERROR(__xludf.DUMMYFUNCTION("""COMPUTED_VALUE"""),0)</f>
        <v>0</v>
      </c>
      <c r="Q377" s="38">
        <f ca="1">IFERROR(__xludf.DUMMYFUNCTION("""COMPUTED_VALUE"""),1113)</f>
        <v>1113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IFERROR(__xludf.DUMMYFUNCTION("""COMPUTED_VALUE"""),0)</f>
        <v>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IFERROR(__xludf.DUMMYFUNCTION("""COMPUTED_VALUE"""),"A.A.  ESCOLA ESTADUAL CUSTÓDIA DA SILVA PEDREIRA")</f>
        <v>A.A.  ESCOLA ESTADUAL CUSTÓDIA DA SILVA PEDREIRA</v>
      </c>
      <c r="D378" s="41" t="str">
        <f ca="1">IFERROR(__xludf.DUMMYFUNCTION("""COMPUTED_VALUE"""),"01192932000146")</f>
        <v>01192932000146</v>
      </c>
      <c r="E378" s="42" t="str">
        <f ca="1">IFERROR(__xludf.DUMMYFUNCTION("""COMPUTED_VALUE"""),"001")</f>
        <v>001</v>
      </c>
      <c r="F378" s="43" t="str">
        <f ca="1">IFERROR(__xludf.DUMMYFUNCTION("""COMPUTED_VALUE"""),"1117")</f>
        <v>1117</v>
      </c>
      <c r="G378" s="43" t="str">
        <f ca="1">IFERROR(__xludf.DUMMYFUNCTION("""COMPUTED_VALUE"""),"314080")</f>
        <v>314080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IFERROR(__xludf.DUMMYFUNCTION("""COMPUTED_VALUE"""),9534)</f>
        <v>9534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IFERROR(__xludf.DUMMYFUNCTION("""COMPUTED_VALUE"""),6972)</f>
        <v>6972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IFERROR(__xludf.DUMMYFUNCTION("""COMPUTED_VALUE"""),0)</f>
        <v>0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IFERROR(__xludf.DUMMYFUNCTION("""COMPUTED_VALUE"""),0)</f>
        <v>0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IFERROR(__xludf.DUMMYFUNCTION("""COMPUTED_VALUE"""),"A. ESC. COM./ESC. EST. D.DOMINGOS CARREROT")</f>
        <v>A. ESC. COM./ESC. EST. D.DOMINGOS CARREROT</v>
      </c>
      <c r="D379" s="36" t="str">
        <f ca="1">IFERROR(__xludf.DUMMYFUNCTION("""COMPUTED_VALUE"""),"00900197000115")</f>
        <v>00900197000115</v>
      </c>
      <c r="E379" s="37" t="str">
        <f ca="1">IFERROR(__xludf.DUMMYFUNCTION("""COMPUTED_VALUE"""),"104")</f>
        <v>104</v>
      </c>
      <c r="F379" s="38" t="str">
        <f ca="1">IFERROR(__xludf.DUMMYFUNCTION("""COMPUTED_VALUE"""),"1829")</f>
        <v>1829</v>
      </c>
      <c r="G379" s="38" t="str">
        <f ca="1">IFERROR(__xludf.DUMMYFUNCTION("""COMPUTED_VALUE"""),"305914")</f>
        <v>305914</v>
      </c>
      <c r="H379" s="38">
        <f ca="1">IFERROR(__xludf.DUMMYFUNCTION("""COMPUTED_VALUE"""),0)</f>
        <v>0</v>
      </c>
      <c r="I379" s="38">
        <f ca="1">IFERROR(__xludf.DUMMYFUNCTION("""COMPUTED_VALUE"""),0)</f>
        <v>0</v>
      </c>
      <c r="J379" s="38">
        <f ca="1">IFERROR(__xludf.DUMMYFUNCTION("""COMPUTED_VALUE"""),7455)</f>
        <v>7455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IFERROR(__xludf.DUMMYFUNCTION("""COMPUTED_VALUE"""),273)</f>
        <v>273</v>
      </c>
      <c r="Q379" s="38">
        <f ca="1">IFERROR(__xludf.DUMMYFUNCTION("""COMPUTED_VALUE"""),0)</f>
        <v>0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IFERROR(__xludf.DUMMYFUNCTION("""COMPUTED_VALUE"""),0)</f>
        <v>0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IFERROR(__xludf.DUMMYFUNCTION("""COMPUTED_VALUE"""),"A.A.  A ESCOLA D. PEDRO II")</f>
        <v>A.A.  A ESCOLA D. PEDRO II</v>
      </c>
      <c r="D380" s="41" t="str">
        <f ca="1">IFERROR(__xludf.DUMMYFUNCTION("""COMPUTED_VALUE"""),"01133697000131")</f>
        <v>01133697000131</v>
      </c>
      <c r="E380" s="42" t="str">
        <f ca="1">IFERROR(__xludf.DUMMYFUNCTION("""COMPUTED_VALUE"""),"001")</f>
        <v>001</v>
      </c>
      <c r="F380" s="43" t="str">
        <f ca="1">IFERROR(__xludf.DUMMYFUNCTION("""COMPUTED_VALUE"""),"1117")</f>
        <v>1117</v>
      </c>
      <c r="G380" s="43" t="str">
        <f ca="1">IFERROR(__xludf.DUMMYFUNCTION("""COMPUTED_VALUE"""),"0313092")</f>
        <v>0313092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IFERROR(__xludf.DUMMYFUNCTION("""COMPUTED_VALUE"""),0)</f>
        <v>0</v>
      </c>
      <c r="K380" s="43">
        <f ca="1">IFERROR(__xludf.DUMMYFUNCTION("""COMPUTED_VALUE"""),10976)</f>
        <v>10976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IFERROR(__xludf.DUMMYFUNCTION("""COMPUTED_VALUE"""),399)</f>
        <v>399</v>
      </c>
      <c r="Q380" s="43">
        <f ca="1">IFERROR(__xludf.DUMMYFUNCTION("""COMPUTED_VALUE"""),0)</f>
        <v>0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IFERROR(__xludf.DUMMYFUNCTION("""COMPUTED_VALUE"""),898.199999999999)</f>
        <v>898.19999999999902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ESCOLA ESTADUAL IRMA ASPASIA")</f>
        <v>A.A. ESCOLA ESTADUAL IRMA ASPASIA</v>
      </c>
      <c r="D381" s="36" t="str">
        <f ca="1">IFERROR(__xludf.DUMMYFUNCTION("""COMPUTED_VALUE"""),"01136022000146")</f>
        <v>01136022000146</v>
      </c>
      <c r="E381" s="37" t="str">
        <f ca="1">IFERROR(__xludf.DUMMYFUNCTION("""COMPUTED_VALUE"""),"104")</f>
        <v>104</v>
      </c>
      <c r="F381" s="38" t="str">
        <f ca="1">IFERROR(__xludf.DUMMYFUNCTION("""COMPUTED_VALUE"""),"1829")</f>
        <v>1829</v>
      </c>
      <c r="G381" s="38" t="str">
        <f ca="1">IFERROR(__xludf.DUMMYFUNCTION("""COMPUTED_VALUE"""),"307453")</f>
        <v>307453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IFERROR(__xludf.DUMMYFUNCTION("""COMPUTED_VALUE"""),2814)</f>
        <v>2814</v>
      </c>
      <c r="K381" s="38">
        <f ca="1">IFERROR(__xludf.DUMMYFUNCTION("""COMPUTED_VALUE"""),0)</f>
        <v>0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IFERROR(__xludf.DUMMYFUNCTION("""COMPUTED_VALUE"""),210)</f>
        <v>210</v>
      </c>
      <c r="Q381" s="38">
        <f ca="1">IFERROR(__xludf.DUMMYFUNCTION("""COMPUTED_VALUE"""),4452)</f>
        <v>4452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IFERROR(__xludf.DUMMYFUNCTION("""COMPUTED_VALUE"""),0)</f>
        <v>0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IFERROR(__xludf.DUMMYFUNCTION("""COMPUTED_VALUE"""),"A.A. DA ESC. EST. ALCIDES RODRIGUES AIRES")</f>
        <v>A.A. DA ESC. EST. ALCIDES RODRIGUES AIRES</v>
      </c>
      <c r="D382" s="41" t="str">
        <f ca="1">IFERROR(__xludf.DUMMYFUNCTION("""COMPUTED_VALUE"""),"03495455000113")</f>
        <v>03495455000113</v>
      </c>
      <c r="E382" s="42" t="str">
        <f ca="1">IFERROR(__xludf.DUMMYFUNCTION("""COMPUTED_VALUE"""),"001")</f>
        <v>001</v>
      </c>
      <c r="F382" s="43" t="str">
        <f ca="1">IFERROR(__xludf.DUMMYFUNCTION("""COMPUTED_VALUE"""),"1117")</f>
        <v>1117</v>
      </c>
      <c r="G382" s="43" t="str">
        <f ca="1">IFERROR(__xludf.DUMMYFUNCTION("""COMPUTED_VALUE"""),"77143")</f>
        <v>77143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IFERROR(__xludf.DUMMYFUNCTION("""COMPUTED_VALUE"""),7812)</f>
        <v>7812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IFERROR(__xludf.DUMMYFUNCTION("""COMPUTED_VALUE"""),294)</f>
        <v>294</v>
      </c>
      <c r="Q382" s="43">
        <f ca="1">IFERROR(__xludf.DUMMYFUNCTION("""COMPUTED_VALUE"""),0)</f>
        <v>0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IFERROR(__xludf.DUMMYFUNCTION("""COMPUTED_VALUE"""),1869)</f>
        <v>1869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E. E. PROFA. CARMENIA MATOS MAIA")</f>
        <v>A.A. E. E. PROFA. CARMENIA MATOS MAIA</v>
      </c>
      <c r="D383" s="36" t="str">
        <f ca="1">IFERROR(__xludf.DUMMYFUNCTION("""COMPUTED_VALUE"""),"01118897000115")</f>
        <v>01118897000115</v>
      </c>
      <c r="E383" s="37" t="str">
        <f ca="1">IFERROR(__xludf.DUMMYFUNCTION("""COMPUTED_VALUE"""),"104")</f>
        <v>104</v>
      </c>
      <c r="F383" s="38" t="str">
        <f ca="1">IFERROR(__xludf.DUMMYFUNCTION("""COMPUTED_VALUE"""),"1829")</f>
        <v>1829</v>
      </c>
      <c r="G383" s="38" t="str">
        <f ca="1">IFERROR(__xludf.DUMMYFUNCTION("""COMPUTED_VALUE"""),"307399")</f>
        <v>307399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IFERROR(__xludf.DUMMYFUNCTION("""COMPUTED_VALUE"""),5271)</f>
        <v>5271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IFERROR(__xludf.DUMMYFUNCTION("""COMPUTED_VALUE"""),357)</f>
        <v>357</v>
      </c>
      <c r="Q383" s="38">
        <f ca="1">IFERROR(__xludf.DUMMYFUNCTION("""COMPUTED_VALUE"""),1974)</f>
        <v>1974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IFERROR(__xludf.DUMMYFUNCTION("""COMPUTED_VALUE"""),0)</f>
        <v>0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IFERROR(__xludf.DUMMYFUNCTION("""COMPUTED_VALUE"""),"Santa Rita do Tocantins")</f>
        <v>Santa Rita do Tocantins</v>
      </c>
      <c r="C384" s="40" t="str">
        <f ca="1">IFERROR(__xludf.DUMMYFUNCTION("""COMPUTED_VALUE"""),"ASS. COM.DE AP.ESC. EST. DE 1 GRAU BOA NOVA")</f>
        <v>ASS. COM.DE AP.ESC. EST. DE 1 GRAU BOA NOVA</v>
      </c>
      <c r="D384" s="41" t="str">
        <f ca="1">IFERROR(__xludf.DUMMYFUNCTION("""COMPUTED_VALUE"""),"01856561000150")</f>
        <v>01856561000150</v>
      </c>
      <c r="E384" s="42" t="str">
        <f ca="1">IFERROR(__xludf.DUMMYFUNCTION("""COMPUTED_VALUE"""),"001")</f>
        <v>001</v>
      </c>
      <c r="F384" s="43" t="str">
        <f ca="1">IFERROR(__xludf.DUMMYFUNCTION("""COMPUTED_VALUE"""),"4107")</f>
        <v>4107</v>
      </c>
      <c r="G384" s="43" t="str">
        <f ca="1">IFERROR(__xludf.DUMMYFUNCTION("""COMPUTED_VALUE"""),"320722")</f>
        <v>320722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IFERROR(__xludf.DUMMYFUNCTION("""COMPUTED_VALUE"""),1848)</f>
        <v>1848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IFERROR(__xludf.DUMMYFUNCTION("""COMPUTED_VALUE"""),0)</f>
        <v>0</v>
      </c>
      <c r="Q384" s="43">
        <f ca="1">IFERROR(__xludf.DUMMYFUNCTION("""COMPUTED_VALUE"""),1953)</f>
        <v>1953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IFERROR(__xludf.DUMMYFUNCTION("""COMPUTED_VALUE"""),"Santa Rosa do Tocantins")</f>
        <v>Santa Rosa do Tocantins</v>
      </c>
      <c r="C385" s="35" t="str">
        <f ca="1">IFERROR(__xludf.DUMMYFUNCTION("""COMPUTED_VALUE"""),"A.A. E. E.PROF.ZACHARIAS NUNES DA SILVEIRA")</f>
        <v>A.A. E. E.PROF.ZACHARIAS NUNES DA SILVEIRA</v>
      </c>
      <c r="D385" s="36" t="str">
        <f ca="1">IFERROR(__xludf.DUMMYFUNCTION("""COMPUTED_VALUE"""),"01066420000133")</f>
        <v>01066420000133</v>
      </c>
      <c r="E385" s="37" t="str">
        <f ca="1">IFERROR(__xludf.DUMMYFUNCTION("""COMPUTED_VALUE"""),"104")</f>
        <v>104</v>
      </c>
      <c r="F385" s="38" t="str">
        <f ca="1">IFERROR(__xludf.DUMMYFUNCTION("""COMPUTED_VALUE"""),"1829")</f>
        <v>1829</v>
      </c>
      <c r="G385" s="38" t="str">
        <f ca="1">IFERROR(__xludf.DUMMYFUNCTION("""COMPUTED_VALUE"""),"0307461")</f>
        <v>0307461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IFERROR(__xludf.DUMMYFUNCTION("""COMPUTED_VALUE"""),3276)</f>
        <v>3276</v>
      </c>
      <c r="K385" s="38">
        <f ca="1">IFERROR(__xludf.DUMMYFUNCTION("""COMPUTED_VALUE"""),0)</f>
        <v>0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IFERROR(__xludf.DUMMYFUNCTION("""COMPUTED_VALUE"""),252)</f>
        <v>252</v>
      </c>
      <c r="Q385" s="38">
        <f ca="1">IFERROR(__xludf.DUMMYFUNCTION("""COMPUTED_VALUE"""),0)</f>
        <v>0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IFERROR(__xludf.DUMMYFUNCTION("""COMPUTED_VALUE"""),0)</f>
        <v>0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IFERROR(__xludf.DUMMYFUNCTION("""COMPUTED_VALUE"""),"Santa Rosa do Tocantins")</f>
        <v>Santa Rosa do Tocantins</v>
      </c>
      <c r="C386" s="40" t="str">
        <f ca="1">IFERROR(__xludf.DUMMYFUNCTION("""COMPUTED_VALUE"""),"A.A. E. E. TENENTE SALVADOR RIBEIRO")</f>
        <v>A.A. E. E. TENENTE SALVADOR RIBEIRO</v>
      </c>
      <c r="D386" s="41" t="str">
        <f ca="1">IFERROR(__xludf.DUMMYFUNCTION("""COMPUTED_VALUE"""),"01066424000111")</f>
        <v>01066424000111</v>
      </c>
      <c r="E386" s="42" t="str">
        <f ca="1">IFERROR(__xludf.DUMMYFUNCTION("""COMPUTED_VALUE"""),"001")</f>
        <v>001</v>
      </c>
      <c r="F386" s="43" t="str">
        <f ca="1">IFERROR(__xludf.DUMMYFUNCTION("""COMPUTED_VALUE"""),"1117")</f>
        <v>1117</v>
      </c>
      <c r="G386" s="43" t="str">
        <f ca="1">IFERROR(__xludf.DUMMYFUNCTION("""COMPUTED_VALUE"""),"332623")</f>
        <v>332623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IFERROR(__xludf.DUMMYFUNCTION("""COMPUTED_VALUE"""),609)</f>
        <v>609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IFERROR(__xludf.DUMMYFUNCTION("""COMPUTED_VALUE"""),0)</f>
        <v>0</v>
      </c>
      <c r="Q386" s="43">
        <f ca="1">IFERROR(__xludf.DUMMYFUNCTION("""COMPUTED_VALUE"""),3990)</f>
        <v>3990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IFERROR(__xludf.DUMMYFUNCTION("""COMPUTED_VALUE"""),483)</f>
        <v>483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IFERROR(__xludf.DUMMYFUNCTION("""COMPUTED_VALUE"""),"Silvanopolis")</f>
        <v>Silvanopolis</v>
      </c>
      <c r="C387" s="35" t="str">
        <f ca="1">IFERROR(__xludf.DUMMYFUNCTION("""COMPUTED_VALUE"""),"A.A. DA ESC. EST. JOAO DA SILVA GUIMARAES")</f>
        <v>A.A. DA ESC. EST. JOAO DA SILVA GUIMARAES</v>
      </c>
      <c r="D387" s="36" t="str">
        <f ca="1">IFERROR(__xludf.DUMMYFUNCTION("""COMPUTED_VALUE"""),"01557779000103")</f>
        <v>01557779000103</v>
      </c>
      <c r="E387" s="37" t="str">
        <f ca="1">IFERROR(__xludf.DUMMYFUNCTION("""COMPUTED_VALUE"""),"001")</f>
        <v>001</v>
      </c>
      <c r="F387" s="38" t="str">
        <f ca="1">IFERROR(__xludf.DUMMYFUNCTION("""COMPUTED_VALUE"""),"3980")</f>
        <v>3980</v>
      </c>
      <c r="G387" s="38" t="str">
        <f ca="1">IFERROR(__xludf.DUMMYFUNCTION("""COMPUTED_VALUE"""),"51292")</f>
        <v>51292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IFERROR(__xludf.DUMMYFUNCTION("""COMPUTED_VALUE"""),6447)</f>
        <v>6447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IFERROR(__xludf.DUMMYFUNCTION("""COMPUTED_VALUE"""),0)</f>
        <v>0</v>
      </c>
      <c r="Q387" s="38">
        <f ca="1">IFERROR(__xludf.DUMMYFUNCTION("""COMPUTED_VALUE"""),5187)</f>
        <v>5187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IFERROR(__xludf.DUMMYFUNCTION("""COMPUTED_VALUE"""),0)</f>
        <v>0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IFERROR(__xludf.DUMMYFUNCTION("""COMPUTED_VALUE"""),"Silvanopolis")</f>
        <v>Silvanopolis</v>
      </c>
      <c r="C388" s="40" t="str">
        <f ca="1">IFERROR(__xludf.DUMMYFUNCTION("""COMPUTED_VALUE"""),"A.A. A ESC. EST. JOAO PIRES QUERIDO")</f>
        <v>A.A. A ESC. EST. JOAO PIRES QUERIDO</v>
      </c>
      <c r="D388" s="41" t="str">
        <f ca="1">IFERROR(__xludf.DUMMYFUNCTION("""COMPUTED_VALUE"""),"01284632000197")</f>
        <v>01284632000197</v>
      </c>
      <c r="E388" s="42" t="str">
        <f ca="1">IFERROR(__xludf.DUMMYFUNCTION("""COMPUTED_VALUE"""),"001")</f>
        <v>001</v>
      </c>
      <c r="F388" s="43" t="str">
        <f ca="1">IFERROR(__xludf.DUMMYFUNCTION("""COMPUTED_VALUE"""),"3980")</f>
        <v>3980</v>
      </c>
      <c r="G388" s="43" t="str">
        <f ca="1">IFERROR(__xludf.DUMMYFUNCTION("""COMPUTED_VALUE"""),"051187")</f>
        <v>051187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IFERROR(__xludf.DUMMYFUNCTION("""COMPUTED_VALUE"""),0)</f>
        <v>0</v>
      </c>
      <c r="K388" s="43">
        <f ca="1">IFERROR(__xludf.DUMMYFUNCTION("""COMPUTED_VALUE"""),11916.8)</f>
        <v>11916.8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IFERROR(__xludf.DUMMYFUNCTION("""COMPUTED_VALUE"""),0)</f>
        <v>0</v>
      </c>
      <c r="Q388" s="43">
        <f ca="1">IFERROR(__xludf.DUMMYFUNCTION("""COMPUTED_VALUE"""),0)</f>
        <v>0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IFERROR(__xludf.DUMMYFUNCTION("""COMPUTED_VALUE"""),273)</f>
        <v>273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IFERROR(__xludf.DUMMYFUNCTION("""COMPUTED_VALUE"""),998)</f>
        <v>998</v>
      </c>
    </row>
    <row r="389" spans="1:26" ht="12.75">
      <c r="A389" s="34" t="str">
        <f ca="1">IFERROR(__xludf.DUMMYFUNCTION("""COMPUTED_VALUE"""),"Tocantinópolis")</f>
        <v>Tocantinópolis</v>
      </c>
      <c r="B389" s="34" t="str">
        <f ca="1">IFERROR(__xludf.DUMMYFUNCTION("""COMPUTED_VALUE"""),"Aguiarnopolis")</f>
        <v>Aguiarnopolis</v>
      </c>
      <c r="C389" s="35" t="str">
        <f ca="1">IFERROR(__xludf.DUMMYFUNCTION("""COMPUTED_VALUE"""),"A.A. DA ESC. EST. NAZARÉ NUNES DA SILVA (AGUIARNOPOLIS)")</f>
        <v>A.A. DA ESC. EST. NAZARÉ NUNES DA SILVA (AGUIARNOPOLIS)</v>
      </c>
      <c r="D389" s="36" t="str">
        <f ca="1">IFERROR(__xludf.DUMMYFUNCTION("""COMPUTED_VALUE"""),"01213519000110")</f>
        <v>01213519000110</v>
      </c>
      <c r="E389" s="37" t="str">
        <f ca="1">IFERROR(__xludf.DUMMYFUNCTION("""COMPUTED_VALUE"""),"001")</f>
        <v>001</v>
      </c>
      <c r="F389" s="38" t="str">
        <f ca="1">IFERROR(__xludf.DUMMYFUNCTION("""COMPUTED_VALUE"""),"0810")</f>
        <v>0810</v>
      </c>
      <c r="G389" s="38" t="str">
        <f ca="1">IFERROR(__xludf.DUMMYFUNCTION("""COMPUTED_VALUE"""),"217727")</f>
        <v>217727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IFERROR(__xludf.DUMMYFUNCTION("""COMPUTED_VALUE"""),3381)</f>
        <v>3381</v>
      </c>
      <c r="K389" s="38">
        <f ca="1">IFERROR(__xludf.DUMMYFUNCTION("""COMPUTED_VALUE"""),7212.8)</f>
        <v>7212.8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IFERROR(__xludf.DUMMYFUNCTION("""COMPUTED_VALUE"""),1449)</f>
        <v>1449</v>
      </c>
      <c r="R389" s="38">
        <f ca="1">IFERROR(__xludf.DUMMYFUNCTION("""COMPUTED_VALUE"""),0)</f>
        <v>0</v>
      </c>
      <c r="S389" s="38">
        <f ca="1">IFERROR(__xludf.DUMMYFUNCTION("""COMPUTED_VALUE"""),17651.3999999999)</f>
        <v>17651.3999999999</v>
      </c>
      <c r="T389" s="38">
        <f ca="1">IFERROR(__xludf.DUMMYFUNCTION("""COMPUTED_VALUE"""),0)</f>
        <v>0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IFERROR(__xludf.DUMMYFUNCTION("""COMPUTED_VALUE"""),1809)</f>
        <v>1809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IFERROR(__xludf.DUMMYFUNCTION("""COMPUTED_VALUE"""),598.8)</f>
        <v>598.79999999999995</v>
      </c>
    </row>
    <row r="390" spans="1:26" ht="12.75">
      <c r="A390" s="39" t="str">
        <f ca="1">IFERROR(__xludf.DUMMYFUNCTION("""COMPUTED_VALUE"""),"Tocantinópolis")</f>
        <v>Tocantinópolis</v>
      </c>
      <c r="B390" s="39" t="str">
        <f ca="1">IFERROR(__xludf.DUMMYFUNCTION("""COMPUTED_VALUE"""),"Angico")</f>
        <v>Angico</v>
      </c>
      <c r="C390" s="40" t="str">
        <f ca="1">IFERROR(__xludf.DUMMYFUNCTION("""COMPUTED_VALUE"""),"ASSOCIAÇÃO DE APOIO DO COL. EST. DULCE COELHO DE SOUSA")</f>
        <v>ASSOCIAÇÃO DE APOIO DO COL. EST. DULCE COELHO DE SOUSA</v>
      </c>
      <c r="D390" s="41" t="str">
        <f ca="1">IFERROR(__xludf.DUMMYFUNCTION("""COMPUTED_VALUE"""),"10800992000195")</f>
        <v>10800992000195</v>
      </c>
      <c r="E390" s="42" t="str">
        <f ca="1">IFERROR(__xludf.DUMMYFUNCTION("""COMPUTED_VALUE"""),"001")</f>
        <v>001</v>
      </c>
      <c r="F390" s="43" t="str">
        <f ca="1">IFERROR(__xludf.DUMMYFUNCTION("""COMPUTED_VALUE"""),"3973")</f>
        <v>3973</v>
      </c>
      <c r="G390" s="43" t="str">
        <f ca="1">IFERROR(__xludf.DUMMYFUNCTION("""COMPUTED_VALUE"""),"212792")</f>
        <v>212792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IFERROR(__xludf.DUMMYFUNCTION("""COMPUTED_VALUE"""),4389)</f>
        <v>4389</v>
      </c>
      <c r="K390" s="43">
        <f ca="1">IFERROR(__xludf.DUMMYFUNCTION("""COMPUTED_VALUE"""),0)</f>
        <v>0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IFERROR(__xludf.DUMMYFUNCTION("""COMPUTED_VALUE"""),357)</f>
        <v>357</v>
      </c>
      <c r="Q390" s="43">
        <f ca="1">IFERROR(__xludf.DUMMYFUNCTION("""COMPUTED_VALUE"""),2919)</f>
        <v>2919</v>
      </c>
      <c r="R390" s="43">
        <f ca="1">IFERROR(__xludf.DUMMYFUNCTION("""COMPUTED_VALUE"""),0)</f>
        <v>0</v>
      </c>
      <c r="S390" s="43">
        <f ca="1">IFERROR(__xludf.DUMMYFUNCTION("""COMPUTED_VALUE"""),0)</f>
        <v>0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IFERROR(__xludf.DUMMYFUNCTION("""COMPUTED_VALUE"""),0)</f>
        <v>0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IFERROR(__xludf.DUMMYFUNCTION("""COMPUTED_VALUE"""),0)</f>
        <v>0</v>
      </c>
    </row>
    <row r="391" spans="1:26" ht="12.75">
      <c r="A391" s="34" t="str">
        <f ca="1">IFERROR(__xludf.DUMMYFUNCTION("""COMPUTED_VALUE"""),"Tocantinópolis")</f>
        <v>Tocantinópolis</v>
      </c>
      <c r="B391" s="34" t="str">
        <f ca="1">IFERROR(__xludf.DUMMYFUNCTION("""COMPUTED_VALUE"""),"Cachoeirinha")</f>
        <v>Cachoeirinha</v>
      </c>
      <c r="C391" s="35" t="str">
        <f ca="1">IFERROR(__xludf.DUMMYFUNCTION("""COMPUTED_VALUE"""),"A.A. E. EST. NOVA DA CACHOEIRINHA/RAIMUNDO NONATO TORRES")</f>
        <v>A.A. E. EST. NOVA DA CACHOEIRINHA/RAIMUNDO NONATO TORRES</v>
      </c>
      <c r="D391" s="36" t="str">
        <f ca="1">IFERROR(__xludf.DUMMYFUNCTION("""COMPUTED_VALUE"""),"01213535000103")</f>
        <v>01213535000103</v>
      </c>
      <c r="E391" s="37" t="str">
        <f ca="1">IFERROR(__xludf.DUMMYFUNCTION("""COMPUTED_VALUE"""),"001")</f>
        <v>001</v>
      </c>
      <c r="F391" s="38" t="str">
        <f ca="1">IFERROR(__xludf.DUMMYFUNCTION("""COMPUTED_VALUE"""),"0810")</f>
        <v>0810</v>
      </c>
      <c r="G391" s="38" t="str">
        <f ca="1">IFERROR(__xludf.DUMMYFUNCTION("""COMPUTED_VALUE"""),"0217689")</f>
        <v>0217689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IFERROR(__xludf.DUMMYFUNCTION("""COMPUTED_VALUE"""),2583)</f>
        <v>2583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IFERROR(__xludf.DUMMYFUNCTION("""COMPUTED_VALUE"""),231)</f>
        <v>231</v>
      </c>
      <c r="Q391" s="38">
        <f ca="1">IFERROR(__xludf.DUMMYFUNCTION("""COMPUTED_VALUE"""),2016)</f>
        <v>2016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IFERROR(__xludf.DUMMYFUNCTION("""COMPUTED_VALUE"""),0)</f>
        <v>0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IFERROR(__xludf.DUMMYFUNCTION("""COMPUTED_VALUE"""),"Tocantinópolis")</f>
        <v>Tocantinópolis</v>
      </c>
      <c r="B392" s="39" t="str">
        <f ca="1">IFERROR(__xludf.DUMMYFUNCTION("""COMPUTED_VALUE"""),"darcinopolis")</f>
        <v>darcinopolis</v>
      </c>
      <c r="C392" s="40" t="str">
        <f ca="1">IFERROR(__xludf.DUMMYFUNCTION("""COMPUTED_VALUE"""),"A. APOIO COL. EST. JOSE DE SOUZA PORTO")</f>
        <v>A. APOIO COL. EST. JOSE DE SOUZA PORTO</v>
      </c>
      <c r="D392" s="41" t="str">
        <f ca="1">IFERROR(__xludf.DUMMYFUNCTION("""COMPUTED_VALUE"""),"01213532000170")</f>
        <v>01213532000170</v>
      </c>
      <c r="E392" s="42" t="str">
        <f ca="1">IFERROR(__xludf.DUMMYFUNCTION("""COMPUTED_VALUE"""),"001")</f>
        <v>001</v>
      </c>
      <c r="F392" s="43" t="str">
        <f ca="1">IFERROR(__xludf.DUMMYFUNCTION("""COMPUTED_VALUE"""),"0810")</f>
        <v>0810</v>
      </c>
      <c r="G392" s="43" t="str">
        <f ca="1">IFERROR(__xludf.DUMMYFUNCTION("""COMPUTED_VALUE"""),"25739")</f>
        <v>25739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IFERROR(__xludf.DUMMYFUNCTION("""COMPUTED_VALUE"""),10521)</f>
        <v>10521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IFERROR(__xludf.DUMMYFUNCTION("""COMPUTED_VALUE"""),525)</f>
        <v>525</v>
      </c>
      <c r="Q392" s="43">
        <f ca="1">IFERROR(__xludf.DUMMYFUNCTION("""COMPUTED_VALUE"""),5859)</f>
        <v>5859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IFERROR(__xludf.DUMMYFUNCTION("""COMPUTED_VALUE"""),"Tocantinópolis")</f>
        <v>Tocantinópolis</v>
      </c>
      <c r="B393" s="34" t="str">
        <f ca="1">IFERROR(__xludf.DUMMYFUNCTION("""COMPUTED_VALUE"""),"Itaguatins")</f>
        <v>Itaguatins</v>
      </c>
      <c r="C393" s="35" t="str">
        <f ca="1">IFERROR(__xludf.DUMMYFUNCTION("""COMPUTED_VALUE"""),"ASS. DE APOIO ESC. EST. OLAVO BILAC")</f>
        <v>ASS. DE APOIO ESC. EST. OLAVO BILAC</v>
      </c>
      <c r="D393" s="36" t="str">
        <f ca="1">IFERROR(__xludf.DUMMYFUNCTION("""COMPUTED_VALUE"""),"01358337000138")</f>
        <v>01358337000138</v>
      </c>
      <c r="E393" s="37" t="str">
        <f ca="1">IFERROR(__xludf.DUMMYFUNCTION("""COMPUTED_VALUE"""),"001")</f>
        <v>001</v>
      </c>
      <c r="F393" s="38" t="str">
        <f ca="1">IFERROR(__xludf.DUMMYFUNCTION("""COMPUTED_VALUE"""),"0810")</f>
        <v>0810</v>
      </c>
      <c r="G393" s="38" t="str">
        <f ca="1">IFERROR(__xludf.DUMMYFUNCTION("""COMPUTED_VALUE"""),"218391")</f>
        <v>218391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IFERROR(__xludf.DUMMYFUNCTION("""COMPUTED_VALUE"""),1281)</f>
        <v>1281</v>
      </c>
      <c r="K393" s="38">
        <f ca="1">IFERROR(__xludf.DUMMYFUNCTION("""COMPUTED_VALUE"""),0)</f>
        <v>0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IFERROR(__xludf.DUMMYFUNCTION("""COMPUTED_VALUE"""),0)</f>
        <v>0</v>
      </c>
      <c r="Q393" s="38">
        <f ca="1">IFERROR(__xludf.DUMMYFUNCTION("""COMPUTED_VALUE"""),4452)</f>
        <v>4452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IFERROR(__xludf.DUMMYFUNCTION("""COMPUTED_VALUE"""),336)</f>
        <v>336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IFERROR(__xludf.DUMMYFUNCTION("""COMPUTED_VALUE"""),0)</f>
        <v>0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IFERROR(__xludf.DUMMYFUNCTION("""COMPUTED_VALUE"""),"Luzinopolis")</f>
        <v>Luzinopolis</v>
      </c>
      <c r="C394" s="40" t="str">
        <f ca="1">IFERROR(__xludf.DUMMYFUNCTION("""COMPUTED_VALUE"""),"ASS. AP.A ESC. EST. JUSCELINO K.DE OLIVEIRA")</f>
        <v>ASS. AP.A ESC. EST. JUSCELINO K.DE OLIVEIRA</v>
      </c>
      <c r="D394" s="41" t="str">
        <f ca="1">IFERROR(__xludf.DUMMYFUNCTION("""COMPUTED_VALUE"""),"01230232000107")</f>
        <v>01230232000107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IFERROR(__xludf.DUMMYFUNCTION("""COMPUTED_VALUE"""),"022135X")</f>
        <v>022135X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IFERROR(__xludf.DUMMYFUNCTION("""COMPUTED_VALUE"""),4977)</f>
        <v>4977</v>
      </c>
      <c r="K394" s="43">
        <f ca="1">IFERROR(__xludf.DUMMYFUNCTION("""COMPUTED_VALUE"""),0)</f>
        <v>0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IFERROR(__xludf.DUMMYFUNCTION("""COMPUTED_VALUE"""),3612)</f>
        <v>3612</v>
      </c>
      <c r="R394" s="43">
        <f ca="1">IFERROR(__xludf.DUMMYFUNCTION("""COMPUTED_VALUE"""),0)</f>
        <v>0</v>
      </c>
      <c r="S394" s="43">
        <f ca="1">IFERROR(__xludf.DUMMYFUNCTION("""COMPUTED_VALUE"""),0)</f>
        <v>0</v>
      </c>
      <c r="T394" s="43">
        <f ca="1">IFERROR(__xludf.DUMMYFUNCTION("""COMPUTED_VALUE"""),0)</f>
        <v>0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IFERROR(__xludf.DUMMYFUNCTION("""COMPUTED_VALUE"""),0)</f>
        <v>0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IFERROR(__xludf.DUMMYFUNCTION("""COMPUTED_VALUE"""),0)</f>
        <v>0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IFERROR(__xludf.DUMMYFUNCTION("""COMPUTED_VALUE"""),"Maurilandia do Tocantins")</f>
        <v>Maurilandia do Tocantins</v>
      </c>
      <c r="C395" s="35" t="str">
        <f ca="1">IFERROR(__xludf.DUMMYFUNCTION("""COMPUTED_VALUE"""),"A.A.  DA ESC. EST.PEDRO LUDOVICO TEIXEIRA")</f>
        <v>A.A.  DA ESC. EST.PEDRO LUDOVICO TEIXEIRA</v>
      </c>
      <c r="D395" s="36" t="str">
        <f ca="1">IFERROR(__xludf.DUMMYFUNCTION("""COMPUTED_VALUE"""),"01213528000101")</f>
        <v>01213528000101</v>
      </c>
      <c r="E395" s="37" t="str">
        <f ca="1">IFERROR(__xludf.DUMMYFUNCTION("""COMPUTED_VALUE"""),"001")</f>
        <v>001</v>
      </c>
      <c r="F395" s="38" t="str">
        <f ca="1">IFERROR(__xludf.DUMMYFUNCTION("""COMPUTED_VALUE"""),"0810")</f>
        <v>0810</v>
      </c>
      <c r="G395" s="38" t="str">
        <f ca="1">IFERROR(__xludf.DUMMYFUNCTION("""COMPUTED_VALUE"""),"0217670")</f>
        <v>0217670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IFERROR(__xludf.DUMMYFUNCTION("""COMPUTED_VALUE"""),1239)</f>
        <v>1239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IFERROR(__xludf.DUMMYFUNCTION("""COMPUTED_VALUE"""),0)</f>
        <v>0</v>
      </c>
      <c r="Q395" s="38">
        <f ca="1">IFERROR(__xludf.DUMMYFUNCTION("""COMPUTED_VALUE"""),3276)</f>
        <v>3276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IFERROR(__xludf.DUMMYFUNCTION("""COMPUTED_VALUE"""),"Nazare")</f>
        <v>Nazare</v>
      </c>
      <c r="C396" s="40" t="str">
        <f ca="1">IFERROR(__xludf.DUMMYFUNCTION("""COMPUTED_VALUE"""),"A.DO COLEGIO EST.PRES.CASTELO BRANCO")</f>
        <v>A.DO COLEGIO EST.PRES.CASTELO BRANCO</v>
      </c>
      <c r="D396" s="41" t="str">
        <f ca="1">IFERROR(__xludf.DUMMYFUNCTION("""COMPUTED_VALUE"""),"01213522000134")</f>
        <v>01213522000134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IFERROR(__xludf.DUMMYFUNCTION("""COMPUTED_VALUE"""),"217859")</f>
        <v>217859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IFERROR(__xludf.DUMMYFUNCTION("""COMPUTED_VALUE"""),4326)</f>
        <v>4326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IFERROR(__xludf.DUMMYFUNCTION("""COMPUTED_VALUE"""),441)</f>
        <v>441</v>
      </c>
      <c r="Q396" s="43">
        <f ca="1">IFERROR(__xludf.DUMMYFUNCTION("""COMPUTED_VALUE"""),2016)</f>
        <v>2016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IFERROR(__xludf.DUMMYFUNCTION("""COMPUTED_VALUE"""),"Nazare")</f>
        <v>Nazare</v>
      </c>
      <c r="C397" s="35" t="str">
        <f ca="1">IFERROR(__xludf.DUMMYFUNCTION("""COMPUTED_VALUE"""),"ASSOC. DE APOIO A ESC. EST.ESPECIAL BEM VIVER")</f>
        <v>ASSOC. DE APOIO A ESC. EST.ESPECIAL BEM VIVER</v>
      </c>
      <c r="D397" s="36" t="str">
        <f ca="1">IFERROR(__xludf.DUMMYFUNCTION("""COMPUTED_VALUE"""),"10520927000106")</f>
        <v>10520927000106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IFERROR(__xludf.DUMMYFUNCTION("""COMPUTED_VALUE"""),"200336")</f>
        <v>200336</v>
      </c>
      <c r="H397" s="38">
        <f ca="1">IFERROR(__xludf.DUMMYFUNCTION("""COMPUTED_VALUE"""),0)</f>
        <v>0</v>
      </c>
      <c r="I397" s="38">
        <f ca="1">IFERROR(__xludf.DUMMYFUNCTION("""COMPUTED_VALUE"""),147)</f>
        <v>147</v>
      </c>
      <c r="J397" s="38">
        <f ca="1">IFERROR(__xludf.DUMMYFUNCTION("""COMPUTED_VALUE"""),399)</f>
        <v>399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IFERROR(__xludf.DUMMYFUNCTION("""COMPUTED_VALUE"""),21)</f>
        <v>21</v>
      </c>
      <c r="Q397" s="38">
        <f ca="1">IFERROR(__xludf.DUMMYFUNCTION("""COMPUTED_VALUE"""),0)</f>
        <v>0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IFERROR(__xludf.DUMMYFUNCTION("""COMPUTED_VALUE"""),1176)</f>
        <v>1176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IFERROR(__xludf.DUMMYFUNCTION("""COMPUTED_VALUE"""),"Nazare")</f>
        <v>Nazare</v>
      </c>
      <c r="C398" s="40" t="str">
        <f ca="1">IFERROR(__xludf.DUMMYFUNCTION("""COMPUTED_VALUE"""),"A.A. ESC. EST. DOM CORNELIO CHIZZINI")</f>
        <v>A.A. ESC. EST. DOM CORNELIO CHIZZINI</v>
      </c>
      <c r="D398" s="41" t="str">
        <f ca="1">IFERROR(__xludf.DUMMYFUNCTION("""COMPUTED_VALUE"""),"01230233000143")</f>
        <v>01230233000143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IFERROR(__xludf.DUMMYFUNCTION("""COMPUTED_VALUE"""),"21776X")</f>
        <v>21776X</v>
      </c>
      <c r="H398" s="43">
        <f ca="1">IFERROR(__xludf.DUMMYFUNCTION("""COMPUTED_VALUE"""),0)</f>
        <v>0</v>
      </c>
      <c r="I398" s="43">
        <f ca="1">IFERROR(__xludf.DUMMYFUNCTION("""COMPUTED_VALUE"""),0)</f>
        <v>0</v>
      </c>
      <c r="J398" s="43">
        <f ca="1">IFERROR(__xludf.DUMMYFUNCTION("""COMPUTED_VALUE"""),1449)</f>
        <v>1449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IFERROR(__xludf.DUMMYFUNCTION("""COMPUTED_VALUE"""),1134)</f>
        <v>1134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IFERROR(__xludf.DUMMYFUNCTION("""COMPUTED_VALUE"""),0)</f>
        <v>0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IFERROR(__xludf.DUMMYFUNCTION("""COMPUTED_VALUE"""),"Nazare")</f>
        <v>Nazare</v>
      </c>
      <c r="C399" s="35" t="str">
        <f ca="1">IFERROR(__xludf.DUMMYFUNCTION("""COMPUTED_VALUE"""),"A.A.  DA ESCOLA ESTADUAL PIACAVA")</f>
        <v>A.A.  DA ESCOLA ESTADUAL PIACAVA</v>
      </c>
      <c r="D399" s="36" t="str">
        <f ca="1">IFERROR(__xludf.DUMMYFUNCTION("""COMPUTED_VALUE"""),"01230239000110")</f>
        <v>01230239000110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IFERROR(__xludf.DUMMYFUNCTION("""COMPUTED_VALUE"""),"217883")</f>
        <v>217883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IFERROR(__xludf.DUMMYFUNCTION("""COMPUTED_VALUE"""),966)</f>
        <v>966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IFERROR(__xludf.DUMMYFUNCTION("""COMPUTED_VALUE"""),567)</f>
        <v>567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IFERROR(__xludf.DUMMYFUNCTION("""COMPUTED_VALUE"""),588)</f>
        <v>588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IFERROR(__xludf.DUMMYFUNCTION("""COMPUTED_VALUE"""),"Palmeiras do Tocantins")</f>
        <v>Palmeiras do Tocantins</v>
      </c>
      <c r="C400" s="40" t="str">
        <f ca="1">IFERROR(__xludf.DUMMYFUNCTION("""COMPUTED_VALUE"""),"A.A. ESC. EST. RAIMUNDO NEIVA DE CARVALHO")</f>
        <v>A.A. ESC. EST. RAIMUNDO NEIVA DE CARVALHO</v>
      </c>
      <c r="D400" s="41" t="str">
        <f ca="1">IFERROR(__xludf.DUMMYFUNCTION("""COMPUTED_VALUE"""),"01213533000114")</f>
        <v>01213533000114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IFERROR(__xludf.DUMMYFUNCTION("""COMPUTED_VALUE"""),"0027529")</f>
        <v>0027529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IFERROR(__xludf.DUMMYFUNCTION("""COMPUTED_VALUE"""),4830)</f>
        <v>4830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IFERROR(__xludf.DUMMYFUNCTION("""COMPUTED_VALUE"""),5187)</f>
        <v>5187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IFERROR(__xludf.DUMMYFUNCTION("""COMPUTED_VALUE"""),0)</f>
        <v>0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IFERROR(__xludf.DUMMYFUNCTION("""COMPUTED_VALUE"""),"Palmeiras do Tocantins")</f>
        <v>Palmeiras do Tocantins</v>
      </c>
      <c r="C401" s="35" t="str">
        <f ca="1">IFERROR(__xludf.DUMMYFUNCTION("""COMPUTED_VALUE"""),"A. DE APOIO DA E. E. PE. CESARE LELLI")</f>
        <v>A. DE APOIO DA E. E. PE. CESARE LELLI</v>
      </c>
      <c r="D401" s="36" t="str">
        <f ca="1">IFERROR(__xludf.DUMMYFUNCTION("""COMPUTED_VALUE"""),"03778873000118")</f>
        <v>03778873000118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IFERROR(__xludf.DUMMYFUNCTION("""COMPUTED_VALUE"""),"82007")</f>
        <v>82007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IFERROR(__xludf.DUMMYFUNCTION("""COMPUTED_VALUE"""),4263)</f>
        <v>4263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IFERROR(__xludf.DUMMYFUNCTION("""COMPUTED_VALUE"""),483)</f>
        <v>483</v>
      </c>
      <c r="Q401" s="38">
        <f ca="1">IFERROR(__xludf.DUMMYFUNCTION("""COMPUTED_VALUE"""),0)</f>
        <v>0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IFERROR(__xludf.DUMMYFUNCTION("""COMPUTED_VALUE"""),"Santa Terezinha do Tocantins")</f>
        <v>Santa Terezinha do Tocantins</v>
      </c>
      <c r="C402" s="40" t="str">
        <f ca="1">IFERROR(__xludf.DUMMYFUNCTION("""COMPUTED_VALUE"""),"ASS. A. ESC. EST. DR JOSE FELICIANO FERREIRA")</f>
        <v>ASS. A. ESC. EST. DR JOSE FELICIANO FERREIRA</v>
      </c>
      <c r="D402" s="41" t="str">
        <f ca="1">IFERROR(__xludf.DUMMYFUNCTION("""COMPUTED_VALUE"""),"01077441000154")</f>
        <v>01077441000154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IFERROR(__xludf.DUMMYFUNCTION("""COMPUTED_VALUE"""),"0026085")</f>
        <v>0026085</v>
      </c>
      <c r="H402" s="43">
        <f ca="1">IFERROR(__xludf.DUMMYFUNCTION("""COMPUTED_VALUE"""),0)</f>
        <v>0</v>
      </c>
      <c r="I402" s="43">
        <f ca="1">IFERROR(__xludf.DUMMYFUNCTION("""COMPUTED_VALUE"""),0)</f>
        <v>0</v>
      </c>
      <c r="J402" s="43">
        <f ca="1">IFERROR(__xludf.DUMMYFUNCTION("""COMPUTED_VALUE"""),1302)</f>
        <v>1302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IFERROR(__xludf.DUMMYFUNCTION("""COMPUTED_VALUE"""),0)</f>
        <v>0</v>
      </c>
      <c r="Q402" s="43">
        <f ca="1">IFERROR(__xludf.DUMMYFUNCTION("""COMPUTED_VALUE"""),1932)</f>
        <v>1932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IFERROR(__xludf.DUMMYFUNCTION("""COMPUTED_VALUE"""),0)</f>
        <v>0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IFERROR(__xludf.DUMMYFUNCTION("""COMPUTED_VALUE"""),"Tocantinopolis")</f>
        <v>Tocantinopolis</v>
      </c>
      <c r="C403" s="35" t="str">
        <f ca="1">IFERROR(__xludf.DUMMYFUNCTION("""COMPUTED_VALUE"""),"A.A ESC. EST.INDIGENAS NRE TOCANTINOPOLIS")</f>
        <v>A.A ESC. EST.INDIGENAS NRE TOCANTINOPOLIS</v>
      </c>
      <c r="D403" s="36" t="str">
        <f ca="1">IFERROR(__xludf.DUMMYFUNCTION("""COMPUTED_VALUE"""),"06171083000168")</f>
        <v>06171083000168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IFERROR(__xludf.DUMMYFUNCTION("""COMPUTED_VALUE"""),"140538")</f>
        <v>140538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IFERROR(__xludf.DUMMYFUNCTION("""COMPUTED_VALUE"""),0)</f>
        <v>0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IFERROR(__xludf.DUMMYFUNCTION("""COMPUTED_VALUE"""),11781)</f>
        <v>11781</v>
      </c>
      <c r="P403" s="38">
        <f ca="1">IFERROR(__xludf.DUMMYFUNCTION("""COMPUTED_VALUE"""),0)</f>
        <v>0</v>
      </c>
      <c r="Q403" s="38">
        <f ca="1">IFERROR(__xludf.DUMMYFUNCTION("""COMPUTED_VALUE"""),0)</f>
        <v>0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IFERROR(__xludf.DUMMYFUNCTION("""COMPUTED_VALUE"""),"Tocantinopolis")</f>
        <v>Tocantinopolis</v>
      </c>
      <c r="C404" s="40" t="str">
        <f ca="1">IFERROR(__xludf.DUMMYFUNCTION("""COMPUTED_VALUE"""),"A.A. AS ESC. EST.INDIGENAS MATYK E APORO")</f>
        <v>A.A. AS ESC. EST.INDIGENAS MATYK E APORO</v>
      </c>
      <c r="D404" s="41" t="str">
        <f ca="1">IFERROR(__xludf.DUMMYFUNCTION("""COMPUTED_VALUE"""),"03544096000147")</f>
        <v>03544096000147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IFERROR(__xludf.DUMMYFUNCTION("""COMPUTED_VALUE"""),"67423")</f>
        <v>67423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IFERROR(__xludf.DUMMYFUNCTION("""COMPUTED_VALUE"""),0)</f>
        <v>0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IFERROR(__xludf.DUMMYFUNCTION("""COMPUTED_VALUE"""),14364)</f>
        <v>14364</v>
      </c>
      <c r="P404" s="43">
        <f ca="1">IFERROR(__xludf.DUMMYFUNCTION("""COMPUTED_VALUE"""),0)</f>
        <v>0</v>
      </c>
      <c r="Q404" s="43">
        <f ca="1">IFERROR(__xludf.DUMMYFUNCTION("""COMPUTED_VALUE"""),0)</f>
        <v>0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IFERROR(__xludf.DUMMYFUNCTION("""COMPUTED_VALUE"""),0)</f>
        <v>0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IFERROR(__xludf.DUMMYFUNCTION("""COMPUTED_VALUE"""),"Tocantinopolis")</f>
        <v>Tocantinopolis</v>
      </c>
      <c r="C405" s="35" t="str">
        <f ca="1">IFERROR(__xludf.DUMMYFUNCTION("""COMPUTED_VALUE"""),"ASSOC.PAIS E MESTRES COL. EST. DEP.DARCY MARINHO")</f>
        <v>ASSOC.PAIS E MESTRES COL. EST. DEP.DARCY MARINHO</v>
      </c>
      <c r="D405" s="36" t="str">
        <f ca="1">IFERROR(__xludf.DUMMYFUNCTION("""COMPUTED_VALUE"""),"01230236000187")</f>
        <v>01230236000187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IFERROR(__xludf.DUMMYFUNCTION("""COMPUTED_VALUE"""),"297410")</f>
        <v>297410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IFERROR(__xludf.DUMMYFUNCTION("""COMPUTED_VALUE"""),0)</f>
        <v>0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IFERROR(__xludf.DUMMYFUNCTION("""COMPUTED_VALUE"""),0)</f>
        <v>0</v>
      </c>
      <c r="P405" s="38">
        <f ca="1">IFERROR(__xludf.DUMMYFUNCTION("""COMPUTED_VALUE"""),462)</f>
        <v>462</v>
      </c>
      <c r="Q405" s="38">
        <f ca="1">IFERROR(__xludf.DUMMYFUNCTION("""COMPUTED_VALUE"""),0)</f>
        <v>0</v>
      </c>
      <c r="R405" s="38">
        <f ca="1">IFERROR(__xludf.DUMMYFUNCTION("""COMPUTED_VALUE"""),0)</f>
        <v>0</v>
      </c>
      <c r="S405" s="38">
        <f ca="1">IFERROR(__xludf.DUMMYFUNCTION("""COMPUTED_VALUE"""),13943.8)</f>
        <v>13943.8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IFERROR(__xludf.DUMMYFUNCTION("""COMPUTED_VALUE"""),1447.19999999999)</f>
        <v>1447.19999999999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IFERROR(__xludf.DUMMYFUNCTION("""COMPUTED_VALUE"""),"Tocantinopolis")</f>
        <v>Tocantinopolis</v>
      </c>
      <c r="C406" s="40" t="str">
        <f ca="1">IFERROR(__xludf.DUMMYFUNCTION("""COMPUTED_VALUE"""),"ASSOC. APOIO AO COLÉGIODOM ORIONE")</f>
        <v>ASSOC. APOIO AO COLÉGIODOM ORIONE</v>
      </c>
      <c r="D406" s="41" t="str">
        <f ca="1">IFERROR(__xludf.DUMMYFUNCTION("""COMPUTED_VALUE"""),"13033002000129")</f>
        <v>13033002000129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IFERROR(__xludf.DUMMYFUNCTION("""COMPUTED_VALUE"""),"254193")</f>
        <v>254193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IFERROR(__xludf.DUMMYFUNCTION("""COMPUTED_VALUE"""),3948)</f>
        <v>3948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IFERROR(__xludf.DUMMYFUNCTION("""COMPUTED_VALUE"""),546)</f>
        <v>546</v>
      </c>
      <c r="Q406" s="43">
        <f ca="1">IFERROR(__xludf.DUMMYFUNCTION("""COMPUTED_VALUE"""),8421)</f>
        <v>8421</v>
      </c>
      <c r="R406" s="43">
        <f ca="1">IFERROR(__xludf.DUMMYFUNCTION("""COMPUTED_VALUE"""),0)</f>
        <v>0</v>
      </c>
      <c r="S406" s="43">
        <f ca="1">IFERROR(__xludf.DUMMYFUNCTION("""COMPUTED_VALUE"""),0)</f>
        <v>0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IFERROR(__xludf.DUMMYFUNCTION("""COMPUTED_VALUE"""),0)</f>
        <v>0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IFERROR(__xludf.DUMMYFUNCTION("""COMPUTED_VALUE"""),"Tocantinopolis")</f>
        <v>Tocantinopolis</v>
      </c>
      <c r="C407" s="35" t="str">
        <f ca="1">IFERROR(__xludf.DUMMYFUNCTION("""COMPUTED_VALUE"""),"A.A. DO COL.PADRAO/JOSÉ CARNEIRO DE BRITO")</f>
        <v>A.A. DO COL.PADRAO/JOSÉ CARNEIRO DE BRITO</v>
      </c>
      <c r="D407" s="36" t="str">
        <f ca="1">IFERROR(__xludf.DUMMYFUNCTION("""COMPUTED_VALUE"""),"03880040000163")</f>
        <v>03880040000163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IFERROR(__xludf.DUMMYFUNCTION("""COMPUTED_VALUE"""),"81884")</f>
        <v>81884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IFERROR(__xludf.DUMMYFUNCTION("""COMPUTED_VALUE"""),3675)</f>
        <v>3675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IFERROR(__xludf.DUMMYFUNCTION("""COMPUTED_VALUE"""),378)</f>
        <v>378</v>
      </c>
      <c r="Q407" s="38">
        <f ca="1">IFERROR(__xludf.DUMMYFUNCTION("""COMPUTED_VALUE"""),5124)</f>
        <v>5124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IFERROR(__xludf.DUMMYFUNCTION("""COMPUTED_VALUE"""),1953)</f>
        <v>1953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IFERROR(__xludf.DUMMYFUNCTION("""COMPUTED_VALUE"""),"ASSOCIAÇÃO DE APOIO A ESCOLA ESPECIAL UM PASSO DIFERENTE -APAE")</f>
        <v>ASSOCIAÇÃO DE APOIO A ESCOLA ESPECIAL UM PASSO DIFERENTE -APAE</v>
      </c>
      <c r="D408" s="41" t="str">
        <f ca="1">IFERROR(__xludf.DUMMYFUNCTION("""COMPUTED_VALUE"""),"08012610000117")</f>
        <v>08012610000117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IFERROR(__xludf.DUMMYFUNCTION("""COMPUTED_VALUE"""),"204250")</f>
        <v>204250</v>
      </c>
      <c r="H408" s="43">
        <f ca="1">IFERROR(__xludf.DUMMYFUNCTION("""COMPUTED_VALUE"""),0)</f>
        <v>0</v>
      </c>
      <c r="I408" s="43">
        <f ca="1">IFERROR(__xludf.DUMMYFUNCTION("""COMPUTED_VALUE"""),84)</f>
        <v>84</v>
      </c>
      <c r="J408" s="43">
        <f ca="1">IFERROR(__xludf.DUMMYFUNCTION("""COMPUTED_VALUE"""),189)</f>
        <v>189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IFERROR(__xludf.DUMMYFUNCTION("""COMPUTED_VALUE"""),0)</f>
        <v>0</v>
      </c>
      <c r="P408" s="43">
        <f ca="1">IFERROR(__xludf.DUMMYFUNCTION("""COMPUTED_VALUE"""),0)</f>
        <v>0</v>
      </c>
      <c r="Q408" s="43">
        <f ca="1">IFERROR(__xludf.DUMMYFUNCTION("""COMPUTED_VALUE"""),0)</f>
        <v>0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IFERROR(__xludf.DUMMYFUNCTION("""COMPUTED_VALUE"""),1764)</f>
        <v>1764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IFERROR(__xludf.DUMMYFUNCTION("""COMPUTED_VALUE"""),"A.A. ESC. E. E.PROF.ALDENORA A.CORREIA")</f>
        <v>A.A. ESC. E. E.PROF.ALDENORA A.CORREIA</v>
      </c>
      <c r="D409" s="36" t="str">
        <f ca="1">IFERROR(__xludf.DUMMYFUNCTION("""COMPUTED_VALUE"""),"01213527000167")</f>
        <v>01213527000167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IFERROR(__xludf.DUMMYFUNCTION("""COMPUTED_VALUE"""),"58319")</f>
        <v>58319</v>
      </c>
      <c r="H409" s="38">
        <f ca="1">IFERROR(__xludf.DUMMYFUNCTION("""COMPUTED_VALUE"""),0)</f>
        <v>0</v>
      </c>
      <c r="I409" s="38">
        <f ca="1">IFERROR(__xludf.DUMMYFUNCTION("""COMPUTED_VALUE"""),0)</f>
        <v>0</v>
      </c>
      <c r="J409" s="38">
        <f ca="1">IFERROR(__xludf.DUMMYFUNCTION("""COMPUTED_VALUE"""),0)</f>
        <v>0</v>
      </c>
      <c r="K409" s="38">
        <f ca="1">IFERROR(__xludf.DUMMYFUNCTION("""COMPUTED_VALUE"""),8624)</f>
        <v>8624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IFERROR(__xludf.DUMMYFUNCTION("""COMPUTED_VALUE"""),0)</f>
        <v>0</v>
      </c>
      <c r="P409" s="38">
        <f ca="1">IFERROR(__xludf.DUMMYFUNCTION("""COMPUTED_VALUE"""),168)</f>
        <v>168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IFERROR(__xludf.DUMMYFUNCTION("""COMPUTED_VALUE"""),0)</f>
        <v>0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IFERROR(__xludf.DUMMYFUNCTION("""COMPUTED_VALUE"""),698.6)</f>
        <v>698.6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IFERROR(__xludf.DUMMYFUNCTION("""COMPUTED_VALUE"""),"A. PAIS DA ESC. EST. XV DE NOVEMBRO")</f>
        <v>A. PAIS DA ESC. EST. XV DE NOVEMBRO</v>
      </c>
      <c r="D410" s="41" t="str">
        <f ca="1">IFERROR(__xludf.DUMMYFUNCTION("""COMPUTED_VALUE"""),"01213520000145")</f>
        <v>01213520000145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IFERROR(__xludf.DUMMYFUNCTION("""COMPUTED_VALUE"""),"58238")</f>
        <v>58238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IFERROR(__xludf.DUMMYFUNCTION("""COMPUTED_VALUE"""),13641.6)</f>
        <v>13641.6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IFERROR(__xludf.DUMMYFUNCTION("""COMPUTED_VALUE"""),441)</f>
        <v>441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IFERROR(__xludf.DUMMYFUNCTION("""COMPUTED_VALUE"""),0)</f>
        <v>0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IFERROR(__xludf.DUMMYFUNCTION("""COMPUTED_VALUE"""),0)</f>
        <v>0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IFERROR(__xludf.DUMMYFUNCTION("""COMPUTED_VALUE"""),1197.6)</f>
        <v>1197.5999999999999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IFERROR(__xludf.DUMMYFUNCTION("""COMPUTED_VALUE"""),"A. ESCOLAR COM. PE. GIULIANO MORETTI")</f>
        <v>A. ESCOLAR COM. PE. GIULIANO MORETTI</v>
      </c>
      <c r="D411" s="36" t="str">
        <f ca="1">IFERROR(__xludf.DUMMYFUNCTION("""COMPUTED_VALUE"""),"00900202000190")</f>
        <v>00900202000190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IFERROR(__xludf.DUMMYFUNCTION("""COMPUTED_VALUE"""),"217484")</f>
        <v>217484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IFERROR(__xludf.DUMMYFUNCTION("""COMPUTED_VALUE"""),3024)</f>
        <v>3024</v>
      </c>
      <c r="K411" s="38">
        <f ca="1">IFERROR(__xludf.DUMMYFUNCTION("""COMPUTED_VALUE"""),0)</f>
        <v>0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IFERROR(__xludf.DUMMYFUNCTION("""COMPUTED_VALUE"""),693)</f>
        <v>693</v>
      </c>
      <c r="Q411" s="38">
        <f ca="1">IFERROR(__xludf.DUMMYFUNCTION("""COMPUTED_VALUE"""),0)</f>
        <v>0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IFERROR(__xludf.DUMMYFUNCTION("""COMPUTED_VALUE"""),1029)</f>
        <v>1029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IFERROR(__xludf.DUMMYFUNCTION("""COMPUTED_VALUE"""),0)</f>
        <v>0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 DA ESCOLA PAROQUIAL CRISTO REI")</f>
        <v>A. DA ESCOLA PAROQUIAL CRISTO REI</v>
      </c>
      <c r="D412" s="41" t="str">
        <f ca="1">IFERROR(__xludf.DUMMYFUNCTION("""COMPUTED_VALUE"""),"02026329000157")</f>
        <v>02026329000157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IFERROR(__xludf.DUMMYFUNCTION("""COMPUTED_VALUE"""),"58149")</f>
        <v>58149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IFERROR(__xludf.DUMMYFUNCTION("""COMPUTED_VALUE"""),9324)</f>
        <v>9324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IFERROR(__xludf.DUMMYFUNCTION("""COMPUTED_VALUE"""),609)</f>
        <v>609</v>
      </c>
      <c r="Q412" s="43">
        <f ca="1">IFERROR(__xludf.DUMMYFUNCTION("""COMPUTED_VALUE"""),1428)</f>
        <v>1428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IFERROR(__xludf.DUMMYFUNCTION("""COMPUTED_VALUE"""),0)</f>
        <v>0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/>
      <c r="B413" s="50"/>
      <c r="C413" s="51"/>
      <c r="D413" s="52"/>
      <c r="E413" s="53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2.75">
      <c r="A414" s="55"/>
      <c r="B414" s="55"/>
      <c r="C414" s="56"/>
      <c r="D414" s="57"/>
      <c r="E414" s="58"/>
      <c r="F414" s="59"/>
      <c r="G414" s="59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59"/>
      <c r="X414" s="59"/>
      <c r="Y414" s="59"/>
      <c r="Z414" s="59"/>
    </row>
    <row r="415" spans="1:26" ht="12.75">
      <c r="C415" s="61"/>
      <c r="D415" s="62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>
      <c r="C416" s="61"/>
      <c r="D416" s="62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3:26" ht="12.75">
      <c r="C417" s="61"/>
      <c r="D417" s="62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3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3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3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3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3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3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3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3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3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3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3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3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3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3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3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3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8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8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8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8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8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8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8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8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8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8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8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8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8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8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8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8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8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8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8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8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8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8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8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8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8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8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8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8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8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8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8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8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8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8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8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8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8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8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8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8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8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8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8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8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8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8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8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8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8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8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8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8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8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8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8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8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8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8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8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8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8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8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8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8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8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8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8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8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8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8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8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8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8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8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8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8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8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8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8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8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8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8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8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8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8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8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8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8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8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8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8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8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8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8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8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8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8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8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8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8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8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8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8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8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8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8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8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8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8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8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8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8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8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8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8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8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8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8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8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8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8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8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8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8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8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8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8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8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8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8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8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8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8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8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8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8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8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8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8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8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8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8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8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8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8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8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8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8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8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8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8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8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8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8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8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8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8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8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8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8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8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8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8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8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8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8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8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8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8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8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8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8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8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8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8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8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8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8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8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8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8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8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8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8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8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8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8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8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8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8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8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8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8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8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8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8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8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8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8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3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3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3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3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8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8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8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8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8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8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8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8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8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8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8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8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8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8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8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8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8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366" t="s">
        <v>122</v>
      </c>
      <c r="B1" s="367"/>
      <c r="C1" s="367"/>
      <c r="D1" s="373" t="s">
        <v>130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5"/>
    </row>
    <row r="2" spans="1:16" ht="27.75" customHeight="1">
      <c r="A2" s="363"/>
      <c r="B2" s="363"/>
      <c r="C2" s="363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8"/>
    </row>
    <row r="3" spans="1:16" ht="24" customHeight="1">
      <c r="A3" s="363"/>
      <c r="B3" s="363"/>
      <c r="C3" s="363"/>
      <c r="D3" s="379" t="s">
        <v>124</v>
      </c>
      <c r="E3" s="380"/>
      <c r="F3" s="380"/>
      <c r="G3" s="381"/>
      <c r="H3" s="180">
        <f t="shared" ref="H3:P3" ca="1" si="0">SUBTOTAL(9,H6:H400)</f>
        <v>0</v>
      </c>
      <c r="I3" s="180">
        <f t="shared" ca="1" si="0"/>
        <v>3759</v>
      </c>
      <c r="J3" s="180">
        <f t="shared" ca="1" si="0"/>
        <v>1236879</v>
      </c>
      <c r="K3" s="180">
        <f t="shared" ca="1" si="0"/>
        <v>15855</v>
      </c>
      <c r="L3" s="180">
        <f t="shared" ca="1" si="0"/>
        <v>123690</v>
      </c>
      <c r="M3" s="180">
        <f t="shared" ca="1" si="0"/>
        <v>102249</v>
      </c>
      <c r="N3" s="180">
        <f t="shared" ca="1" si="0"/>
        <v>1071882</v>
      </c>
      <c r="O3" s="180">
        <f t="shared" ca="1" si="0"/>
        <v>160608</v>
      </c>
      <c r="P3" s="180">
        <f t="shared" ca="1" si="0"/>
        <v>2714922</v>
      </c>
    </row>
    <row r="4" spans="1:16" ht="56.25" customHeight="1">
      <c r="A4" s="181" t="s">
        <v>4</v>
      </c>
      <c r="B4" s="181" t="s">
        <v>5</v>
      </c>
      <c r="C4" s="181" t="str">
        <f ca="1">"UNIDADES EXECUTORAS = " &amp; COUNTA(C6:C391)</f>
        <v>UNIDADES EXECUTORAS = 375</v>
      </c>
      <c r="D4" s="181" t="s">
        <v>8</v>
      </c>
      <c r="E4" s="182" t="s">
        <v>0</v>
      </c>
      <c r="F4" s="182" t="s">
        <v>1</v>
      </c>
      <c r="G4" s="183" t="s">
        <v>2</v>
      </c>
      <c r="H4" s="140" t="s">
        <v>131</v>
      </c>
      <c r="I4" s="140" t="s">
        <v>132</v>
      </c>
      <c r="J4" s="140" t="s">
        <v>133</v>
      </c>
      <c r="K4" s="140" t="s">
        <v>134</v>
      </c>
      <c r="L4" s="140" t="s">
        <v>135</v>
      </c>
      <c r="M4" s="140" t="s">
        <v>16</v>
      </c>
      <c r="N4" s="140" t="s">
        <v>17</v>
      </c>
      <c r="O4" s="140" t="s">
        <v>136</v>
      </c>
      <c r="P4" s="184" t="s">
        <v>137</v>
      </c>
    </row>
    <row r="5" spans="1:16" ht="11.25" customHeight="1">
      <c r="A5" s="185" t="str">
        <f ca="1">IFERROR(__xludf.DUMMYFUNCTION("QUERY(REP_EST!A6:Z391,""select A,B,C,D,E,F,G,H,I,J,L,O,P,Q,T WHERE H&gt;0 OR I&gt;0 OR J&gt;0 OR L&gt;0 OR O&gt;0 OR P&gt;0 OR Q&gt;0 OR T&gt;0"")"),"Araguaina")</f>
        <v>Araguaina</v>
      </c>
      <c r="B5" s="186" t="str">
        <f ca="1">IFERROR(__xludf.DUMMYFUNCTION("""COMPUTED_VALUE"""),"Ananas")</f>
        <v>Ananas</v>
      </c>
      <c r="C5" s="186" t="str">
        <f ca="1">IFERROR(__xludf.DUMMYFUNCTION("""COMPUTED_VALUE"""),"ASSOC. DE APOIO DO CENTRO DE ENSINO MÉDIO CABO APARICIO ARAÚJO PAZ")</f>
        <v>ASSOC. DE APOIO DO CENTRO DE ENSINO MÉDIO CABO APARICIO ARAÚJO PAZ</v>
      </c>
      <c r="D5" s="186" t="str">
        <f ca="1">IFERROR(__xludf.DUMMYFUNCTION("""COMPUTED_VALUE"""),"05537116000188")</f>
        <v>05537116000188</v>
      </c>
      <c r="E5" s="186" t="str">
        <f ca="1">IFERROR(__xludf.DUMMYFUNCTION("""COMPUTED_VALUE"""),"001")</f>
        <v>001</v>
      </c>
      <c r="F5" s="186" t="str">
        <f ca="1">IFERROR(__xludf.DUMMYFUNCTION("""COMPUTED_VALUE"""),"3973")</f>
        <v>3973</v>
      </c>
      <c r="G5" s="186" t="str">
        <f ca="1">IFERROR(__xludf.DUMMYFUNCTION("""COMPUTED_VALUE"""),"114510")</f>
        <v>114510</v>
      </c>
      <c r="H5" s="186" t="str">
        <f ca="1">IFERROR(__xludf.DUMMYFUNCTION("""COMPUTED_VALUE"""),"product(021())")</f>
        <v>product(021())</v>
      </c>
      <c r="I5" s="187" t="str">
        <f ca="1">IFERROR(__xludf.DUMMYFUNCTION("""COMPUTED_VALUE"""),"product(021())")</f>
        <v>product(021())</v>
      </c>
      <c r="J5" s="187" t="str">
        <f ca="1">IFERROR(__xludf.DUMMYFUNCTION("""COMPUTED_VALUE"""),"product(021())")</f>
        <v>product(021())</v>
      </c>
      <c r="K5" s="187" t="str">
        <f ca="1">IFERROR(__xludf.DUMMYFUNCTION("""COMPUTED_VALUE"""),"product(021())")</f>
        <v>product(021())</v>
      </c>
      <c r="L5" s="187" t="str">
        <f ca="1">IFERROR(__xludf.DUMMYFUNCTION("""COMPUTED_VALUE"""),"product(021())")</f>
        <v>product(021())</v>
      </c>
      <c r="M5" s="187" t="str">
        <f ca="1">IFERROR(__xludf.DUMMYFUNCTION("""COMPUTED_VALUE"""),"product(021())")</f>
        <v>product(021())</v>
      </c>
      <c r="N5" s="187" t="str">
        <f ca="1">IFERROR(__xludf.DUMMYFUNCTION("""COMPUTED_VALUE"""),"product(39421())")</f>
        <v>product(39421())</v>
      </c>
      <c r="O5" s="187" t="str">
        <f ca="1">IFERROR(__xludf.DUMMYFUNCTION("""COMPUTED_VALUE"""),"product(021())")</f>
        <v>product(021())</v>
      </c>
      <c r="P5" s="188" t="s">
        <v>137</v>
      </c>
    </row>
    <row r="6" spans="1:16" ht="12.75">
      <c r="A6" s="189" t="str">
        <f ca="1">IFERROR(__xludf.DUMMYFUNCTION("""COMPUTED_VALUE"""),"Araguaina")</f>
        <v>Araguaina</v>
      </c>
      <c r="B6" s="189" t="str">
        <f ca="1">IFERROR(__xludf.DUMMYFUNCTION("""COMPUTED_VALUE"""),"Ananas")</f>
        <v>Ananas</v>
      </c>
      <c r="C6" s="190" t="str">
        <f ca="1">IFERROR(__xludf.DUMMYFUNCTION("""COMPUTED_VALUE"""),"ASS. APOIO COL. EST. GETULIO VARGAS")</f>
        <v>ASS. APOIO COL. EST. GETULIO VARGAS</v>
      </c>
      <c r="D6" s="191" t="str">
        <f ca="1">IFERROR(__xludf.DUMMYFUNCTION("""COMPUTED_VALUE"""),"01296368000101")</f>
        <v>01296368000101</v>
      </c>
      <c r="E6" s="192" t="str">
        <f ca="1">IFERROR(__xludf.DUMMYFUNCTION("""COMPUTED_VALUE"""),"001")</f>
        <v>001</v>
      </c>
      <c r="F6" s="192" t="str">
        <f ca="1">IFERROR(__xludf.DUMMYFUNCTION("""COMPUTED_VALUE"""),"3973")</f>
        <v>3973</v>
      </c>
      <c r="G6" s="193" t="str">
        <f ca="1">IFERROR(__xludf.DUMMYFUNCTION("""COMPUTED_VALUE"""),"55778")</f>
        <v>55778</v>
      </c>
      <c r="H6" s="193">
        <f ca="1">IFERROR(__xludf.DUMMYFUNCTION("""COMPUTED_VALUE"""),0)</f>
        <v>0</v>
      </c>
      <c r="I6" s="193">
        <f ca="1">IFERROR(__xludf.DUMMYFUNCTION("""COMPUTED_VALUE"""),0)</f>
        <v>0</v>
      </c>
      <c r="J6" s="193">
        <f ca="1">IFERROR(__xludf.DUMMYFUNCTION("""COMPUTED_VALUE"""),7077)</f>
        <v>7077</v>
      </c>
      <c r="K6" s="193">
        <f ca="1">IFERROR(__xludf.DUMMYFUNCTION("""COMPUTED_VALUE"""),0)</f>
        <v>0</v>
      </c>
      <c r="L6" s="193">
        <f ca="1">IFERROR(__xludf.DUMMYFUNCTION("""COMPUTED_VALUE"""),0)</f>
        <v>0</v>
      </c>
      <c r="M6" s="193">
        <f ca="1">IFERROR(__xludf.DUMMYFUNCTION("""COMPUTED_VALUE"""),294)</f>
        <v>294</v>
      </c>
      <c r="N6" s="193">
        <f ca="1">IFERROR(__xludf.DUMMYFUNCTION("""COMPUTED_VALUE"""),0)</f>
        <v>0</v>
      </c>
      <c r="O6" s="193">
        <f ca="1">IFERROR(__xludf.DUMMYFUNCTION("""COMPUTED_VALUE"""),525)</f>
        <v>525</v>
      </c>
      <c r="P6" s="193">
        <f t="shared" ref="P6:P391" ca="1" si="1">SUM(H6:O6)</f>
        <v>7896</v>
      </c>
    </row>
    <row r="7" spans="1:16" ht="12.75">
      <c r="A7" s="194" t="str">
        <f ca="1">IFERROR(__xludf.DUMMYFUNCTION("""COMPUTED_VALUE"""),"Araguaina")</f>
        <v>Araguaina</v>
      </c>
      <c r="B7" s="194" t="str">
        <f ca="1">IFERROR(__xludf.DUMMYFUNCTION("""COMPUTED_VALUE"""),"Ananas")</f>
        <v>Ananas</v>
      </c>
      <c r="C7" s="195" t="str">
        <f ca="1">IFERROR(__xludf.DUMMYFUNCTION("""COMPUTED_VALUE"""),"A.A. ESC. EST. PRES. COSTA E SILVA")</f>
        <v>A.A. ESC. EST. PRES. COSTA E SILVA</v>
      </c>
      <c r="D7" s="196" t="str">
        <f ca="1">IFERROR(__xludf.DUMMYFUNCTION("""COMPUTED_VALUE"""),"02026325000179")</f>
        <v>02026325000179</v>
      </c>
      <c r="E7" s="197" t="str">
        <f ca="1">IFERROR(__xludf.DUMMYFUNCTION("""COMPUTED_VALUE"""),"001")</f>
        <v>001</v>
      </c>
      <c r="F7" s="197" t="str">
        <f ca="1">IFERROR(__xludf.DUMMYFUNCTION("""COMPUTED_VALUE"""),"3973")</f>
        <v>3973</v>
      </c>
      <c r="G7" s="198" t="str">
        <f ca="1">IFERROR(__xludf.DUMMYFUNCTION("""COMPUTED_VALUE"""),"55786")</f>
        <v>55786</v>
      </c>
      <c r="H7" s="198">
        <f ca="1">IFERROR(__xludf.DUMMYFUNCTION("""COMPUTED_VALUE"""),0)</f>
        <v>0</v>
      </c>
      <c r="I7" s="198">
        <f ca="1">IFERROR(__xludf.DUMMYFUNCTION("""COMPUTED_VALUE"""),0)</f>
        <v>0</v>
      </c>
      <c r="J7" s="198">
        <f ca="1">IFERROR(__xludf.DUMMYFUNCTION("""COMPUTED_VALUE"""),1071)</f>
        <v>1071</v>
      </c>
      <c r="K7" s="198">
        <f ca="1">IFERROR(__xludf.DUMMYFUNCTION("""COMPUTED_VALUE"""),0)</f>
        <v>0</v>
      </c>
      <c r="L7" s="198">
        <f ca="1">IFERROR(__xludf.DUMMYFUNCTION("""COMPUTED_VALUE"""),0)</f>
        <v>0</v>
      </c>
      <c r="M7" s="198">
        <f ca="1">IFERROR(__xludf.DUMMYFUNCTION("""COMPUTED_VALUE"""),0)</f>
        <v>0</v>
      </c>
      <c r="N7" s="198">
        <f ca="1">IFERROR(__xludf.DUMMYFUNCTION("""COMPUTED_VALUE"""),735)</f>
        <v>735</v>
      </c>
      <c r="O7" s="198">
        <f ca="1">IFERROR(__xludf.DUMMYFUNCTION("""COMPUTED_VALUE"""),0)</f>
        <v>0</v>
      </c>
      <c r="P7" s="198">
        <f t="shared" ca="1" si="1"/>
        <v>1806</v>
      </c>
    </row>
    <row r="8" spans="1:16" ht="12.75">
      <c r="A8" s="199" t="str">
        <f ca="1">IFERROR(__xludf.DUMMYFUNCTION("""COMPUTED_VALUE"""),"Araguaina")</f>
        <v>Araguaina</v>
      </c>
      <c r="B8" s="199" t="str">
        <f ca="1">IFERROR(__xludf.DUMMYFUNCTION("""COMPUTED_VALUE"""),"Ananas")</f>
        <v>Ananas</v>
      </c>
      <c r="C8" s="145" t="str">
        <f ca="1">IFERROR(__xludf.DUMMYFUNCTION("""COMPUTED_VALUE"""),"A.A. DA ESC.PAR.SAO PEDRO/CONVENIADA")</f>
        <v>A.A. DA ESC.PAR.SAO PEDRO/CONVENIADA</v>
      </c>
      <c r="D8" s="200" t="str">
        <f ca="1">IFERROR(__xludf.DUMMYFUNCTION("""COMPUTED_VALUE"""),"01911081000144")</f>
        <v>01911081000144</v>
      </c>
      <c r="E8" s="201" t="str">
        <f ca="1">IFERROR(__xludf.DUMMYFUNCTION("""COMPUTED_VALUE"""),"001")</f>
        <v>001</v>
      </c>
      <c r="F8" s="201" t="str">
        <f ca="1">IFERROR(__xludf.DUMMYFUNCTION("""COMPUTED_VALUE"""),"3973")</f>
        <v>3973</v>
      </c>
      <c r="G8" s="202" t="str">
        <f ca="1">IFERROR(__xludf.DUMMYFUNCTION("""COMPUTED_VALUE"""),"67350")</f>
        <v>67350</v>
      </c>
      <c r="H8" s="202">
        <f ca="1">IFERROR(__xludf.DUMMYFUNCTION("""COMPUTED_VALUE"""),0)</f>
        <v>0</v>
      </c>
      <c r="I8" s="202">
        <f ca="1">IFERROR(__xludf.DUMMYFUNCTION("""COMPUTED_VALUE"""),0)</f>
        <v>0</v>
      </c>
      <c r="J8" s="202">
        <f ca="1">IFERROR(__xludf.DUMMYFUNCTION("""COMPUTED_VALUE"""),7035)</f>
        <v>7035</v>
      </c>
      <c r="K8" s="202">
        <f ca="1">IFERROR(__xludf.DUMMYFUNCTION("""COMPUTED_VALUE"""),0)</f>
        <v>0</v>
      </c>
      <c r="L8" s="202">
        <f ca="1">IFERROR(__xludf.DUMMYFUNCTION("""COMPUTED_VALUE"""),0)</f>
        <v>0</v>
      </c>
      <c r="M8" s="202">
        <f ca="1">IFERROR(__xludf.DUMMYFUNCTION("""COMPUTED_VALUE"""),420)</f>
        <v>420</v>
      </c>
      <c r="N8" s="202">
        <f ca="1">IFERROR(__xludf.DUMMYFUNCTION("""COMPUTED_VALUE"""),0)</f>
        <v>0</v>
      </c>
      <c r="O8" s="202">
        <f ca="1">IFERROR(__xludf.DUMMYFUNCTION("""COMPUTED_VALUE"""),0)</f>
        <v>0</v>
      </c>
      <c r="P8" s="202">
        <f t="shared" ca="1" si="1"/>
        <v>7455</v>
      </c>
    </row>
    <row r="9" spans="1:16" ht="12.75">
      <c r="A9" s="194" t="str">
        <f ca="1">IFERROR(__xludf.DUMMYFUNCTION("""COMPUTED_VALUE"""),"Araguaina")</f>
        <v>Araguaina</v>
      </c>
      <c r="B9" s="194" t="str">
        <f ca="1">IFERROR(__xludf.DUMMYFUNCTION("""COMPUTED_VALUE"""),"Aragominas")</f>
        <v>Aragominas</v>
      </c>
      <c r="C9" s="195" t="str">
        <f ca="1">IFERROR(__xludf.DUMMYFUNCTION("""COMPUTED_VALUE"""),"ASSOCIAÇÃO DE APOIO DO COL. EST.GETULIO VARGAS")</f>
        <v>ASSOCIAÇÃO DE APOIO DO COL. EST.GETULIO VARGAS</v>
      </c>
      <c r="D9" s="196" t="str">
        <f ca="1">IFERROR(__xludf.DUMMYFUNCTION("""COMPUTED_VALUE"""),"01918914000107")</f>
        <v>01918914000107</v>
      </c>
      <c r="E9" s="197" t="str">
        <f ca="1">IFERROR(__xludf.DUMMYFUNCTION("""COMPUTED_VALUE"""),"001")</f>
        <v>001</v>
      </c>
      <c r="F9" s="197" t="str">
        <f ca="1">IFERROR(__xludf.DUMMYFUNCTION("""COMPUTED_VALUE"""),"0638")</f>
        <v>0638</v>
      </c>
      <c r="G9" s="198" t="str">
        <f ca="1">IFERROR(__xludf.DUMMYFUNCTION("""COMPUTED_VALUE"""),"83224")</f>
        <v>83224</v>
      </c>
      <c r="H9" s="198">
        <f ca="1">IFERROR(__xludf.DUMMYFUNCTION("""COMPUTED_VALUE"""),0)</f>
        <v>0</v>
      </c>
      <c r="I9" s="198">
        <f ca="1">IFERROR(__xludf.DUMMYFUNCTION("""COMPUTED_VALUE"""),0)</f>
        <v>0</v>
      </c>
      <c r="J9" s="198">
        <f ca="1">IFERROR(__xludf.DUMMYFUNCTION("""COMPUTED_VALUE"""),3276)</f>
        <v>3276</v>
      </c>
      <c r="K9" s="198">
        <f ca="1">IFERROR(__xludf.DUMMYFUNCTION("""COMPUTED_VALUE"""),0)</f>
        <v>0</v>
      </c>
      <c r="L9" s="198">
        <f ca="1">IFERROR(__xludf.DUMMYFUNCTION("""COMPUTED_VALUE"""),0)</f>
        <v>0</v>
      </c>
      <c r="M9" s="198">
        <f ca="1">IFERROR(__xludf.DUMMYFUNCTION("""COMPUTED_VALUE"""),231)</f>
        <v>231</v>
      </c>
      <c r="N9" s="198">
        <f ca="1">IFERROR(__xludf.DUMMYFUNCTION("""COMPUTED_VALUE"""),2310)</f>
        <v>2310</v>
      </c>
      <c r="O9" s="198">
        <f ca="1">IFERROR(__xludf.DUMMYFUNCTION("""COMPUTED_VALUE"""),0)</f>
        <v>0</v>
      </c>
      <c r="P9" s="198">
        <f t="shared" ca="1" si="1"/>
        <v>5817</v>
      </c>
    </row>
    <row r="10" spans="1:16" ht="12.75">
      <c r="A10" s="199" t="str">
        <f ca="1">IFERROR(__xludf.DUMMYFUNCTION("""COMPUTED_VALUE"""),"Araguaina")</f>
        <v>Araguaina</v>
      </c>
      <c r="B10" s="199" t="str">
        <f ca="1">IFERROR(__xludf.DUMMYFUNCTION("""COMPUTED_VALUE"""),"Araguaina")</f>
        <v>Araguaina</v>
      </c>
      <c r="C10" s="145" t="str">
        <f ca="1">IFERROR(__xludf.DUMMYFUNCTION("""COMPUTED_VALUE"""),"A.A. DAS ESCOLAS ISOLADAS E REUNIDAS DA DRE ARAGUAINA")</f>
        <v>A.A. DAS ESCOLAS ISOLADAS E REUNIDAS DA DRE ARAGUAINA</v>
      </c>
      <c r="D10" s="200" t="str">
        <f ca="1">IFERROR(__xludf.DUMMYFUNCTION("""COMPUTED_VALUE"""),"02629601000193")</f>
        <v>02629601000193</v>
      </c>
      <c r="E10" s="201" t="str">
        <f ca="1">IFERROR(__xludf.DUMMYFUNCTION("""COMPUTED_VALUE"""),"001")</f>
        <v>001</v>
      </c>
      <c r="F10" s="201" t="str">
        <f ca="1">IFERROR(__xludf.DUMMYFUNCTION("""COMPUTED_VALUE"""),"0638")</f>
        <v>0638</v>
      </c>
      <c r="G10" s="202" t="str">
        <f ca="1">IFERROR(__xludf.DUMMYFUNCTION("""COMPUTED_VALUE"""),"352403")</f>
        <v>352403</v>
      </c>
      <c r="H10" s="202">
        <f ca="1">IFERROR(__xludf.DUMMYFUNCTION("""COMPUTED_VALUE"""),0)</f>
        <v>0</v>
      </c>
      <c r="I10" s="202">
        <f ca="1">IFERROR(__xludf.DUMMYFUNCTION("""COMPUTED_VALUE"""),0)</f>
        <v>0</v>
      </c>
      <c r="J10" s="202">
        <f ca="1">IFERROR(__xludf.DUMMYFUNCTION("""COMPUTED_VALUE"""),0)</f>
        <v>0</v>
      </c>
      <c r="K10" s="202">
        <f ca="1">IFERROR(__xludf.DUMMYFUNCTION("""COMPUTED_VALUE"""),0)</f>
        <v>0</v>
      </c>
      <c r="L10" s="202">
        <f ca="1">IFERROR(__xludf.DUMMYFUNCTION("""COMPUTED_VALUE"""),10458)</f>
        <v>10458</v>
      </c>
      <c r="M10" s="202">
        <f ca="1">IFERROR(__xludf.DUMMYFUNCTION("""COMPUTED_VALUE"""),0)</f>
        <v>0</v>
      </c>
      <c r="N10" s="202">
        <f ca="1">IFERROR(__xludf.DUMMYFUNCTION("""COMPUTED_VALUE"""),0)</f>
        <v>0</v>
      </c>
      <c r="O10" s="202"/>
      <c r="P10" s="202">
        <f t="shared" ca="1" si="1"/>
        <v>10458</v>
      </c>
    </row>
    <row r="11" spans="1:16" ht="12.75">
      <c r="A11" s="194" t="str">
        <f ca="1">IFERROR(__xludf.DUMMYFUNCTION("""COMPUTED_VALUE"""),"Araguaina")</f>
        <v>Araguaina</v>
      </c>
      <c r="B11" s="194" t="str">
        <f ca="1">IFERROR(__xludf.DUMMYFUNCTION("""COMPUTED_VALUE"""),"Araguaina")</f>
        <v>Araguaina</v>
      </c>
      <c r="C11" s="195" t="str">
        <f ca="1">IFERROR(__xludf.DUMMYFUNCTION("""COMPUTED_VALUE"""),"A.A. DO CAIC JORGE HUMBERTO CAMARGO")</f>
        <v>A.A. DO CAIC JORGE HUMBERTO CAMARGO</v>
      </c>
      <c r="D11" s="196" t="str">
        <f ca="1">IFERROR(__xludf.DUMMYFUNCTION("""COMPUTED_VALUE"""),"01071395000186")</f>
        <v>01071395000186</v>
      </c>
      <c r="E11" s="197" t="str">
        <f ca="1">IFERROR(__xludf.DUMMYFUNCTION("""COMPUTED_VALUE"""),"001")</f>
        <v>001</v>
      </c>
      <c r="F11" s="197" t="str">
        <f ca="1">IFERROR(__xludf.DUMMYFUNCTION("""COMPUTED_VALUE"""),"0638")</f>
        <v>0638</v>
      </c>
      <c r="G11" s="198" t="str">
        <f ca="1">IFERROR(__xludf.DUMMYFUNCTION("""COMPUTED_VALUE"""),"55099X")</f>
        <v>55099X</v>
      </c>
      <c r="H11" s="198">
        <f ca="1">IFERROR(__xludf.DUMMYFUNCTION("""COMPUTED_VALUE"""),0)</f>
        <v>0</v>
      </c>
      <c r="I11" s="198">
        <f ca="1">IFERROR(__xludf.DUMMYFUNCTION("""COMPUTED_VALUE"""),0)</f>
        <v>0</v>
      </c>
      <c r="J11" s="198">
        <f ca="1">IFERROR(__xludf.DUMMYFUNCTION("""COMPUTED_VALUE"""),0)</f>
        <v>0</v>
      </c>
      <c r="K11" s="198">
        <f ca="1">IFERROR(__xludf.DUMMYFUNCTION("""COMPUTED_VALUE"""),0)</f>
        <v>0</v>
      </c>
      <c r="L11" s="198">
        <f ca="1">IFERROR(__xludf.DUMMYFUNCTION("""COMPUTED_VALUE"""),0)</f>
        <v>0</v>
      </c>
      <c r="M11" s="198">
        <f ca="1">IFERROR(__xludf.DUMMYFUNCTION("""COMPUTED_VALUE"""),441)</f>
        <v>441</v>
      </c>
      <c r="N11" s="198">
        <f ca="1">IFERROR(__xludf.DUMMYFUNCTION("""COMPUTED_VALUE"""),0)</f>
        <v>0</v>
      </c>
      <c r="O11" s="198">
        <f ca="1">IFERROR(__xludf.DUMMYFUNCTION("""COMPUTED_VALUE"""),0)</f>
        <v>0</v>
      </c>
      <c r="P11" s="198">
        <f t="shared" ca="1" si="1"/>
        <v>441</v>
      </c>
    </row>
    <row r="12" spans="1:16" ht="12.75">
      <c r="A12" s="199" t="str">
        <f ca="1">IFERROR(__xludf.DUMMYFUNCTION("""COMPUTED_VALUE"""),"Araguaina")</f>
        <v>Araguaina</v>
      </c>
      <c r="B12" s="199" t="str">
        <f ca="1">IFERROR(__xludf.DUMMYFUNCTION("""COMPUTED_VALUE"""),"Araguaina")</f>
        <v>Araguaina</v>
      </c>
      <c r="C12" s="145" t="str">
        <f ca="1">IFERROR(__xludf.DUMMYFUNCTION("""COMPUTED_VALUE"""),"ASSOC. A. COL. EST. BENJAMIM JOSÉ DE ALMEIDA")</f>
        <v>ASSOC. A. COL. EST. BENJAMIM JOSÉ DE ALMEIDA</v>
      </c>
      <c r="D12" s="200" t="str">
        <f ca="1">IFERROR(__xludf.DUMMYFUNCTION("""COMPUTED_VALUE"""),"01136023000190")</f>
        <v>01136023000190</v>
      </c>
      <c r="E12" s="201" t="str">
        <f ca="1">IFERROR(__xludf.DUMMYFUNCTION("""COMPUTED_VALUE"""),"001")</f>
        <v>001</v>
      </c>
      <c r="F12" s="201" t="str">
        <f ca="1">IFERROR(__xludf.DUMMYFUNCTION("""COMPUTED_VALUE"""),"0638")</f>
        <v>0638</v>
      </c>
      <c r="G12" s="202" t="str">
        <f ca="1">IFERROR(__xludf.DUMMYFUNCTION("""COMPUTED_VALUE"""),"55149X")</f>
        <v>55149X</v>
      </c>
      <c r="H12" s="202">
        <f ca="1">IFERROR(__xludf.DUMMYFUNCTION("""COMPUTED_VALUE"""),0)</f>
        <v>0</v>
      </c>
      <c r="I12" s="202">
        <f ca="1">IFERROR(__xludf.DUMMYFUNCTION("""COMPUTED_VALUE"""),0)</f>
        <v>0</v>
      </c>
      <c r="J12" s="202">
        <f ca="1">IFERROR(__xludf.DUMMYFUNCTION("""COMPUTED_VALUE"""),0)</f>
        <v>0</v>
      </c>
      <c r="K12" s="202">
        <f ca="1">IFERROR(__xludf.DUMMYFUNCTION("""COMPUTED_VALUE"""),0)</f>
        <v>0</v>
      </c>
      <c r="L12" s="202">
        <f ca="1">IFERROR(__xludf.DUMMYFUNCTION("""COMPUTED_VALUE"""),0)</f>
        <v>0</v>
      </c>
      <c r="M12" s="202">
        <f ca="1">IFERROR(__xludf.DUMMYFUNCTION("""COMPUTED_VALUE"""),252)</f>
        <v>252</v>
      </c>
      <c r="N12" s="202">
        <f ca="1">IFERROR(__xludf.DUMMYFUNCTION("""COMPUTED_VALUE"""),0)</f>
        <v>0</v>
      </c>
      <c r="O12" s="202">
        <f ca="1">IFERROR(__xludf.DUMMYFUNCTION("""COMPUTED_VALUE"""),0)</f>
        <v>0</v>
      </c>
      <c r="P12" s="202">
        <f t="shared" ca="1" si="1"/>
        <v>252</v>
      </c>
    </row>
    <row r="13" spans="1:16" ht="12.75">
      <c r="A13" s="194" t="str">
        <f ca="1">IFERROR(__xludf.DUMMYFUNCTION("""COMPUTED_VALUE"""),"Araguaina")</f>
        <v>Araguaina</v>
      </c>
      <c r="B13" s="194" t="str">
        <f ca="1">IFERROR(__xludf.DUMMYFUNCTION("""COMPUTED_VALUE"""),"Araguaina")</f>
        <v>Araguaina</v>
      </c>
      <c r="C13" s="195" t="str">
        <f ca="1">IFERROR(__xludf.DUMMYFUNCTION("""COMPUTED_VALUE"""),"ASSOC. DE PAIS, ALUNOS E MESTRES COL. EST. POLIVALENTE CASTELO BRANCO")</f>
        <v>ASSOC. DE PAIS, ALUNOS E MESTRES COL. EST. POLIVALENTE CASTELO BRANCO</v>
      </c>
      <c r="D13" s="196" t="str">
        <f ca="1">IFERROR(__xludf.DUMMYFUNCTION("""COMPUTED_VALUE"""),"00918900000112")</f>
        <v>00918900000112</v>
      </c>
      <c r="E13" s="197" t="str">
        <f ca="1">IFERROR(__xludf.DUMMYFUNCTION("""COMPUTED_VALUE"""),"001")</f>
        <v>001</v>
      </c>
      <c r="F13" s="197" t="str">
        <f ca="1">IFERROR(__xludf.DUMMYFUNCTION("""COMPUTED_VALUE"""),"0638")</f>
        <v>0638</v>
      </c>
      <c r="G13" s="198" t="str">
        <f ca="1">IFERROR(__xludf.DUMMYFUNCTION("""COMPUTED_VALUE"""),"12599")</f>
        <v>12599</v>
      </c>
      <c r="H13" s="198">
        <f ca="1">IFERROR(__xludf.DUMMYFUNCTION("""COMPUTED_VALUE"""),0)</f>
        <v>0</v>
      </c>
      <c r="I13" s="198">
        <f ca="1">IFERROR(__xludf.DUMMYFUNCTION("""COMPUTED_VALUE"""),0)</f>
        <v>0</v>
      </c>
      <c r="J13" s="198">
        <f ca="1">IFERROR(__xludf.DUMMYFUNCTION("""COMPUTED_VALUE"""),0)</f>
        <v>0</v>
      </c>
      <c r="K13" s="198">
        <f ca="1">IFERROR(__xludf.DUMMYFUNCTION("""COMPUTED_VALUE"""),0)</f>
        <v>0</v>
      </c>
      <c r="L13" s="198">
        <f ca="1">IFERROR(__xludf.DUMMYFUNCTION("""COMPUTED_VALUE"""),0)</f>
        <v>0</v>
      </c>
      <c r="M13" s="198">
        <f ca="1">IFERROR(__xludf.DUMMYFUNCTION("""COMPUTED_VALUE"""),273)</f>
        <v>273</v>
      </c>
      <c r="N13" s="198">
        <f ca="1">IFERROR(__xludf.DUMMYFUNCTION("""COMPUTED_VALUE"""),0)</f>
        <v>0</v>
      </c>
      <c r="O13" s="198">
        <f ca="1">IFERROR(__xludf.DUMMYFUNCTION("""COMPUTED_VALUE"""),0)</f>
        <v>0</v>
      </c>
      <c r="P13" s="198">
        <f t="shared" ca="1" si="1"/>
        <v>273</v>
      </c>
    </row>
    <row r="14" spans="1:16" ht="12.75">
      <c r="A14" s="199" t="str">
        <f ca="1">IFERROR(__xludf.DUMMYFUNCTION("""COMPUTED_VALUE"""),"Araguaina")</f>
        <v>Araguaina</v>
      </c>
      <c r="B14" s="199" t="str">
        <f ca="1">IFERROR(__xludf.DUMMYFUNCTION("""COMPUTED_VALUE"""),"Araguaina")</f>
        <v>Araguaina</v>
      </c>
      <c r="C14" s="145" t="str">
        <f ca="1">IFERROR(__xludf.DUMMYFUNCTION("""COMPUTED_VALUE"""),"ASSOC. A.  DO COLÉGIO DA POLICIA MILITAR - UNIDADE III")</f>
        <v>ASSOC. A.  DO COLÉGIO DA POLICIA MILITAR - UNIDADE III</v>
      </c>
      <c r="D14" s="200" t="str">
        <f ca="1">IFERROR(__xludf.DUMMYFUNCTION("""COMPUTED_VALUE"""),"02480178000102")</f>
        <v>02480178000102</v>
      </c>
      <c r="E14" s="201" t="str">
        <f ca="1">IFERROR(__xludf.DUMMYFUNCTION("""COMPUTED_VALUE"""),"001")</f>
        <v>001</v>
      </c>
      <c r="F14" s="201" t="str">
        <f ca="1">IFERROR(__xludf.DUMMYFUNCTION("""COMPUTED_VALUE"""),"0638")</f>
        <v>0638</v>
      </c>
      <c r="G14" s="202" t="str">
        <f ca="1">IFERROR(__xludf.DUMMYFUNCTION("""COMPUTED_VALUE"""),"552291")</f>
        <v>552291</v>
      </c>
      <c r="H14" s="202">
        <f ca="1">IFERROR(__xludf.DUMMYFUNCTION("""COMPUTED_VALUE"""),0)</f>
        <v>0</v>
      </c>
      <c r="I14" s="202">
        <f ca="1">IFERROR(__xludf.DUMMYFUNCTION("""COMPUTED_VALUE"""),0)</f>
        <v>0</v>
      </c>
      <c r="J14" s="202">
        <f ca="1">IFERROR(__xludf.DUMMYFUNCTION("""COMPUTED_VALUE"""),0)</f>
        <v>0</v>
      </c>
      <c r="K14" s="202">
        <f ca="1">IFERROR(__xludf.DUMMYFUNCTION("""COMPUTED_VALUE"""),0)</f>
        <v>0</v>
      </c>
      <c r="L14" s="202">
        <f ca="1">IFERROR(__xludf.DUMMYFUNCTION("""COMPUTED_VALUE"""),0)</f>
        <v>0</v>
      </c>
      <c r="M14" s="202">
        <f ca="1">IFERROR(__xludf.DUMMYFUNCTION("""COMPUTED_VALUE"""),0)</f>
        <v>0</v>
      </c>
      <c r="N14" s="202">
        <f ca="1">IFERROR(__xludf.DUMMYFUNCTION("""COMPUTED_VALUE"""),17913)</f>
        <v>17913</v>
      </c>
      <c r="O14" s="202">
        <f ca="1">IFERROR(__xludf.DUMMYFUNCTION("""COMPUTED_VALUE"""),0)</f>
        <v>0</v>
      </c>
      <c r="P14" s="202">
        <f t="shared" ca="1" si="1"/>
        <v>17913</v>
      </c>
    </row>
    <row r="15" spans="1:16" ht="12.75">
      <c r="A15" s="194" t="str">
        <f ca="1">IFERROR(__xludf.DUMMYFUNCTION("""COMPUTED_VALUE"""),"Araguaina")</f>
        <v>Araguaina</v>
      </c>
      <c r="B15" s="194" t="str">
        <f ca="1">IFERROR(__xludf.DUMMYFUNCTION("""COMPUTED_VALUE"""),"Araguaina")</f>
        <v>Araguaina</v>
      </c>
      <c r="C15" s="195" t="str">
        <f ca="1">IFERROR(__xludf.DUMMYFUNCTION("""COMPUTED_VALUE"""),"ASSOC. APOIO COL. EST. CEM PAULO FREIRE")</f>
        <v>ASSOC. APOIO COL. EST. CEM PAULO FREIRE</v>
      </c>
      <c r="D15" s="196" t="str">
        <f ca="1">IFERROR(__xludf.DUMMYFUNCTION("""COMPUTED_VALUE"""),"01738420000132")</f>
        <v>01738420000132</v>
      </c>
      <c r="E15" s="197" t="str">
        <f ca="1">IFERROR(__xludf.DUMMYFUNCTION("""COMPUTED_VALUE"""),"001")</f>
        <v>001</v>
      </c>
      <c r="F15" s="197" t="str">
        <f ca="1">IFERROR(__xludf.DUMMYFUNCTION("""COMPUTED_VALUE"""),"0638")</f>
        <v>0638</v>
      </c>
      <c r="G15" s="198" t="str">
        <f ca="1">IFERROR(__xludf.DUMMYFUNCTION("""COMPUTED_VALUE"""),"551589")</f>
        <v>551589</v>
      </c>
      <c r="H15" s="198">
        <f ca="1">IFERROR(__xludf.DUMMYFUNCTION("""COMPUTED_VALUE"""),0)</f>
        <v>0</v>
      </c>
      <c r="I15" s="198">
        <f ca="1">IFERROR(__xludf.DUMMYFUNCTION("""COMPUTED_VALUE"""),0)</f>
        <v>0</v>
      </c>
      <c r="J15" s="198">
        <f ca="1">IFERROR(__xludf.DUMMYFUNCTION("""COMPUTED_VALUE"""),0)</f>
        <v>0</v>
      </c>
      <c r="K15" s="198">
        <f ca="1">IFERROR(__xludf.DUMMYFUNCTION("""COMPUTED_VALUE"""),0)</f>
        <v>0</v>
      </c>
      <c r="L15" s="198">
        <f ca="1">IFERROR(__xludf.DUMMYFUNCTION("""COMPUTED_VALUE"""),0)</f>
        <v>0</v>
      </c>
      <c r="M15" s="198">
        <f ca="1">IFERROR(__xludf.DUMMYFUNCTION("""COMPUTED_VALUE"""),189)</f>
        <v>189</v>
      </c>
      <c r="N15" s="198">
        <f ca="1">IFERROR(__xludf.DUMMYFUNCTION("""COMPUTED_VALUE"""),0)</f>
        <v>0</v>
      </c>
      <c r="O15" s="198">
        <f ca="1">IFERROR(__xludf.DUMMYFUNCTION("""COMPUTED_VALUE"""),0)</f>
        <v>0</v>
      </c>
      <c r="P15" s="198">
        <f t="shared" ca="1" si="1"/>
        <v>189</v>
      </c>
    </row>
    <row r="16" spans="1:16" ht="12.75">
      <c r="A16" s="199" t="str">
        <f ca="1">IFERROR(__xludf.DUMMYFUNCTION("""COMPUTED_VALUE"""),"Araguaina")</f>
        <v>Araguaina</v>
      </c>
      <c r="B16" s="199" t="str">
        <f ca="1">IFERROR(__xludf.DUMMYFUNCTION("""COMPUTED_VALUE"""),"Araguaina")</f>
        <v>Araguaina</v>
      </c>
      <c r="C16" s="145" t="str">
        <f ca="1">IFERROR(__xludf.DUMMYFUNCTION("""COMPUTED_VALUE"""),"A. APOIO DO COLEGIO DE APLICACAO")</f>
        <v>A. APOIO DO COLEGIO DE APLICACAO</v>
      </c>
      <c r="D16" s="200" t="str">
        <f ca="1">IFERROR(__xludf.DUMMYFUNCTION("""COMPUTED_VALUE"""),"01086986000127")</f>
        <v>01086986000127</v>
      </c>
      <c r="E16" s="201" t="str">
        <f ca="1">IFERROR(__xludf.DUMMYFUNCTION("""COMPUTED_VALUE"""),"001")</f>
        <v>001</v>
      </c>
      <c r="F16" s="201" t="str">
        <f ca="1">IFERROR(__xludf.DUMMYFUNCTION("""COMPUTED_VALUE"""),"0638")</f>
        <v>0638</v>
      </c>
      <c r="G16" s="202" t="str">
        <f ca="1">IFERROR(__xludf.DUMMYFUNCTION("""COMPUTED_VALUE"""),"0465275")</f>
        <v>0465275</v>
      </c>
      <c r="H16" s="202">
        <f ca="1">IFERROR(__xludf.DUMMYFUNCTION("""COMPUTED_VALUE"""),0)</f>
        <v>0</v>
      </c>
      <c r="I16" s="202">
        <f ca="1">IFERROR(__xludf.DUMMYFUNCTION("""COMPUTED_VALUE"""),0)</f>
        <v>0</v>
      </c>
      <c r="J16" s="202">
        <f ca="1">IFERROR(__xludf.DUMMYFUNCTION("""COMPUTED_VALUE"""),5649)</f>
        <v>5649</v>
      </c>
      <c r="K16" s="202">
        <f ca="1">IFERROR(__xludf.DUMMYFUNCTION("""COMPUTED_VALUE"""),0)</f>
        <v>0</v>
      </c>
      <c r="L16" s="202">
        <f ca="1">IFERROR(__xludf.DUMMYFUNCTION("""COMPUTED_VALUE"""),0)</f>
        <v>0</v>
      </c>
      <c r="M16" s="202">
        <f ca="1">IFERROR(__xludf.DUMMYFUNCTION("""COMPUTED_VALUE"""),252)</f>
        <v>252</v>
      </c>
      <c r="N16" s="202">
        <f ca="1">IFERROR(__xludf.DUMMYFUNCTION("""COMPUTED_VALUE"""),5607)</f>
        <v>5607</v>
      </c>
      <c r="O16" s="202">
        <f ca="1">IFERROR(__xludf.DUMMYFUNCTION("""COMPUTED_VALUE"""),0)</f>
        <v>0</v>
      </c>
      <c r="P16" s="202">
        <f t="shared" ca="1" si="1"/>
        <v>11508</v>
      </c>
    </row>
    <row r="17" spans="1:16" ht="12.75">
      <c r="A17" s="194" t="str">
        <f ca="1">IFERROR(__xludf.DUMMYFUNCTION("""COMPUTED_VALUE"""),"Araguaina")</f>
        <v>Araguaina</v>
      </c>
      <c r="B17" s="194" t="str">
        <f ca="1">IFERROR(__xludf.DUMMYFUNCTION("""COMPUTED_VALUE"""),"Araguaina")</f>
        <v>Araguaina</v>
      </c>
      <c r="C17" s="195" t="str">
        <f ca="1">IFERROR(__xludf.DUMMYFUNCTION("""COMPUTED_VALUE"""),"A.A. C.E. ADEMAR V. FERREIRA SOBRINHO")</f>
        <v>A.A. C.E. ADEMAR V. FERREIRA SOBRINHO</v>
      </c>
      <c r="D17" s="196" t="str">
        <f ca="1">IFERROR(__xludf.DUMMYFUNCTION("""COMPUTED_VALUE"""),"01143808000190")</f>
        <v>01143808000190</v>
      </c>
      <c r="E17" s="197" t="str">
        <f ca="1">IFERROR(__xludf.DUMMYFUNCTION("""COMPUTED_VALUE"""),"001")</f>
        <v>001</v>
      </c>
      <c r="F17" s="197" t="str">
        <f ca="1">IFERROR(__xludf.DUMMYFUNCTION("""COMPUTED_VALUE"""),"0638")</f>
        <v>0638</v>
      </c>
      <c r="G17" s="198" t="str">
        <f ca="1">IFERROR(__xludf.DUMMYFUNCTION("""COMPUTED_VALUE"""),"0464244")</f>
        <v>0464244</v>
      </c>
      <c r="H17" s="198">
        <f ca="1">IFERROR(__xludf.DUMMYFUNCTION("""COMPUTED_VALUE"""),0)</f>
        <v>0</v>
      </c>
      <c r="I17" s="198">
        <f ca="1">IFERROR(__xludf.DUMMYFUNCTION("""COMPUTED_VALUE"""),0)</f>
        <v>0</v>
      </c>
      <c r="J17" s="198">
        <f ca="1">IFERROR(__xludf.DUMMYFUNCTION("""COMPUTED_VALUE"""),8967)</f>
        <v>8967</v>
      </c>
      <c r="K17" s="198">
        <f ca="1">IFERROR(__xludf.DUMMYFUNCTION("""COMPUTED_VALUE"""),0)</f>
        <v>0</v>
      </c>
      <c r="L17" s="198">
        <f ca="1">IFERROR(__xludf.DUMMYFUNCTION("""COMPUTED_VALUE"""),0)</f>
        <v>0</v>
      </c>
      <c r="M17" s="198">
        <f ca="1">IFERROR(__xludf.DUMMYFUNCTION("""COMPUTED_VALUE"""),420)</f>
        <v>420</v>
      </c>
      <c r="N17" s="198">
        <f ca="1">IFERROR(__xludf.DUMMYFUNCTION("""COMPUTED_VALUE"""),0)</f>
        <v>0</v>
      </c>
      <c r="O17" s="198">
        <f ca="1">IFERROR(__xludf.DUMMYFUNCTION("""COMPUTED_VALUE"""),0)</f>
        <v>0</v>
      </c>
      <c r="P17" s="198">
        <f t="shared" ca="1" si="1"/>
        <v>9387</v>
      </c>
    </row>
    <row r="18" spans="1:16" ht="12.75">
      <c r="A18" s="199" t="str">
        <f ca="1">IFERROR(__xludf.DUMMYFUNCTION("""COMPUTED_VALUE"""),"Araguaina")</f>
        <v>Araguaina</v>
      </c>
      <c r="B18" s="199" t="str">
        <f ca="1">IFERROR(__xludf.DUMMYFUNCTION("""COMPUTED_VALUE"""),"Araguaina")</f>
        <v>Araguaina</v>
      </c>
      <c r="C18" s="145" t="str">
        <f ca="1">IFERROR(__xludf.DUMMYFUNCTION("""COMPUTED_VALUE"""),"A.A. C.E.  ADOLFO BEZERRA DE MENEZES")</f>
        <v>A.A. C.E.  ADOLFO BEZERRA DE MENEZES</v>
      </c>
      <c r="D18" s="200" t="str">
        <f ca="1">IFERROR(__xludf.DUMMYFUNCTION("""COMPUTED_VALUE"""),"01071435000190")</f>
        <v>01071435000190</v>
      </c>
      <c r="E18" s="201" t="str">
        <f ca="1">IFERROR(__xludf.DUMMYFUNCTION("""COMPUTED_VALUE"""),"001")</f>
        <v>001</v>
      </c>
      <c r="F18" s="201" t="str">
        <f ca="1">IFERROR(__xludf.DUMMYFUNCTION("""COMPUTED_VALUE"""),"0638")</f>
        <v>0638</v>
      </c>
      <c r="G18" s="202" t="str">
        <f ca="1">IFERROR(__xludf.DUMMYFUNCTION("""COMPUTED_VALUE"""),"463426")</f>
        <v>463426</v>
      </c>
      <c r="H18" s="202">
        <f ca="1">IFERROR(__xludf.DUMMYFUNCTION("""COMPUTED_VALUE"""),0)</f>
        <v>0</v>
      </c>
      <c r="I18" s="202">
        <f ca="1">IFERROR(__xludf.DUMMYFUNCTION("""COMPUTED_VALUE"""),0)</f>
        <v>0</v>
      </c>
      <c r="J18" s="202">
        <f ca="1">IFERROR(__xludf.DUMMYFUNCTION("""COMPUTED_VALUE"""),11172)</f>
        <v>11172</v>
      </c>
      <c r="K18" s="202">
        <f ca="1">IFERROR(__xludf.DUMMYFUNCTION("""COMPUTED_VALUE"""),0)</f>
        <v>0</v>
      </c>
      <c r="L18" s="202">
        <f ca="1">IFERROR(__xludf.DUMMYFUNCTION("""COMPUTED_VALUE"""),0)</f>
        <v>0</v>
      </c>
      <c r="M18" s="202">
        <f ca="1">IFERROR(__xludf.DUMMYFUNCTION("""COMPUTED_VALUE"""),0)</f>
        <v>0</v>
      </c>
      <c r="N18" s="202">
        <f ca="1">IFERROR(__xludf.DUMMYFUNCTION("""COMPUTED_VALUE"""),10542)</f>
        <v>10542</v>
      </c>
      <c r="O18" s="202">
        <f ca="1">IFERROR(__xludf.DUMMYFUNCTION("""COMPUTED_VALUE"""),4158)</f>
        <v>4158</v>
      </c>
      <c r="P18" s="202">
        <f t="shared" ca="1" si="1"/>
        <v>25872</v>
      </c>
    </row>
    <row r="19" spans="1:16" ht="12.75">
      <c r="A19" s="194" t="str">
        <f ca="1">IFERROR(__xludf.DUMMYFUNCTION("""COMPUTED_VALUE"""),"Araguaina")</f>
        <v>Araguaina</v>
      </c>
      <c r="B19" s="194" t="str">
        <f ca="1">IFERROR(__xludf.DUMMYFUNCTION("""COMPUTED_VALUE"""),"Araguaina")</f>
        <v>Araguaina</v>
      </c>
      <c r="C19" s="195" t="str">
        <f ca="1">IFERROR(__xludf.DUMMYFUNCTION("""COMPUTED_VALUE"""),"A. APOIO ESCOLA EST. CAMPOS BRASIL")</f>
        <v>A. APOIO ESCOLA EST. CAMPOS BRASIL</v>
      </c>
      <c r="D19" s="196" t="str">
        <f ca="1">IFERROR(__xludf.DUMMYFUNCTION("""COMPUTED_VALUE"""),"01291177000157")</f>
        <v>01291177000157</v>
      </c>
      <c r="E19" s="197" t="str">
        <f ca="1">IFERROR(__xludf.DUMMYFUNCTION("""COMPUTED_VALUE"""),"001")</f>
        <v>001</v>
      </c>
      <c r="F19" s="197" t="str">
        <f ca="1">IFERROR(__xludf.DUMMYFUNCTION("""COMPUTED_VALUE"""),"0638")</f>
        <v>0638</v>
      </c>
      <c r="G19" s="198" t="str">
        <f ca="1">IFERROR(__xludf.DUMMYFUNCTION("""COMPUTED_VALUE"""),"466093")</f>
        <v>466093</v>
      </c>
      <c r="H19" s="198">
        <f ca="1">IFERROR(__xludf.DUMMYFUNCTION("""COMPUTED_VALUE"""),0)</f>
        <v>0</v>
      </c>
      <c r="I19" s="198">
        <f ca="1">IFERROR(__xludf.DUMMYFUNCTION("""COMPUTED_VALUE"""),0)</f>
        <v>0</v>
      </c>
      <c r="J19" s="198">
        <f ca="1">IFERROR(__xludf.DUMMYFUNCTION("""COMPUTED_VALUE"""),11571)</f>
        <v>11571</v>
      </c>
      <c r="K19" s="198">
        <f ca="1">IFERROR(__xludf.DUMMYFUNCTION("""COMPUTED_VALUE"""),0)</f>
        <v>0</v>
      </c>
      <c r="L19" s="198">
        <f ca="1">IFERROR(__xludf.DUMMYFUNCTION("""COMPUTED_VALUE"""),0)</f>
        <v>0</v>
      </c>
      <c r="M19" s="198">
        <f ca="1">IFERROR(__xludf.DUMMYFUNCTION("""COMPUTED_VALUE"""),714)</f>
        <v>714</v>
      </c>
      <c r="N19" s="198">
        <f ca="1">IFERROR(__xludf.DUMMYFUNCTION("""COMPUTED_VALUE"""),12789)</f>
        <v>12789</v>
      </c>
      <c r="O19" s="198">
        <f ca="1">IFERROR(__xludf.DUMMYFUNCTION("""COMPUTED_VALUE"""),0)</f>
        <v>0</v>
      </c>
      <c r="P19" s="198">
        <f t="shared" ca="1" si="1"/>
        <v>25074</v>
      </c>
    </row>
    <row r="20" spans="1:16" ht="12.75">
      <c r="A20" s="199" t="str">
        <f ca="1">IFERROR(__xludf.DUMMYFUNCTION("""COMPUTED_VALUE"""),"Araguaina")</f>
        <v>Araguaina</v>
      </c>
      <c r="B20" s="199" t="str">
        <f ca="1">IFERROR(__xludf.DUMMYFUNCTION("""COMPUTED_VALUE"""),"Araguaina")</f>
        <v>Araguaina</v>
      </c>
      <c r="C20" s="145" t="str">
        <f ca="1">IFERROR(__xludf.DUMMYFUNCTION("""COMPUTED_VALUE"""),"A.A. COL. ESTADUAL GUILHERME DOURADO")</f>
        <v>A.A. COL. ESTADUAL GUILHERME DOURADO</v>
      </c>
      <c r="D20" s="200" t="str">
        <f ca="1">IFERROR(__xludf.DUMMYFUNCTION("""COMPUTED_VALUE"""),"01257074000170")</f>
        <v>01257074000170</v>
      </c>
      <c r="E20" s="201" t="str">
        <f ca="1">IFERROR(__xludf.DUMMYFUNCTION("""COMPUTED_VALUE"""),"001")</f>
        <v>001</v>
      </c>
      <c r="F20" s="201" t="str">
        <f ca="1">IFERROR(__xludf.DUMMYFUNCTION("""COMPUTED_VALUE"""),"0638")</f>
        <v>0638</v>
      </c>
      <c r="G20" s="202" t="str">
        <f ca="1">IFERROR(__xludf.DUMMYFUNCTION("""COMPUTED_VALUE"""),"0068659")</f>
        <v>0068659</v>
      </c>
      <c r="H20" s="202">
        <f ca="1">IFERROR(__xludf.DUMMYFUNCTION("""COMPUTED_VALUE"""),0)</f>
        <v>0</v>
      </c>
      <c r="I20" s="202">
        <f ca="1">IFERROR(__xludf.DUMMYFUNCTION("""COMPUTED_VALUE"""),0)</f>
        <v>0</v>
      </c>
      <c r="J20" s="202">
        <f ca="1">IFERROR(__xludf.DUMMYFUNCTION("""COMPUTED_VALUE"""),0)</f>
        <v>0</v>
      </c>
      <c r="K20" s="202">
        <f ca="1">IFERROR(__xludf.DUMMYFUNCTION("""COMPUTED_VALUE"""),0)</f>
        <v>0</v>
      </c>
      <c r="L20" s="202">
        <f ca="1">IFERROR(__xludf.DUMMYFUNCTION("""COMPUTED_VALUE"""),0)</f>
        <v>0</v>
      </c>
      <c r="M20" s="202">
        <f ca="1">IFERROR(__xludf.DUMMYFUNCTION("""COMPUTED_VALUE"""),210)</f>
        <v>210</v>
      </c>
      <c r="N20" s="202">
        <f ca="1">IFERROR(__xludf.DUMMYFUNCTION("""COMPUTED_VALUE"""),31857)</f>
        <v>31857</v>
      </c>
      <c r="O20" s="202">
        <f ca="1">IFERROR(__xludf.DUMMYFUNCTION("""COMPUTED_VALUE"""),0)</f>
        <v>0</v>
      </c>
      <c r="P20" s="202">
        <f t="shared" ca="1" si="1"/>
        <v>32067</v>
      </c>
    </row>
    <row r="21" spans="1:16" ht="12.75">
      <c r="A21" s="194" t="str">
        <f ca="1">IFERROR(__xludf.DUMMYFUNCTION("""COMPUTED_VALUE"""),"Araguaina")</f>
        <v>Araguaina</v>
      </c>
      <c r="B21" s="194" t="str">
        <f ca="1">IFERROR(__xludf.DUMMYFUNCTION("""COMPUTED_VALUE"""),"Araguaina")</f>
        <v>Araguaina</v>
      </c>
      <c r="C21" s="195" t="str">
        <f ca="1">IFERROR(__xludf.DUMMYFUNCTION("""COMPUTED_VALUE"""),"ASS. APOIO COL. EST. JARDIM PAULISTA")</f>
        <v>ASS. APOIO COL. EST. JARDIM PAULISTA</v>
      </c>
      <c r="D21" s="196" t="str">
        <f ca="1">IFERROR(__xludf.DUMMYFUNCTION("""COMPUTED_VALUE"""),"05502542000186")</f>
        <v>05502542000186</v>
      </c>
      <c r="E21" s="197" t="str">
        <f ca="1">IFERROR(__xludf.DUMMYFUNCTION("""COMPUTED_VALUE"""),"001")</f>
        <v>001</v>
      </c>
      <c r="F21" s="197" t="str">
        <f ca="1">IFERROR(__xludf.DUMMYFUNCTION("""COMPUTED_VALUE"""),"0638")</f>
        <v>0638</v>
      </c>
      <c r="G21" s="198" t="str">
        <f ca="1">IFERROR(__xludf.DUMMYFUNCTION("""COMPUTED_VALUE"""),"243876")</f>
        <v>243876</v>
      </c>
      <c r="H21" s="198">
        <f ca="1">IFERROR(__xludf.DUMMYFUNCTION("""COMPUTED_VALUE"""),0)</f>
        <v>0</v>
      </c>
      <c r="I21" s="198">
        <f ca="1">IFERROR(__xludf.DUMMYFUNCTION("""COMPUTED_VALUE"""),0)</f>
        <v>0</v>
      </c>
      <c r="J21" s="198">
        <f ca="1">IFERROR(__xludf.DUMMYFUNCTION("""COMPUTED_VALUE"""),9114)</f>
        <v>9114</v>
      </c>
      <c r="K21" s="198">
        <f ca="1">IFERROR(__xludf.DUMMYFUNCTION("""COMPUTED_VALUE"""),0)</f>
        <v>0</v>
      </c>
      <c r="L21" s="198">
        <f ca="1">IFERROR(__xludf.DUMMYFUNCTION("""COMPUTED_VALUE"""),0)</f>
        <v>0</v>
      </c>
      <c r="M21" s="198">
        <f ca="1">IFERROR(__xludf.DUMMYFUNCTION("""COMPUTED_VALUE"""),315)</f>
        <v>315</v>
      </c>
      <c r="N21" s="198">
        <f ca="1">IFERROR(__xludf.DUMMYFUNCTION("""COMPUTED_VALUE"""),10017)</f>
        <v>10017</v>
      </c>
      <c r="O21" s="198">
        <f ca="1">IFERROR(__xludf.DUMMYFUNCTION("""COMPUTED_VALUE"""),0)</f>
        <v>0</v>
      </c>
      <c r="P21" s="198">
        <f t="shared" ca="1" si="1"/>
        <v>19446</v>
      </c>
    </row>
    <row r="22" spans="1:16" ht="12.75">
      <c r="A22" s="199" t="str">
        <f ca="1">IFERROR(__xludf.DUMMYFUNCTION("""COMPUTED_VALUE"""),"Araguaina")</f>
        <v>Araguaina</v>
      </c>
      <c r="B22" s="199" t="str">
        <f ca="1">IFERROR(__xludf.DUMMYFUNCTION("""COMPUTED_VALUE"""),"Araguaina")</f>
        <v>Araguaina</v>
      </c>
      <c r="C22" s="145" t="str">
        <f ca="1">IFERROR(__xludf.DUMMYFUNCTION("""COMPUTED_VALUE"""),"A.APOIO COL. ESTADUAL JORGE AMADO")</f>
        <v>A.APOIO COL. ESTADUAL JORGE AMADO</v>
      </c>
      <c r="D22" s="200" t="str">
        <f ca="1">IFERROR(__xludf.DUMMYFUNCTION("""COMPUTED_VALUE"""),"01291218000105")</f>
        <v>01291218000105</v>
      </c>
      <c r="E22" s="201" t="str">
        <f ca="1">IFERROR(__xludf.DUMMYFUNCTION("""COMPUTED_VALUE"""),"001")</f>
        <v>001</v>
      </c>
      <c r="F22" s="201" t="str">
        <f ca="1">IFERROR(__xludf.DUMMYFUNCTION("""COMPUTED_VALUE"""),"0638")</f>
        <v>0638</v>
      </c>
      <c r="G22" s="202" t="str">
        <f ca="1">IFERROR(__xludf.DUMMYFUNCTION("""COMPUTED_VALUE"""),"0467006")</f>
        <v>0467006</v>
      </c>
      <c r="H22" s="202">
        <f ca="1">IFERROR(__xludf.DUMMYFUNCTION("""COMPUTED_VALUE"""),0)</f>
        <v>0</v>
      </c>
      <c r="I22" s="202">
        <f ca="1">IFERROR(__xludf.DUMMYFUNCTION("""COMPUTED_VALUE"""),0)</f>
        <v>0</v>
      </c>
      <c r="J22" s="202">
        <f ca="1">IFERROR(__xludf.DUMMYFUNCTION("""COMPUTED_VALUE"""),4641)</f>
        <v>4641</v>
      </c>
      <c r="K22" s="202">
        <f ca="1">IFERROR(__xludf.DUMMYFUNCTION("""COMPUTED_VALUE"""),0)</f>
        <v>0</v>
      </c>
      <c r="L22" s="202">
        <f ca="1">IFERROR(__xludf.DUMMYFUNCTION("""COMPUTED_VALUE"""),0)</f>
        <v>0</v>
      </c>
      <c r="M22" s="202">
        <f ca="1">IFERROR(__xludf.DUMMYFUNCTION("""COMPUTED_VALUE"""),357)</f>
        <v>357</v>
      </c>
      <c r="N22" s="202">
        <f ca="1">IFERROR(__xludf.DUMMYFUNCTION("""COMPUTED_VALUE"""),6279)</f>
        <v>6279</v>
      </c>
      <c r="O22" s="202">
        <f ca="1">IFERROR(__xludf.DUMMYFUNCTION("""COMPUTED_VALUE"""),0)</f>
        <v>0</v>
      </c>
      <c r="P22" s="202">
        <f t="shared" ca="1" si="1"/>
        <v>11277</v>
      </c>
    </row>
    <row r="23" spans="1:16" ht="12.75">
      <c r="A23" s="194" t="str">
        <f ca="1">IFERROR(__xludf.DUMMYFUNCTION("""COMPUTED_VALUE"""),"Araguaina")</f>
        <v>Araguaina</v>
      </c>
      <c r="B23" s="194" t="str">
        <f ca="1">IFERROR(__xludf.DUMMYFUNCTION("""COMPUTED_VALUE"""),"Araguaina")</f>
        <v>Araguaina</v>
      </c>
      <c r="C23" s="195" t="str">
        <f ca="1">IFERROR(__xludf.DUMMYFUNCTION("""COMPUTED_VALUE"""),"A.A. C.E.  PROF. SILVANDIRA SOUSA LIMA")</f>
        <v>A.A. C.E.  PROF. SILVANDIRA SOUSA LIMA</v>
      </c>
      <c r="D23" s="196" t="str">
        <f ca="1">IFERROR(__xludf.DUMMYFUNCTION("""COMPUTED_VALUE"""),"01071403000194")</f>
        <v>01071403000194</v>
      </c>
      <c r="E23" s="197" t="str">
        <f ca="1">IFERROR(__xludf.DUMMYFUNCTION("""COMPUTED_VALUE"""),"001")</f>
        <v>001</v>
      </c>
      <c r="F23" s="197" t="str">
        <f ca="1">IFERROR(__xludf.DUMMYFUNCTION("""COMPUTED_VALUE"""),"0638")</f>
        <v>0638</v>
      </c>
      <c r="G23" s="198" t="str">
        <f ca="1">IFERROR(__xludf.DUMMYFUNCTION("""COMPUTED_VALUE"""),"0463922")</f>
        <v>0463922</v>
      </c>
      <c r="H23" s="198">
        <f ca="1">IFERROR(__xludf.DUMMYFUNCTION("""COMPUTED_VALUE"""),0)</f>
        <v>0</v>
      </c>
      <c r="I23" s="198">
        <f ca="1">IFERROR(__xludf.DUMMYFUNCTION("""COMPUTED_VALUE"""),0)</f>
        <v>0</v>
      </c>
      <c r="J23" s="198">
        <f ca="1">IFERROR(__xludf.DUMMYFUNCTION("""COMPUTED_VALUE"""),5880)</f>
        <v>5880</v>
      </c>
      <c r="K23" s="198">
        <f ca="1">IFERROR(__xludf.DUMMYFUNCTION("""COMPUTED_VALUE"""),0)</f>
        <v>0</v>
      </c>
      <c r="L23" s="198">
        <f ca="1">IFERROR(__xludf.DUMMYFUNCTION("""COMPUTED_VALUE"""),0)</f>
        <v>0</v>
      </c>
      <c r="M23" s="198">
        <f ca="1">IFERROR(__xludf.DUMMYFUNCTION("""COMPUTED_VALUE"""),105)</f>
        <v>105</v>
      </c>
      <c r="N23" s="198">
        <f ca="1">IFERROR(__xludf.DUMMYFUNCTION("""COMPUTED_VALUE"""),9156)</f>
        <v>9156</v>
      </c>
      <c r="O23" s="198">
        <f ca="1">IFERROR(__xludf.DUMMYFUNCTION("""COMPUTED_VALUE"""),0)</f>
        <v>0</v>
      </c>
      <c r="P23" s="198">
        <f t="shared" ca="1" si="1"/>
        <v>15141</v>
      </c>
    </row>
    <row r="24" spans="1:16" ht="12.75">
      <c r="A24" s="199" t="str">
        <f ca="1">IFERROR(__xludf.DUMMYFUNCTION("""COMPUTED_VALUE"""),"Araguaina")</f>
        <v>Araguaina</v>
      </c>
      <c r="B24" s="199" t="str">
        <f ca="1">IFERROR(__xludf.DUMMYFUNCTION("""COMPUTED_VALUE"""),"Araguaina")</f>
        <v>Araguaina</v>
      </c>
      <c r="C24" s="145" t="str">
        <f ca="1">IFERROR(__xludf.DUMMYFUNCTION("""COMPUTED_VALUE"""),"A.A. COLEGIO ESTADUAL RUI BARBOSA")</f>
        <v>A.A. COLEGIO ESTADUAL RUI BARBOSA</v>
      </c>
      <c r="D24" s="200" t="str">
        <f ca="1">IFERROR(__xludf.DUMMYFUNCTION("""COMPUTED_VALUE"""),"01071440000100")</f>
        <v>01071440000100</v>
      </c>
      <c r="E24" s="201" t="str">
        <f ca="1">IFERROR(__xludf.DUMMYFUNCTION("""COMPUTED_VALUE"""),"001")</f>
        <v>001</v>
      </c>
      <c r="F24" s="201" t="str">
        <f ca="1">IFERROR(__xludf.DUMMYFUNCTION("""COMPUTED_VALUE"""),"0638")</f>
        <v>0638</v>
      </c>
      <c r="G24" s="202" t="str">
        <f ca="1">IFERROR(__xludf.DUMMYFUNCTION("""COMPUTED_VALUE"""),"0463787")</f>
        <v>0463787</v>
      </c>
      <c r="H24" s="202">
        <f ca="1">IFERROR(__xludf.DUMMYFUNCTION("""COMPUTED_VALUE"""),0)</f>
        <v>0</v>
      </c>
      <c r="I24" s="202">
        <f ca="1">IFERROR(__xludf.DUMMYFUNCTION("""COMPUTED_VALUE"""),0)</f>
        <v>0</v>
      </c>
      <c r="J24" s="202">
        <f ca="1">IFERROR(__xludf.DUMMYFUNCTION("""COMPUTED_VALUE"""),0)</f>
        <v>0</v>
      </c>
      <c r="K24" s="202">
        <f ca="1">IFERROR(__xludf.DUMMYFUNCTION("""COMPUTED_VALUE"""),0)</f>
        <v>0</v>
      </c>
      <c r="L24" s="202">
        <f ca="1">IFERROR(__xludf.DUMMYFUNCTION("""COMPUTED_VALUE"""),0)</f>
        <v>0</v>
      </c>
      <c r="M24" s="202">
        <f ca="1">IFERROR(__xludf.DUMMYFUNCTION("""COMPUTED_VALUE"""),294)</f>
        <v>294</v>
      </c>
      <c r="N24" s="202">
        <f ca="1">IFERROR(__xludf.DUMMYFUNCTION("""COMPUTED_VALUE"""),0)</f>
        <v>0</v>
      </c>
      <c r="O24" s="202">
        <f ca="1">IFERROR(__xludf.DUMMYFUNCTION("""COMPUTED_VALUE"""),0)</f>
        <v>0</v>
      </c>
      <c r="P24" s="202">
        <f t="shared" ca="1" si="1"/>
        <v>294</v>
      </c>
    </row>
    <row r="25" spans="1:16" ht="12.75">
      <c r="A25" s="194" t="str">
        <f ca="1">IFERROR(__xludf.DUMMYFUNCTION("""COMPUTED_VALUE"""),"Araguaina")</f>
        <v>Araguaina</v>
      </c>
      <c r="B25" s="194" t="str">
        <f ca="1">IFERROR(__xludf.DUMMYFUNCTION("""COMPUTED_VALUE"""),"Araguaina")</f>
        <v>Araguaina</v>
      </c>
      <c r="C25" s="195" t="str">
        <f ca="1">IFERROR(__xludf.DUMMYFUNCTION("""COMPUTED_VALUE"""),"A.A.ESCOLA TEMPO INTEGRAL JARDENIR JORGE FREDERICO")</f>
        <v>A.A.ESCOLA TEMPO INTEGRAL JARDENIR JORGE FREDERICO</v>
      </c>
      <c r="D25" s="196" t="str">
        <f ca="1">IFERROR(__xludf.DUMMYFUNCTION("""COMPUTED_VALUE"""),"43361835000180")</f>
        <v>43361835000180</v>
      </c>
      <c r="E25" s="197" t="str">
        <f ca="1">IFERROR(__xludf.DUMMYFUNCTION("""COMPUTED_VALUE"""),"001")</f>
        <v>001</v>
      </c>
      <c r="F25" s="197" t="str">
        <f ca="1">IFERROR(__xludf.DUMMYFUNCTION("""COMPUTED_VALUE"""),"4348")</f>
        <v>4348</v>
      </c>
      <c r="G25" s="198" t="str">
        <f ca="1">IFERROR(__xludf.DUMMYFUNCTION("""COMPUTED_VALUE"""),"434795")</f>
        <v>434795</v>
      </c>
      <c r="H25" s="198">
        <f ca="1">IFERROR(__xludf.DUMMYFUNCTION("""COMPUTED_VALUE"""),0)</f>
        <v>0</v>
      </c>
      <c r="I25" s="198">
        <f ca="1">IFERROR(__xludf.DUMMYFUNCTION("""COMPUTED_VALUE"""),0)</f>
        <v>0</v>
      </c>
      <c r="J25" s="198">
        <f ca="1">IFERROR(__xludf.DUMMYFUNCTION("""COMPUTED_VALUE"""),0)</f>
        <v>0</v>
      </c>
      <c r="K25" s="198">
        <f ca="1">IFERROR(__xludf.DUMMYFUNCTION("""COMPUTED_VALUE"""),0)</f>
        <v>0</v>
      </c>
      <c r="L25" s="198">
        <f ca="1">IFERROR(__xludf.DUMMYFUNCTION("""COMPUTED_VALUE"""),0)</f>
        <v>0</v>
      </c>
      <c r="M25" s="198">
        <f ca="1">IFERROR(__xludf.DUMMYFUNCTION("""COMPUTED_VALUE"""),294)</f>
        <v>294</v>
      </c>
      <c r="N25" s="198">
        <f ca="1">IFERROR(__xludf.DUMMYFUNCTION("""COMPUTED_VALUE"""),0)</f>
        <v>0</v>
      </c>
      <c r="O25" s="198">
        <f ca="1">IFERROR(__xludf.DUMMYFUNCTION("""COMPUTED_VALUE"""),0)</f>
        <v>0</v>
      </c>
      <c r="P25" s="198">
        <f t="shared" ca="1" si="1"/>
        <v>294</v>
      </c>
    </row>
    <row r="26" spans="1:16" ht="12.75">
      <c r="A26" s="203" t="str">
        <f ca="1">IFERROR(__xludf.DUMMYFUNCTION("""COMPUTED_VALUE"""),"Araguaina")</f>
        <v>Araguaina</v>
      </c>
      <c r="B26" s="203" t="str">
        <f ca="1">IFERROR(__xludf.DUMMYFUNCTION("""COMPUTED_VALUE"""),"Araguaina")</f>
        <v>Araguaina</v>
      </c>
      <c r="C26" s="155" t="str">
        <f ca="1">IFERROR(__xludf.DUMMYFUNCTION("""COMPUTED_VALUE"""),"A.A. ESC. EST. DEP.FED.JOSE A. DE ASSIS")</f>
        <v>A.A. ESC. EST. DEP.FED.JOSE A. DE ASSIS</v>
      </c>
      <c r="D26" s="200" t="str">
        <f ca="1">IFERROR(__xludf.DUMMYFUNCTION("""COMPUTED_VALUE"""),"01186464000105")</f>
        <v>01186464000105</v>
      </c>
      <c r="E26" s="201" t="str">
        <f ca="1">IFERROR(__xludf.DUMMYFUNCTION("""COMPUTED_VALUE"""),"001")</f>
        <v>001</v>
      </c>
      <c r="F26" s="201" t="str">
        <f ca="1">IFERROR(__xludf.DUMMYFUNCTION("""COMPUTED_VALUE"""),"0638")</f>
        <v>0638</v>
      </c>
      <c r="G26" s="202" t="str">
        <f ca="1">IFERROR(__xludf.DUMMYFUNCTION("""COMPUTED_VALUE"""),"465089")</f>
        <v>465089</v>
      </c>
      <c r="H26" s="202">
        <f ca="1">IFERROR(__xludf.DUMMYFUNCTION("""COMPUTED_VALUE"""),0)</f>
        <v>0</v>
      </c>
      <c r="I26" s="202">
        <f ca="1">IFERROR(__xludf.DUMMYFUNCTION("""COMPUTED_VALUE"""),0)</f>
        <v>0</v>
      </c>
      <c r="J26" s="202">
        <f ca="1">IFERROR(__xludf.DUMMYFUNCTION("""COMPUTED_VALUE"""),3738)</f>
        <v>3738</v>
      </c>
      <c r="K26" s="202">
        <f ca="1">IFERROR(__xludf.DUMMYFUNCTION("""COMPUTED_VALUE"""),0)</f>
        <v>0</v>
      </c>
      <c r="L26" s="202">
        <f ca="1">IFERROR(__xludf.DUMMYFUNCTION("""COMPUTED_VALUE"""),0)</f>
        <v>0</v>
      </c>
      <c r="M26" s="202">
        <f ca="1">IFERROR(__xludf.DUMMYFUNCTION("""COMPUTED_VALUE"""),315)</f>
        <v>315</v>
      </c>
      <c r="N26" s="202">
        <f ca="1">IFERROR(__xludf.DUMMYFUNCTION("""COMPUTED_VALUE"""),9198)</f>
        <v>9198</v>
      </c>
      <c r="O26" s="202">
        <f ca="1">IFERROR(__xludf.DUMMYFUNCTION("""COMPUTED_VALUE"""),0)</f>
        <v>0</v>
      </c>
      <c r="P26" s="204">
        <f t="shared" ca="1" si="1"/>
        <v>13251</v>
      </c>
    </row>
    <row r="27" spans="1:16" ht="12.75">
      <c r="A27" s="194" t="str">
        <f ca="1">IFERROR(__xludf.DUMMYFUNCTION("""COMPUTED_VALUE"""),"Araguaina")</f>
        <v>Araguaina</v>
      </c>
      <c r="B27" s="194" t="str">
        <f ca="1">IFERROR(__xludf.DUMMYFUNCTION("""COMPUTED_VALUE"""),"Araguaina")</f>
        <v>Araguaina</v>
      </c>
      <c r="C27" s="195" t="str">
        <f ca="1">IFERROR(__xludf.DUMMYFUNCTION("""COMPUTED_VALUE"""),"ASSOCIAÇÃO DE APOIO DA ESCOLA ESPECIAL RAIO DE LUZ APAE ARAGUAÍNA")</f>
        <v>ASSOCIAÇÃO DE APOIO DA ESCOLA ESPECIAL RAIO DE LUZ APAE ARAGUAÍNA</v>
      </c>
      <c r="D27" s="196" t="str">
        <f ca="1">IFERROR(__xludf.DUMMYFUNCTION("""COMPUTED_VALUE"""),"07953043000130")</f>
        <v>07953043000130</v>
      </c>
      <c r="E27" s="197" t="str">
        <f ca="1">IFERROR(__xludf.DUMMYFUNCTION("""COMPUTED_VALUE"""),"001")</f>
        <v>001</v>
      </c>
      <c r="F27" s="197" t="str">
        <f ca="1">IFERROR(__xludf.DUMMYFUNCTION("""COMPUTED_VALUE"""),"0638")</f>
        <v>0638</v>
      </c>
      <c r="G27" s="198" t="str">
        <f ca="1">IFERROR(__xludf.DUMMYFUNCTION("""COMPUTED_VALUE"""),"379921")</f>
        <v>379921</v>
      </c>
      <c r="H27" s="198">
        <f ca="1">IFERROR(__xludf.DUMMYFUNCTION("""COMPUTED_VALUE"""),0)</f>
        <v>0</v>
      </c>
      <c r="I27" s="198">
        <f ca="1">IFERROR(__xludf.DUMMYFUNCTION("""COMPUTED_VALUE"""),378)</f>
        <v>378</v>
      </c>
      <c r="J27" s="198">
        <f ca="1">IFERROR(__xludf.DUMMYFUNCTION("""COMPUTED_VALUE"""),483)</f>
        <v>483</v>
      </c>
      <c r="K27" s="198">
        <f ca="1">IFERROR(__xludf.DUMMYFUNCTION("""COMPUTED_VALUE"""),0)</f>
        <v>0</v>
      </c>
      <c r="L27" s="198">
        <f ca="1">IFERROR(__xludf.DUMMYFUNCTION("""COMPUTED_VALUE"""),0)</f>
        <v>0</v>
      </c>
      <c r="M27" s="198">
        <f ca="1">IFERROR(__xludf.DUMMYFUNCTION("""COMPUTED_VALUE"""),4515)</f>
        <v>4515</v>
      </c>
      <c r="N27" s="198">
        <f ca="1">IFERROR(__xludf.DUMMYFUNCTION("""COMPUTED_VALUE"""),0)</f>
        <v>0</v>
      </c>
      <c r="O27" s="198">
        <f ca="1">IFERROR(__xludf.DUMMYFUNCTION("""COMPUTED_VALUE"""),3654)</f>
        <v>3654</v>
      </c>
      <c r="P27" s="198">
        <f t="shared" ca="1" si="1"/>
        <v>9030</v>
      </c>
    </row>
    <row r="28" spans="1:16" ht="12.75">
      <c r="A28" s="199" t="str">
        <f ca="1">IFERROR(__xludf.DUMMYFUNCTION("""COMPUTED_VALUE"""),"Araguaina")</f>
        <v>Araguaina</v>
      </c>
      <c r="B28" s="199" t="str">
        <f ca="1">IFERROR(__xludf.DUMMYFUNCTION("""COMPUTED_VALUE"""),"Araguaina")</f>
        <v>Araguaina</v>
      </c>
      <c r="C28" s="145" t="str">
        <f ca="1">IFERROR(__xludf.DUMMYFUNCTION("""COMPUTED_VALUE"""),"A.A.  ESCOLA ESPIRITA ANDRE LUIZ")</f>
        <v>A.A.  ESCOLA ESPIRITA ANDRE LUIZ</v>
      </c>
      <c r="D28" s="200" t="str">
        <f ca="1">IFERROR(__xludf.DUMMYFUNCTION("""COMPUTED_VALUE"""),"01066416000175")</f>
        <v>01066416000175</v>
      </c>
      <c r="E28" s="201" t="str">
        <f ca="1">IFERROR(__xludf.DUMMYFUNCTION("""COMPUTED_VALUE"""),"001")</f>
        <v>001</v>
      </c>
      <c r="F28" s="201" t="str">
        <f ca="1">IFERROR(__xludf.DUMMYFUNCTION("""COMPUTED_VALUE"""),"0638")</f>
        <v>0638</v>
      </c>
      <c r="G28" s="202" t="str">
        <f ca="1">IFERROR(__xludf.DUMMYFUNCTION("""COMPUTED_VALUE"""),"463582")</f>
        <v>463582</v>
      </c>
      <c r="H28" s="202">
        <f ca="1">IFERROR(__xludf.DUMMYFUNCTION("""COMPUTED_VALUE"""),0)</f>
        <v>0</v>
      </c>
      <c r="I28" s="202">
        <f ca="1">IFERROR(__xludf.DUMMYFUNCTION("""COMPUTED_VALUE"""),0)</f>
        <v>0</v>
      </c>
      <c r="J28" s="202">
        <f ca="1">IFERROR(__xludf.DUMMYFUNCTION("""COMPUTED_VALUE"""),0)</f>
        <v>0</v>
      </c>
      <c r="K28" s="202">
        <f ca="1">IFERROR(__xludf.DUMMYFUNCTION("""COMPUTED_VALUE"""),0)</f>
        <v>0</v>
      </c>
      <c r="L28" s="202">
        <f ca="1">IFERROR(__xludf.DUMMYFUNCTION("""COMPUTED_VALUE"""),0)</f>
        <v>0</v>
      </c>
      <c r="M28" s="202">
        <f ca="1">IFERROR(__xludf.DUMMYFUNCTION("""COMPUTED_VALUE"""),378)</f>
        <v>378</v>
      </c>
      <c r="N28" s="202">
        <f ca="1">IFERROR(__xludf.DUMMYFUNCTION("""COMPUTED_VALUE"""),0)</f>
        <v>0</v>
      </c>
      <c r="O28" s="202">
        <f ca="1">IFERROR(__xludf.DUMMYFUNCTION("""COMPUTED_VALUE"""),0)</f>
        <v>0</v>
      </c>
      <c r="P28" s="202">
        <f t="shared" ca="1" si="1"/>
        <v>378</v>
      </c>
    </row>
    <row r="29" spans="1:16" ht="12.75">
      <c r="A29" s="194" t="str">
        <f ca="1">IFERROR(__xludf.DUMMYFUNCTION("""COMPUTED_VALUE"""),"Araguaina")</f>
        <v>Araguaina</v>
      </c>
      <c r="B29" s="194" t="str">
        <f ca="1">IFERROR(__xludf.DUMMYFUNCTION("""COMPUTED_VALUE"""),"Araguaina")</f>
        <v>Araguaina</v>
      </c>
      <c r="C29" s="195" t="str">
        <f ca="1">IFERROR(__xludf.DUMMYFUNCTION("""COMPUTED_VALUE"""),"A.A. ESC. E.FRANCISCO MAXIMO DE SOUZA")</f>
        <v>A.A. ESC. E.FRANCISCO MAXIMO DE SOUZA</v>
      </c>
      <c r="D29" s="196" t="str">
        <f ca="1">IFERROR(__xludf.DUMMYFUNCTION("""COMPUTED_VALUE"""),"01345127000105")</f>
        <v>01345127000105</v>
      </c>
      <c r="E29" s="197" t="str">
        <f ca="1">IFERROR(__xludf.DUMMYFUNCTION("""COMPUTED_VALUE"""),"001")</f>
        <v>001</v>
      </c>
      <c r="F29" s="197" t="str">
        <f ca="1">IFERROR(__xludf.DUMMYFUNCTION("""COMPUTED_VALUE"""),"0638")</f>
        <v>0638</v>
      </c>
      <c r="G29" s="198" t="str">
        <f ca="1">IFERROR(__xludf.DUMMYFUNCTION("""COMPUTED_VALUE"""),"0463167")</f>
        <v>0463167</v>
      </c>
      <c r="H29" s="198">
        <f ca="1">IFERROR(__xludf.DUMMYFUNCTION("""COMPUTED_VALUE"""),0)</f>
        <v>0</v>
      </c>
      <c r="I29" s="198">
        <f ca="1">IFERROR(__xludf.DUMMYFUNCTION("""COMPUTED_VALUE"""),0)</f>
        <v>0</v>
      </c>
      <c r="J29" s="198">
        <f ca="1">IFERROR(__xludf.DUMMYFUNCTION("""COMPUTED_VALUE"""),7245)</f>
        <v>7245</v>
      </c>
      <c r="K29" s="198">
        <f ca="1">IFERROR(__xludf.DUMMYFUNCTION("""COMPUTED_VALUE"""),0)</f>
        <v>0</v>
      </c>
      <c r="L29" s="198">
        <f ca="1">IFERROR(__xludf.DUMMYFUNCTION("""COMPUTED_VALUE"""),0)</f>
        <v>0</v>
      </c>
      <c r="M29" s="198">
        <f ca="1">IFERROR(__xludf.DUMMYFUNCTION("""COMPUTED_VALUE"""),1029)</f>
        <v>1029</v>
      </c>
      <c r="N29" s="198">
        <f ca="1">IFERROR(__xludf.DUMMYFUNCTION("""COMPUTED_VALUE"""),6657)</f>
        <v>6657</v>
      </c>
      <c r="O29" s="198">
        <f ca="1">IFERROR(__xludf.DUMMYFUNCTION("""COMPUTED_VALUE"""),4326)</f>
        <v>4326</v>
      </c>
      <c r="P29" s="198">
        <f t="shared" ca="1" si="1"/>
        <v>19257</v>
      </c>
    </row>
    <row r="30" spans="1:16" ht="12.75">
      <c r="A30" s="199" t="str">
        <f ca="1">IFERROR(__xludf.DUMMYFUNCTION("""COMPUTED_VALUE"""),"Araguaina")</f>
        <v>Araguaina</v>
      </c>
      <c r="B30" s="199" t="str">
        <f ca="1">IFERROR(__xludf.DUMMYFUNCTION("""COMPUTED_VALUE"""),"Araguaina")</f>
        <v>Araguaina</v>
      </c>
      <c r="C30" s="145" t="str">
        <f ca="1">IFERROR(__xludf.DUMMYFUNCTION("""COMPUTED_VALUE"""),"ASS. COM. COL EST. SANCHA FERREIRA")</f>
        <v>ASS. COM. COL EST. SANCHA FERREIRA</v>
      </c>
      <c r="D30" s="200" t="str">
        <f ca="1">IFERROR(__xludf.DUMMYFUNCTION("""COMPUTED_VALUE"""),"01338702000142")</f>
        <v>01338702000142</v>
      </c>
      <c r="E30" s="201" t="str">
        <f ca="1">IFERROR(__xludf.DUMMYFUNCTION("""COMPUTED_VALUE"""),"001")</f>
        <v>001</v>
      </c>
      <c r="F30" s="201" t="str">
        <f ca="1">IFERROR(__xludf.DUMMYFUNCTION("""COMPUTED_VALUE"""),"0638")</f>
        <v>0638</v>
      </c>
      <c r="G30" s="202" t="str">
        <f ca="1">IFERROR(__xludf.DUMMYFUNCTION("""COMPUTED_VALUE"""),"0466913")</f>
        <v>0466913</v>
      </c>
      <c r="H30" s="202">
        <f ca="1">IFERROR(__xludf.DUMMYFUNCTION("""COMPUTED_VALUE"""),0)</f>
        <v>0</v>
      </c>
      <c r="I30" s="202">
        <f ca="1">IFERROR(__xludf.DUMMYFUNCTION("""COMPUTED_VALUE"""),0)</f>
        <v>0</v>
      </c>
      <c r="J30" s="202">
        <f ca="1">IFERROR(__xludf.DUMMYFUNCTION("""COMPUTED_VALUE"""),0)</f>
        <v>0</v>
      </c>
      <c r="K30" s="202">
        <f ca="1">IFERROR(__xludf.DUMMYFUNCTION("""COMPUTED_VALUE"""),0)</f>
        <v>0</v>
      </c>
      <c r="L30" s="202">
        <f ca="1">IFERROR(__xludf.DUMMYFUNCTION("""COMPUTED_VALUE"""),0)</f>
        <v>0</v>
      </c>
      <c r="M30" s="202">
        <f ca="1">IFERROR(__xludf.DUMMYFUNCTION("""COMPUTED_VALUE"""),189)</f>
        <v>189</v>
      </c>
      <c r="N30" s="202">
        <f ca="1">IFERROR(__xludf.DUMMYFUNCTION("""COMPUTED_VALUE"""),0)</f>
        <v>0</v>
      </c>
      <c r="O30" s="202">
        <f ca="1">IFERROR(__xludf.DUMMYFUNCTION("""COMPUTED_VALUE"""),0)</f>
        <v>0</v>
      </c>
      <c r="P30" s="202">
        <f t="shared" ca="1" si="1"/>
        <v>189</v>
      </c>
    </row>
    <row r="31" spans="1:16" ht="12.75">
      <c r="A31" s="194" t="str">
        <f ca="1">IFERROR(__xludf.DUMMYFUNCTION("""COMPUTED_VALUE"""),"Araguaina")</f>
        <v>Araguaina</v>
      </c>
      <c r="B31" s="194" t="str">
        <f ca="1">IFERROR(__xludf.DUMMYFUNCTION("""COMPUTED_VALUE"""),"Araguaina")</f>
        <v>Araguaina</v>
      </c>
      <c r="C31" s="195" t="str">
        <f ca="1">IFERROR(__xludf.DUMMYFUNCTION("""COMPUTED_VALUE"""),"A.A. ESC. HENRIQUE CIRQUEIRA AMORIM")</f>
        <v>A.A. ESC. HENRIQUE CIRQUEIRA AMORIM</v>
      </c>
      <c r="D31" s="196" t="str">
        <f ca="1">IFERROR(__xludf.DUMMYFUNCTION("""COMPUTED_VALUE"""),"01088234000103")</f>
        <v>01088234000103</v>
      </c>
      <c r="E31" s="197" t="str">
        <f ca="1">IFERROR(__xludf.DUMMYFUNCTION("""COMPUTED_VALUE"""),"001")</f>
        <v>001</v>
      </c>
      <c r="F31" s="197" t="str">
        <f ca="1">IFERROR(__xludf.DUMMYFUNCTION("""COMPUTED_VALUE"""),"0638")</f>
        <v>0638</v>
      </c>
      <c r="G31" s="198" t="str">
        <f ca="1">IFERROR(__xludf.DUMMYFUNCTION("""COMPUTED_VALUE"""),"0465194")</f>
        <v>0465194</v>
      </c>
      <c r="H31" s="198">
        <f ca="1">IFERROR(__xludf.DUMMYFUNCTION("""COMPUTED_VALUE"""),0)</f>
        <v>0</v>
      </c>
      <c r="I31" s="198">
        <f ca="1">IFERROR(__xludf.DUMMYFUNCTION("""COMPUTED_VALUE"""),0)</f>
        <v>0</v>
      </c>
      <c r="J31" s="198">
        <f ca="1">IFERROR(__xludf.DUMMYFUNCTION("""COMPUTED_VALUE"""),6489)</f>
        <v>6489</v>
      </c>
      <c r="K31" s="198">
        <f ca="1">IFERROR(__xludf.DUMMYFUNCTION("""COMPUTED_VALUE"""),0)</f>
        <v>0</v>
      </c>
      <c r="L31" s="198">
        <f ca="1">IFERROR(__xludf.DUMMYFUNCTION("""COMPUTED_VALUE"""),0)</f>
        <v>0</v>
      </c>
      <c r="M31" s="198">
        <f ca="1">IFERROR(__xludf.DUMMYFUNCTION("""COMPUTED_VALUE"""),0)</f>
        <v>0</v>
      </c>
      <c r="N31" s="198">
        <f ca="1">IFERROR(__xludf.DUMMYFUNCTION("""COMPUTED_VALUE"""),4893)</f>
        <v>4893</v>
      </c>
      <c r="O31" s="198">
        <f ca="1">IFERROR(__xludf.DUMMYFUNCTION("""COMPUTED_VALUE"""),0)</f>
        <v>0</v>
      </c>
      <c r="P31" s="198">
        <f t="shared" ca="1" si="1"/>
        <v>11382</v>
      </c>
    </row>
    <row r="32" spans="1:16" ht="12.75">
      <c r="A32" s="199" t="str">
        <f ca="1">IFERROR(__xludf.DUMMYFUNCTION("""COMPUTED_VALUE"""),"Araguaina")</f>
        <v>Araguaina</v>
      </c>
      <c r="B32" s="199" t="str">
        <f ca="1">IFERROR(__xludf.DUMMYFUNCTION("""COMPUTED_VALUE"""),"Araguaina")</f>
        <v>Araguaina</v>
      </c>
      <c r="C32" s="145" t="str">
        <f ca="1">IFERROR(__xludf.DUMMYFUNCTION("""COMPUTED_VALUE"""),"A.A. ESC. EST. JOAO GUILHERME L. KUNZE")</f>
        <v>A.A. ESC. EST. JOAO GUILHERME L. KUNZE</v>
      </c>
      <c r="D32" s="200" t="str">
        <f ca="1">IFERROR(__xludf.DUMMYFUNCTION("""COMPUTED_VALUE"""),"01071400000150")</f>
        <v>01071400000150</v>
      </c>
      <c r="E32" s="201" t="str">
        <f ca="1">IFERROR(__xludf.DUMMYFUNCTION("""COMPUTED_VALUE"""),"001")</f>
        <v>001</v>
      </c>
      <c r="F32" s="201" t="str">
        <f ca="1">IFERROR(__xludf.DUMMYFUNCTION("""COMPUTED_VALUE"""),"0638")</f>
        <v>0638</v>
      </c>
      <c r="G32" s="202" t="str">
        <f ca="1">IFERROR(__xludf.DUMMYFUNCTION("""COMPUTED_VALUE"""),"0463639")</f>
        <v>0463639</v>
      </c>
      <c r="H32" s="202">
        <f ca="1">IFERROR(__xludf.DUMMYFUNCTION("""COMPUTED_VALUE"""),0)</f>
        <v>0</v>
      </c>
      <c r="I32" s="202">
        <f ca="1">IFERROR(__xludf.DUMMYFUNCTION("""COMPUTED_VALUE"""),0)</f>
        <v>0</v>
      </c>
      <c r="J32" s="202">
        <f ca="1">IFERROR(__xludf.DUMMYFUNCTION("""COMPUTED_VALUE"""),6321)</f>
        <v>6321</v>
      </c>
      <c r="K32" s="202">
        <f ca="1">IFERROR(__xludf.DUMMYFUNCTION("""COMPUTED_VALUE"""),0)</f>
        <v>0</v>
      </c>
      <c r="L32" s="202">
        <f ca="1">IFERROR(__xludf.DUMMYFUNCTION("""COMPUTED_VALUE"""),0)</f>
        <v>0</v>
      </c>
      <c r="M32" s="202">
        <f ca="1">IFERROR(__xludf.DUMMYFUNCTION("""COMPUTED_VALUE"""),252)</f>
        <v>252</v>
      </c>
      <c r="N32" s="202">
        <f ca="1">IFERROR(__xludf.DUMMYFUNCTION("""COMPUTED_VALUE"""),0)</f>
        <v>0</v>
      </c>
      <c r="O32" s="202">
        <f ca="1">IFERROR(__xludf.DUMMYFUNCTION("""COMPUTED_VALUE"""),0)</f>
        <v>0</v>
      </c>
      <c r="P32" s="202">
        <f t="shared" ca="1" si="1"/>
        <v>6573</v>
      </c>
    </row>
    <row r="33" spans="1:16" ht="12.75">
      <c r="A33" s="194" t="str">
        <f ca="1">IFERROR(__xludf.DUMMYFUNCTION("""COMPUTED_VALUE"""),"Araguaina")</f>
        <v>Araguaina</v>
      </c>
      <c r="B33" s="194" t="str">
        <f ca="1">IFERROR(__xludf.DUMMYFUNCTION("""COMPUTED_VALUE"""),"Araguaina")</f>
        <v>Araguaina</v>
      </c>
      <c r="C33" s="195" t="str">
        <f ca="1">IFERROR(__xludf.DUMMYFUNCTION("""COMPUTED_VALUE"""),"A.A. ESC. EST. MANOEL GOMES DA CUNHA")</f>
        <v>A.A. ESC. EST. MANOEL GOMES DA CUNHA</v>
      </c>
      <c r="D33" s="196" t="str">
        <f ca="1">IFERROR(__xludf.DUMMYFUNCTION("""COMPUTED_VALUE"""),"01443216000194")</f>
        <v>01443216000194</v>
      </c>
      <c r="E33" s="197" t="str">
        <f ca="1">IFERROR(__xludf.DUMMYFUNCTION("""COMPUTED_VALUE"""),"001")</f>
        <v>001</v>
      </c>
      <c r="F33" s="197" t="str">
        <f ca="1">IFERROR(__xludf.DUMMYFUNCTION("""COMPUTED_VALUE"""),"0638")</f>
        <v>0638</v>
      </c>
      <c r="G33" s="198" t="str">
        <f ca="1">IFERROR(__xludf.DUMMYFUNCTION("""COMPUTED_VALUE"""),"0468355")</f>
        <v>0468355</v>
      </c>
      <c r="H33" s="198">
        <f ca="1">IFERROR(__xludf.DUMMYFUNCTION("""COMPUTED_VALUE"""),0)</f>
        <v>0</v>
      </c>
      <c r="I33" s="198">
        <f ca="1">IFERROR(__xludf.DUMMYFUNCTION("""COMPUTED_VALUE"""),0)</f>
        <v>0</v>
      </c>
      <c r="J33" s="198">
        <f ca="1">IFERROR(__xludf.DUMMYFUNCTION("""COMPUTED_VALUE"""),3990)</f>
        <v>3990</v>
      </c>
      <c r="K33" s="198">
        <f ca="1">IFERROR(__xludf.DUMMYFUNCTION("""COMPUTED_VALUE"""),0)</f>
        <v>0</v>
      </c>
      <c r="L33" s="198">
        <f ca="1">IFERROR(__xludf.DUMMYFUNCTION("""COMPUTED_VALUE"""),0)</f>
        <v>0</v>
      </c>
      <c r="M33" s="198">
        <f ca="1">IFERROR(__xludf.DUMMYFUNCTION("""COMPUTED_VALUE"""),252)</f>
        <v>252</v>
      </c>
      <c r="N33" s="198">
        <f ca="1">IFERROR(__xludf.DUMMYFUNCTION("""COMPUTED_VALUE"""),3507)</f>
        <v>3507</v>
      </c>
      <c r="O33" s="198">
        <f ca="1">IFERROR(__xludf.DUMMYFUNCTION("""COMPUTED_VALUE"""),0)</f>
        <v>0</v>
      </c>
      <c r="P33" s="198">
        <f t="shared" ca="1" si="1"/>
        <v>7749</v>
      </c>
    </row>
    <row r="34" spans="1:16" ht="12.75">
      <c r="A34" s="199" t="str">
        <f ca="1">IFERROR(__xludf.DUMMYFUNCTION("""COMPUTED_VALUE"""),"Araguaina")</f>
        <v>Araguaina</v>
      </c>
      <c r="B34" s="199" t="str">
        <f ca="1">IFERROR(__xludf.DUMMYFUNCTION("""COMPUTED_VALUE"""),"Araguaina")</f>
        <v>Araguaina</v>
      </c>
      <c r="C34" s="145" t="str">
        <f ca="1">IFERROR(__xludf.DUMMYFUNCTION("""COMPUTED_VALUE"""),"A.A. ESCOLA ESTADUAL MAL. RONDON")</f>
        <v>A.A. ESCOLA ESTADUAL MAL. RONDON</v>
      </c>
      <c r="D34" s="200" t="str">
        <f ca="1">IFERROR(__xludf.DUMMYFUNCTION("""COMPUTED_VALUE"""),"01068349000128")</f>
        <v>01068349000128</v>
      </c>
      <c r="E34" s="201" t="str">
        <f ca="1">IFERROR(__xludf.DUMMYFUNCTION("""COMPUTED_VALUE"""),"001")</f>
        <v>001</v>
      </c>
      <c r="F34" s="201" t="str">
        <f ca="1">IFERROR(__xludf.DUMMYFUNCTION("""COMPUTED_VALUE"""),"0638")</f>
        <v>0638</v>
      </c>
      <c r="G34" s="202" t="str">
        <f ca="1">IFERROR(__xludf.DUMMYFUNCTION("""COMPUTED_VALUE"""),"046368X")</f>
        <v>046368X</v>
      </c>
      <c r="H34" s="202">
        <f ca="1">IFERROR(__xludf.DUMMYFUNCTION("""COMPUTED_VALUE"""),0)</f>
        <v>0</v>
      </c>
      <c r="I34" s="202">
        <f ca="1">IFERROR(__xludf.DUMMYFUNCTION("""COMPUTED_VALUE"""),0)</f>
        <v>0</v>
      </c>
      <c r="J34" s="202">
        <f ca="1">IFERROR(__xludf.DUMMYFUNCTION("""COMPUTED_VALUE"""),10521)</f>
        <v>10521</v>
      </c>
      <c r="K34" s="202">
        <f ca="1">IFERROR(__xludf.DUMMYFUNCTION("""COMPUTED_VALUE"""),0)</f>
        <v>0</v>
      </c>
      <c r="L34" s="202">
        <f ca="1">IFERROR(__xludf.DUMMYFUNCTION("""COMPUTED_VALUE"""),0)</f>
        <v>0</v>
      </c>
      <c r="M34" s="202">
        <f ca="1">IFERROR(__xludf.DUMMYFUNCTION("""COMPUTED_VALUE"""),336)</f>
        <v>336</v>
      </c>
      <c r="N34" s="202">
        <f ca="1">IFERROR(__xludf.DUMMYFUNCTION("""COMPUTED_VALUE"""),0)</f>
        <v>0</v>
      </c>
      <c r="O34" s="202">
        <f ca="1">IFERROR(__xludf.DUMMYFUNCTION("""COMPUTED_VALUE"""),3738)</f>
        <v>3738</v>
      </c>
      <c r="P34" s="202">
        <f t="shared" ca="1" si="1"/>
        <v>14595</v>
      </c>
    </row>
    <row r="35" spans="1:16" ht="12.75">
      <c r="A35" s="194" t="str">
        <f ca="1">IFERROR(__xludf.DUMMYFUNCTION("""COMPUTED_VALUE"""),"Araguaina")</f>
        <v>Araguaina</v>
      </c>
      <c r="B35" s="194" t="str">
        <f ca="1">IFERROR(__xludf.DUMMYFUNCTION("""COMPUTED_VALUE"""),"Araguaina")</f>
        <v>Araguaina</v>
      </c>
      <c r="C35" s="195" t="str">
        <f ca="1">IFERROR(__xludf.DUMMYFUNCTION("""COMPUTED_VALUE"""),"A. DE A.DA ESCOLA ESTADUAL MODELO")</f>
        <v>A. DE A.DA ESCOLA ESTADUAL MODELO</v>
      </c>
      <c r="D35" s="196" t="str">
        <f ca="1">IFERROR(__xludf.DUMMYFUNCTION("""COMPUTED_VALUE"""),"01133696000197")</f>
        <v>01133696000197</v>
      </c>
      <c r="E35" s="197" t="str">
        <f ca="1">IFERROR(__xludf.DUMMYFUNCTION("""COMPUTED_VALUE"""),"001")</f>
        <v>001</v>
      </c>
      <c r="F35" s="197" t="str">
        <f ca="1">IFERROR(__xludf.DUMMYFUNCTION("""COMPUTED_VALUE"""),"0638")</f>
        <v>0638</v>
      </c>
      <c r="G35" s="198" t="str">
        <f ca="1">IFERROR(__xludf.DUMMYFUNCTION("""COMPUTED_VALUE"""),"484520")</f>
        <v>484520</v>
      </c>
      <c r="H35" s="198">
        <f ca="1">IFERROR(__xludf.DUMMYFUNCTION("""COMPUTED_VALUE"""),0)</f>
        <v>0</v>
      </c>
      <c r="I35" s="198">
        <f ca="1">IFERROR(__xludf.DUMMYFUNCTION("""COMPUTED_VALUE"""),0)</f>
        <v>0</v>
      </c>
      <c r="J35" s="198">
        <f ca="1">IFERROR(__xludf.DUMMYFUNCTION("""COMPUTED_VALUE"""),10017)</f>
        <v>10017</v>
      </c>
      <c r="K35" s="198">
        <f ca="1">IFERROR(__xludf.DUMMYFUNCTION("""COMPUTED_VALUE"""),0)</f>
        <v>0</v>
      </c>
      <c r="L35" s="198">
        <f ca="1">IFERROR(__xludf.DUMMYFUNCTION("""COMPUTED_VALUE"""),0)</f>
        <v>0</v>
      </c>
      <c r="M35" s="198">
        <f ca="1">IFERROR(__xludf.DUMMYFUNCTION("""COMPUTED_VALUE"""),483)</f>
        <v>483</v>
      </c>
      <c r="N35" s="198">
        <f ca="1">IFERROR(__xludf.DUMMYFUNCTION("""COMPUTED_VALUE"""),0)</f>
        <v>0</v>
      </c>
      <c r="O35" s="198">
        <f ca="1">IFERROR(__xludf.DUMMYFUNCTION("""COMPUTED_VALUE"""),0)</f>
        <v>0</v>
      </c>
      <c r="P35" s="198">
        <f t="shared" ca="1" si="1"/>
        <v>10500</v>
      </c>
    </row>
    <row r="36" spans="1:16" ht="12.75">
      <c r="A36" s="199" t="str">
        <f ca="1">IFERROR(__xludf.DUMMYFUNCTION("""COMPUTED_VALUE"""),"Araguaina")</f>
        <v>Araguaina</v>
      </c>
      <c r="B36" s="199" t="str">
        <f ca="1">IFERROR(__xludf.DUMMYFUNCTION("""COMPUTED_VALUE"""),"Araguaina")</f>
        <v>Araguaina</v>
      </c>
      <c r="C36" s="145" t="str">
        <f ca="1">IFERROR(__xludf.DUMMYFUNCTION("""COMPUTED_VALUE"""),"A.A. ESC. E.NORTE GOIANO DE ARAGUAINA")</f>
        <v>A.A. ESC. E.NORTE GOIANO DE ARAGUAINA</v>
      </c>
      <c r="D36" s="200" t="str">
        <f ca="1">IFERROR(__xludf.DUMMYFUNCTION("""COMPUTED_VALUE"""),"01195483000190")</f>
        <v>01195483000190</v>
      </c>
      <c r="E36" s="201" t="str">
        <f ca="1">IFERROR(__xludf.DUMMYFUNCTION("""COMPUTED_VALUE"""),"001")</f>
        <v>001</v>
      </c>
      <c r="F36" s="201" t="str">
        <f ca="1">IFERROR(__xludf.DUMMYFUNCTION("""COMPUTED_VALUE"""),"0638")</f>
        <v>0638</v>
      </c>
      <c r="G36" s="202" t="str">
        <f ca="1">IFERROR(__xludf.DUMMYFUNCTION("""COMPUTED_VALUE"""),"0464724")</f>
        <v>0464724</v>
      </c>
      <c r="H36" s="202">
        <f ca="1">IFERROR(__xludf.DUMMYFUNCTION("""COMPUTED_VALUE"""),0)</f>
        <v>0</v>
      </c>
      <c r="I36" s="202">
        <f ca="1">IFERROR(__xludf.DUMMYFUNCTION("""COMPUTED_VALUE"""),0)</f>
        <v>0</v>
      </c>
      <c r="J36" s="202">
        <f ca="1">IFERROR(__xludf.DUMMYFUNCTION("""COMPUTED_VALUE"""),5649)</f>
        <v>5649</v>
      </c>
      <c r="K36" s="202">
        <f ca="1">IFERROR(__xludf.DUMMYFUNCTION("""COMPUTED_VALUE"""),0)</f>
        <v>0</v>
      </c>
      <c r="L36" s="202">
        <f ca="1">IFERROR(__xludf.DUMMYFUNCTION("""COMPUTED_VALUE"""),0)</f>
        <v>0</v>
      </c>
      <c r="M36" s="202">
        <f ca="1">IFERROR(__xludf.DUMMYFUNCTION("""COMPUTED_VALUE"""),336)</f>
        <v>336</v>
      </c>
      <c r="N36" s="202">
        <f ca="1">IFERROR(__xludf.DUMMYFUNCTION("""COMPUTED_VALUE"""),0)</f>
        <v>0</v>
      </c>
      <c r="O36" s="202">
        <f ca="1">IFERROR(__xludf.DUMMYFUNCTION("""COMPUTED_VALUE"""),0)</f>
        <v>0</v>
      </c>
      <c r="P36" s="202">
        <f t="shared" ca="1" si="1"/>
        <v>5985</v>
      </c>
    </row>
    <row r="37" spans="1:16" ht="12.75">
      <c r="A37" s="194" t="str">
        <f ca="1">IFERROR(__xludf.DUMMYFUNCTION("""COMPUTED_VALUE"""),"Araguaina")</f>
        <v>Araguaina</v>
      </c>
      <c r="B37" s="194" t="str">
        <f ca="1">IFERROR(__xludf.DUMMYFUNCTION("""COMPUTED_VALUE"""),"Araguaina")</f>
        <v>Araguaina</v>
      </c>
      <c r="C37" s="195" t="str">
        <f ca="1">IFERROR(__xludf.DUMMYFUNCTION("""COMPUTED_VALUE"""),"A.A. ESCOLA EST.PROF.ALFREDO NASSER")</f>
        <v>A.A. ESCOLA EST.PROF.ALFREDO NASSER</v>
      </c>
      <c r="D37" s="196" t="str">
        <f ca="1">IFERROR(__xludf.DUMMYFUNCTION("""COMPUTED_VALUE"""),"01223632000187")</f>
        <v>01223632000187</v>
      </c>
      <c r="E37" s="197" t="str">
        <f ca="1">IFERROR(__xludf.DUMMYFUNCTION("""COMPUTED_VALUE"""),"001")</f>
        <v>001</v>
      </c>
      <c r="F37" s="197" t="str">
        <f ca="1">IFERROR(__xludf.DUMMYFUNCTION("""COMPUTED_VALUE"""),"0638")</f>
        <v>0638</v>
      </c>
      <c r="G37" s="198" t="str">
        <f ca="1">IFERROR(__xludf.DUMMYFUNCTION("""COMPUTED_VALUE"""),"0465135")</f>
        <v>0465135</v>
      </c>
      <c r="H37" s="198">
        <f ca="1">IFERROR(__xludf.DUMMYFUNCTION("""COMPUTED_VALUE"""),0)</f>
        <v>0</v>
      </c>
      <c r="I37" s="198">
        <f ca="1">IFERROR(__xludf.DUMMYFUNCTION("""COMPUTED_VALUE"""),0)</f>
        <v>0</v>
      </c>
      <c r="J37" s="198">
        <f ca="1">IFERROR(__xludf.DUMMYFUNCTION("""COMPUTED_VALUE"""),15582)</f>
        <v>15582</v>
      </c>
      <c r="K37" s="198">
        <f ca="1">IFERROR(__xludf.DUMMYFUNCTION("""COMPUTED_VALUE"""),0)</f>
        <v>0</v>
      </c>
      <c r="L37" s="198">
        <f ca="1">IFERROR(__xludf.DUMMYFUNCTION("""COMPUTED_VALUE"""),0)</f>
        <v>0</v>
      </c>
      <c r="M37" s="198">
        <f ca="1">IFERROR(__xludf.DUMMYFUNCTION("""COMPUTED_VALUE"""),0)</f>
        <v>0</v>
      </c>
      <c r="N37" s="198">
        <f ca="1">IFERROR(__xludf.DUMMYFUNCTION("""COMPUTED_VALUE"""),0)</f>
        <v>0</v>
      </c>
      <c r="O37" s="198">
        <f ca="1">IFERROR(__xludf.DUMMYFUNCTION("""COMPUTED_VALUE"""),0)</f>
        <v>0</v>
      </c>
      <c r="P37" s="198">
        <f t="shared" ca="1" si="1"/>
        <v>15582</v>
      </c>
    </row>
    <row r="38" spans="1:16" ht="12.75">
      <c r="A38" s="199" t="str">
        <f ca="1">IFERROR(__xludf.DUMMYFUNCTION("""COMPUTED_VALUE"""),"Araguaina")</f>
        <v>Araguaina</v>
      </c>
      <c r="B38" s="199" t="str">
        <f ca="1">IFERROR(__xludf.DUMMYFUNCTION("""COMPUTED_VALUE"""),"Araguaina")</f>
        <v>Araguaina</v>
      </c>
      <c r="C38" s="145" t="str">
        <f ca="1">IFERROR(__xludf.DUMMYFUNCTION("""COMPUTED_VALUE"""),"A.A. ESC. EST. DE ARAGUAINA / PROF. JOÃO ALVES BATISTA")</f>
        <v>A.A. ESC. EST. DE ARAGUAINA / PROF. JOÃO ALVES BATISTA</v>
      </c>
      <c r="D38" s="200" t="str">
        <f ca="1">IFERROR(__xludf.DUMMYFUNCTION("""COMPUTED_VALUE"""),"25062332000121")</f>
        <v>25062332000121</v>
      </c>
      <c r="E38" s="201" t="str">
        <f ca="1">IFERROR(__xludf.DUMMYFUNCTION("""COMPUTED_VALUE"""),"001")</f>
        <v>001</v>
      </c>
      <c r="F38" s="201" t="str">
        <f ca="1">IFERROR(__xludf.DUMMYFUNCTION("""COMPUTED_VALUE"""),"0638")</f>
        <v>0638</v>
      </c>
      <c r="G38" s="202" t="str">
        <f ca="1">IFERROR(__xludf.DUMMYFUNCTION("""COMPUTED_VALUE"""),"463116")</f>
        <v>463116</v>
      </c>
      <c r="H38" s="202">
        <f ca="1">IFERROR(__xludf.DUMMYFUNCTION("""COMPUTED_VALUE"""),0)</f>
        <v>0</v>
      </c>
      <c r="I38" s="202">
        <f ca="1">IFERROR(__xludf.DUMMYFUNCTION("""COMPUTED_VALUE"""),0)</f>
        <v>0</v>
      </c>
      <c r="J38" s="202">
        <f ca="1">IFERROR(__xludf.DUMMYFUNCTION("""COMPUTED_VALUE"""),6300)</f>
        <v>6300</v>
      </c>
      <c r="K38" s="202">
        <f ca="1">IFERROR(__xludf.DUMMYFUNCTION("""COMPUTED_VALUE"""),0)</f>
        <v>0</v>
      </c>
      <c r="L38" s="202">
        <f ca="1">IFERROR(__xludf.DUMMYFUNCTION("""COMPUTED_VALUE"""),0)</f>
        <v>0</v>
      </c>
      <c r="M38" s="202">
        <f ca="1">IFERROR(__xludf.DUMMYFUNCTION("""COMPUTED_VALUE"""),84)</f>
        <v>84</v>
      </c>
      <c r="N38" s="202">
        <f ca="1">IFERROR(__xludf.DUMMYFUNCTION("""COMPUTED_VALUE"""),0)</f>
        <v>0</v>
      </c>
      <c r="O38" s="202">
        <f ca="1">IFERROR(__xludf.DUMMYFUNCTION("""COMPUTED_VALUE"""),0)</f>
        <v>0</v>
      </c>
      <c r="P38" s="202">
        <f t="shared" ca="1" si="1"/>
        <v>6384</v>
      </c>
    </row>
    <row r="39" spans="1:16" ht="12.75">
      <c r="A39" s="194" t="str">
        <f ca="1">IFERROR(__xludf.DUMMYFUNCTION("""COMPUTED_VALUE"""),"Araguaina")</f>
        <v>Araguaina</v>
      </c>
      <c r="B39" s="194" t="str">
        <f ca="1">IFERROR(__xludf.DUMMYFUNCTION("""COMPUTED_VALUE"""),"Araguaina")</f>
        <v>Araguaina</v>
      </c>
      <c r="C39" s="195" t="str">
        <f ca="1">IFERROR(__xludf.DUMMYFUNCTION("""COMPUTED_VALUE"""),"A.A. ESCOLA ESTADUAL VILA NOVA")</f>
        <v>A.A. ESCOLA ESTADUAL VILA NOVA</v>
      </c>
      <c r="D39" s="196" t="str">
        <f ca="1">IFERROR(__xludf.DUMMYFUNCTION("""COMPUTED_VALUE"""),"01071404000139")</f>
        <v>01071404000139</v>
      </c>
      <c r="E39" s="197" t="str">
        <f ca="1">IFERROR(__xludf.DUMMYFUNCTION("""COMPUTED_VALUE"""),"001")</f>
        <v>001</v>
      </c>
      <c r="F39" s="197" t="str">
        <f ca="1">IFERROR(__xludf.DUMMYFUNCTION("""COMPUTED_VALUE"""),"0638")</f>
        <v>0638</v>
      </c>
      <c r="G39" s="198" t="str">
        <f ca="1">IFERROR(__xludf.DUMMYFUNCTION("""COMPUTED_VALUE"""),"0463744")</f>
        <v>0463744</v>
      </c>
      <c r="H39" s="198">
        <f ca="1">IFERROR(__xludf.DUMMYFUNCTION("""COMPUTED_VALUE"""),0)</f>
        <v>0</v>
      </c>
      <c r="I39" s="198">
        <f ca="1">IFERROR(__xludf.DUMMYFUNCTION("""COMPUTED_VALUE"""),0)</f>
        <v>0</v>
      </c>
      <c r="J39" s="198">
        <f ca="1">IFERROR(__xludf.DUMMYFUNCTION("""COMPUTED_VALUE"""),0)</f>
        <v>0</v>
      </c>
      <c r="K39" s="198">
        <f ca="1">IFERROR(__xludf.DUMMYFUNCTION("""COMPUTED_VALUE"""),0)</f>
        <v>0</v>
      </c>
      <c r="L39" s="198">
        <f ca="1">IFERROR(__xludf.DUMMYFUNCTION("""COMPUTED_VALUE"""),0)</f>
        <v>0</v>
      </c>
      <c r="M39" s="198">
        <f ca="1">IFERROR(__xludf.DUMMYFUNCTION("""COMPUTED_VALUE"""),0)</f>
        <v>0</v>
      </c>
      <c r="N39" s="198">
        <f ca="1">IFERROR(__xludf.DUMMYFUNCTION("""COMPUTED_VALUE"""),0)</f>
        <v>0</v>
      </c>
      <c r="O39" s="198">
        <f ca="1">IFERROR(__xludf.DUMMYFUNCTION("""COMPUTED_VALUE"""),3003)</f>
        <v>3003</v>
      </c>
      <c r="P39" s="198">
        <f t="shared" ca="1" si="1"/>
        <v>3003</v>
      </c>
    </row>
    <row r="40" spans="1:16" ht="12.75">
      <c r="A40" s="199" t="str">
        <f ca="1">IFERROR(__xludf.DUMMYFUNCTION("""COMPUTED_VALUE"""),"Araguaina")</f>
        <v>Araguaina</v>
      </c>
      <c r="B40" s="199" t="str">
        <f ca="1">IFERROR(__xludf.DUMMYFUNCTION("""COMPUTED_VALUE"""),"Araguaina")</f>
        <v>Araguaina</v>
      </c>
      <c r="C40" s="145" t="str">
        <f ca="1">IFERROR(__xludf.DUMMYFUNCTION("""COMPUTED_VALUE"""),"A.A. ESC. EST.WELDER M.ABREU SALES")</f>
        <v>A.A. ESC. EST.WELDER M.ABREU SALES</v>
      </c>
      <c r="D40" s="200" t="str">
        <f ca="1">IFERROR(__xludf.DUMMYFUNCTION("""COMPUTED_VALUE"""),"01190182000173")</f>
        <v>01190182000173</v>
      </c>
      <c r="E40" s="201" t="str">
        <f ca="1">IFERROR(__xludf.DUMMYFUNCTION("""COMPUTED_VALUE"""),"001")</f>
        <v>001</v>
      </c>
      <c r="F40" s="201" t="str">
        <f ca="1">IFERROR(__xludf.DUMMYFUNCTION("""COMPUTED_VALUE"""),"0638")</f>
        <v>0638</v>
      </c>
      <c r="G40" s="202" t="str">
        <f ca="1">IFERROR(__xludf.DUMMYFUNCTION("""COMPUTED_VALUE"""),"0465054")</f>
        <v>0465054</v>
      </c>
      <c r="H40" s="202">
        <f ca="1">IFERROR(__xludf.DUMMYFUNCTION("""COMPUTED_VALUE"""),0)</f>
        <v>0</v>
      </c>
      <c r="I40" s="202">
        <f ca="1">IFERROR(__xludf.DUMMYFUNCTION("""COMPUTED_VALUE"""),0)</f>
        <v>0</v>
      </c>
      <c r="J40" s="202">
        <f ca="1">IFERROR(__xludf.DUMMYFUNCTION("""COMPUTED_VALUE"""),11193)</f>
        <v>11193</v>
      </c>
      <c r="K40" s="202">
        <f ca="1">IFERROR(__xludf.DUMMYFUNCTION("""COMPUTED_VALUE"""),0)</f>
        <v>0</v>
      </c>
      <c r="L40" s="202">
        <f ca="1">IFERROR(__xludf.DUMMYFUNCTION("""COMPUTED_VALUE"""),0)</f>
        <v>0</v>
      </c>
      <c r="M40" s="202">
        <f ca="1">IFERROR(__xludf.DUMMYFUNCTION("""COMPUTED_VALUE"""),357)</f>
        <v>357</v>
      </c>
      <c r="N40" s="202">
        <f ca="1">IFERROR(__xludf.DUMMYFUNCTION("""COMPUTED_VALUE"""),0)</f>
        <v>0</v>
      </c>
      <c r="O40" s="202">
        <f ca="1">IFERROR(__xludf.DUMMYFUNCTION("""COMPUTED_VALUE"""),0)</f>
        <v>0</v>
      </c>
      <c r="P40" s="202">
        <f t="shared" ca="1" si="1"/>
        <v>11550</v>
      </c>
    </row>
    <row r="41" spans="1:16" ht="12.75">
      <c r="A41" s="194" t="str">
        <f ca="1">IFERROR(__xludf.DUMMYFUNCTION("""COMPUTED_VALUE"""),"Araguaina")</f>
        <v>Araguaina</v>
      </c>
      <c r="B41" s="194" t="str">
        <f ca="1">IFERROR(__xludf.DUMMYFUNCTION("""COMPUTED_VALUE"""),"Araguaina")</f>
        <v>Araguaina</v>
      </c>
      <c r="C41" s="195" t="str">
        <f ca="1">IFERROR(__xludf.DUMMYFUNCTION("""COMPUTED_VALUE"""),"A. DE AP. DA E.PAROQUIAL LUIZ AUGUSTO")</f>
        <v>A. DE AP. DA E.PAROQUIAL LUIZ AUGUSTO</v>
      </c>
      <c r="D41" s="196" t="str">
        <f ca="1">IFERROR(__xludf.DUMMYFUNCTION("""COMPUTED_VALUE"""),"01912262000195")</f>
        <v>01912262000195</v>
      </c>
      <c r="E41" s="197" t="str">
        <f ca="1">IFERROR(__xludf.DUMMYFUNCTION("""COMPUTED_VALUE"""),"001")</f>
        <v>001</v>
      </c>
      <c r="F41" s="197" t="str">
        <f ca="1">IFERROR(__xludf.DUMMYFUNCTION("""COMPUTED_VALUE"""),"0638")</f>
        <v>0638</v>
      </c>
      <c r="G41" s="198" t="str">
        <f ca="1">IFERROR(__xludf.DUMMYFUNCTION("""COMPUTED_VALUE"""),"486000")</f>
        <v>486000</v>
      </c>
      <c r="H41" s="198">
        <f ca="1">IFERROR(__xludf.DUMMYFUNCTION("""COMPUTED_VALUE"""),0)</f>
        <v>0</v>
      </c>
      <c r="I41" s="198">
        <f ca="1">IFERROR(__xludf.DUMMYFUNCTION("""COMPUTED_VALUE"""),0)</f>
        <v>0</v>
      </c>
      <c r="J41" s="198">
        <f ca="1">IFERROR(__xludf.DUMMYFUNCTION("""COMPUTED_VALUE"""),16716)</f>
        <v>16716</v>
      </c>
      <c r="K41" s="198">
        <f ca="1">IFERROR(__xludf.DUMMYFUNCTION("""COMPUTED_VALUE"""),0)</f>
        <v>0</v>
      </c>
      <c r="L41" s="198">
        <f ca="1">IFERROR(__xludf.DUMMYFUNCTION("""COMPUTED_VALUE"""),0)</f>
        <v>0</v>
      </c>
      <c r="M41" s="198">
        <f ca="1">IFERROR(__xludf.DUMMYFUNCTION("""COMPUTED_VALUE"""),420)</f>
        <v>420</v>
      </c>
      <c r="N41" s="198">
        <f ca="1">IFERROR(__xludf.DUMMYFUNCTION("""COMPUTED_VALUE"""),0)</f>
        <v>0</v>
      </c>
      <c r="O41" s="198">
        <f ca="1">IFERROR(__xludf.DUMMYFUNCTION("""COMPUTED_VALUE"""),0)</f>
        <v>0</v>
      </c>
      <c r="P41" s="198">
        <f t="shared" ca="1" si="1"/>
        <v>17136</v>
      </c>
    </row>
    <row r="42" spans="1:16" ht="12.75">
      <c r="A42" s="199" t="str">
        <f ca="1">IFERROR(__xludf.DUMMYFUNCTION("""COMPUTED_VALUE"""),"Araguaina")</f>
        <v>Araguaina</v>
      </c>
      <c r="B42" s="199" t="str">
        <f ca="1">IFERROR(__xludf.DUMMYFUNCTION("""COMPUTED_VALUE"""),"Araguana")</f>
        <v>Araguana</v>
      </c>
      <c r="C42" s="145" t="str">
        <f ca="1">IFERROR(__xludf.DUMMYFUNCTION("""COMPUTED_VALUE"""),"ASS. APOIO ESC. EST. MACHADO DE ASSIS")</f>
        <v>ASS. APOIO ESC. EST. MACHADO DE ASSIS</v>
      </c>
      <c r="D42" s="200" t="str">
        <f ca="1">IFERROR(__xludf.DUMMYFUNCTION("""COMPUTED_VALUE"""),"01243663000108")</f>
        <v>01243663000108</v>
      </c>
      <c r="E42" s="201" t="str">
        <f ca="1">IFERROR(__xludf.DUMMYFUNCTION("""COMPUTED_VALUE"""),"001")</f>
        <v>001</v>
      </c>
      <c r="F42" s="201" t="str">
        <f ca="1">IFERROR(__xludf.DUMMYFUNCTION("""COMPUTED_VALUE"""),"3773")</f>
        <v>3773</v>
      </c>
      <c r="G42" s="202" t="str">
        <f ca="1">IFERROR(__xludf.DUMMYFUNCTION("""COMPUTED_VALUE"""),"322091")</f>
        <v>322091</v>
      </c>
      <c r="H42" s="202">
        <f ca="1">IFERROR(__xludf.DUMMYFUNCTION("""COMPUTED_VALUE"""),0)</f>
        <v>0</v>
      </c>
      <c r="I42" s="202">
        <f ca="1">IFERROR(__xludf.DUMMYFUNCTION("""COMPUTED_VALUE"""),0)</f>
        <v>0</v>
      </c>
      <c r="J42" s="202">
        <f ca="1">IFERROR(__xludf.DUMMYFUNCTION("""COMPUTED_VALUE"""),4578)</f>
        <v>4578</v>
      </c>
      <c r="K42" s="202">
        <f ca="1">IFERROR(__xludf.DUMMYFUNCTION("""COMPUTED_VALUE"""),0)</f>
        <v>0</v>
      </c>
      <c r="L42" s="202">
        <f ca="1">IFERROR(__xludf.DUMMYFUNCTION("""COMPUTED_VALUE"""),0)</f>
        <v>0</v>
      </c>
      <c r="M42" s="202">
        <f ca="1">IFERROR(__xludf.DUMMYFUNCTION("""COMPUTED_VALUE"""),168)</f>
        <v>168</v>
      </c>
      <c r="N42" s="202">
        <f ca="1">IFERROR(__xludf.DUMMYFUNCTION("""COMPUTED_VALUE"""),4578)</f>
        <v>4578</v>
      </c>
      <c r="O42" s="202">
        <f ca="1">IFERROR(__xludf.DUMMYFUNCTION("""COMPUTED_VALUE"""),0)</f>
        <v>0</v>
      </c>
      <c r="P42" s="202">
        <f t="shared" ca="1" si="1"/>
        <v>9324</v>
      </c>
    </row>
    <row r="43" spans="1:16" ht="12.75">
      <c r="A43" s="194" t="str">
        <f ca="1">IFERROR(__xludf.DUMMYFUNCTION("""COMPUTED_VALUE"""),"Araguaina")</f>
        <v>Araguaina</v>
      </c>
      <c r="B43" s="194" t="str">
        <f ca="1">IFERROR(__xludf.DUMMYFUNCTION("""COMPUTED_VALUE"""),"Araguana")</f>
        <v>Araguana</v>
      </c>
      <c r="C43" s="195" t="str">
        <f ca="1">IFERROR(__xludf.DUMMYFUNCTION("""COMPUTED_VALUE"""),"A.A. ESC. EST. SAO PEDRO")</f>
        <v>A.A. ESC. EST. SAO PEDRO</v>
      </c>
      <c r="D43" s="196" t="str">
        <f ca="1">IFERROR(__xludf.DUMMYFUNCTION("""COMPUTED_VALUE"""),"01230353000140")</f>
        <v>01230353000140</v>
      </c>
      <c r="E43" s="197" t="str">
        <f ca="1">IFERROR(__xludf.DUMMYFUNCTION("""COMPUTED_VALUE"""),"001")</f>
        <v>001</v>
      </c>
      <c r="F43" s="197" t="str">
        <f ca="1">IFERROR(__xludf.DUMMYFUNCTION("""COMPUTED_VALUE"""),"0638")</f>
        <v>0638</v>
      </c>
      <c r="G43" s="198" t="str">
        <f ca="1">IFERROR(__xludf.DUMMYFUNCTION("""COMPUTED_VALUE"""),"73903")</f>
        <v>73903</v>
      </c>
      <c r="H43" s="198">
        <f ca="1">IFERROR(__xludf.DUMMYFUNCTION("""COMPUTED_VALUE"""),0)</f>
        <v>0</v>
      </c>
      <c r="I43" s="198">
        <f ca="1">IFERROR(__xludf.DUMMYFUNCTION("""COMPUTED_VALUE"""),0)</f>
        <v>0</v>
      </c>
      <c r="J43" s="198">
        <f ca="1">IFERROR(__xludf.DUMMYFUNCTION("""COMPUTED_VALUE"""),1512)</f>
        <v>1512</v>
      </c>
      <c r="K43" s="198">
        <f ca="1">IFERROR(__xludf.DUMMYFUNCTION("""COMPUTED_VALUE"""),0)</f>
        <v>0</v>
      </c>
      <c r="L43" s="198">
        <f ca="1">IFERROR(__xludf.DUMMYFUNCTION("""COMPUTED_VALUE"""),0)</f>
        <v>0</v>
      </c>
      <c r="M43" s="198">
        <f ca="1">IFERROR(__xludf.DUMMYFUNCTION("""COMPUTED_VALUE"""),0)</f>
        <v>0</v>
      </c>
      <c r="N43" s="198">
        <f ca="1">IFERROR(__xludf.DUMMYFUNCTION("""COMPUTED_VALUE"""),1281)</f>
        <v>1281</v>
      </c>
      <c r="O43" s="198">
        <f ca="1">IFERROR(__xludf.DUMMYFUNCTION("""COMPUTED_VALUE"""),0)</f>
        <v>0</v>
      </c>
      <c r="P43" s="198">
        <f t="shared" ca="1" si="1"/>
        <v>2793</v>
      </c>
    </row>
    <row r="44" spans="1:16" ht="12.75">
      <c r="A44" s="199" t="str">
        <f ca="1">IFERROR(__xludf.DUMMYFUNCTION("""COMPUTED_VALUE"""),"Araguaina")</f>
        <v>Araguaina</v>
      </c>
      <c r="B44" s="199" t="str">
        <f ca="1">IFERROR(__xludf.DUMMYFUNCTION("""COMPUTED_VALUE"""),"Babaculandia")</f>
        <v>Babaculandia</v>
      </c>
      <c r="C44" s="145" t="str">
        <f ca="1">IFERROR(__xludf.DUMMYFUNCTION("""COMPUTED_VALUE"""),"A.PAIS E M.C.E.LEOPOLDO DE BULHOES")</f>
        <v>A.PAIS E M.C.E.LEOPOLDO DE BULHOES</v>
      </c>
      <c r="D44" s="200" t="str">
        <f ca="1">IFERROR(__xludf.DUMMYFUNCTION("""COMPUTED_VALUE"""),"01146116000104")</f>
        <v>01146116000104</v>
      </c>
      <c r="E44" s="201" t="str">
        <f ca="1">IFERROR(__xludf.DUMMYFUNCTION("""COMPUTED_VALUE"""),"001")</f>
        <v>001</v>
      </c>
      <c r="F44" s="201" t="str">
        <f ca="1">IFERROR(__xludf.DUMMYFUNCTION("""COMPUTED_VALUE"""),"0638")</f>
        <v>0638</v>
      </c>
      <c r="G44" s="202" t="str">
        <f ca="1">IFERROR(__xludf.DUMMYFUNCTION("""COMPUTED_VALUE"""),"465232")</f>
        <v>465232</v>
      </c>
      <c r="H44" s="202">
        <f ca="1">IFERROR(__xludf.DUMMYFUNCTION("""COMPUTED_VALUE"""),0)</f>
        <v>0</v>
      </c>
      <c r="I44" s="202">
        <f ca="1">IFERROR(__xludf.DUMMYFUNCTION("""COMPUTED_VALUE"""),0)</f>
        <v>0</v>
      </c>
      <c r="J44" s="202">
        <f ca="1">IFERROR(__xludf.DUMMYFUNCTION("""COMPUTED_VALUE"""),2772)</f>
        <v>2772</v>
      </c>
      <c r="K44" s="202">
        <f ca="1">IFERROR(__xludf.DUMMYFUNCTION("""COMPUTED_VALUE"""),0)</f>
        <v>0</v>
      </c>
      <c r="L44" s="202">
        <f ca="1">IFERROR(__xludf.DUMMYFUNCTION("""COMPUTED_VALUE"""),0)</f>
        <v>0</v>
      </c>
      <c r="M44" s="202">
        <f ca="1">IFERROR(__xludf.DUMMYFUNCTION("""COMPUTED_VALUE"""),273)</f>
        <v>273</v>
      </c>
      <c r="N44" s="202">
        <f ca="1">IFERROR(__xludf.DUMMYFUNCTION("""COMPUTED_VALUE"""),4977)</f>
        <v>4977</v>
      </c>
      <c r="O44" s="202">
        <f ca="1">IFERROR(__xludf.DUMMYFUNCTION("""COMPUTED_VALUE"""),0)</f>
        <v>0</v>
      </c>
      <c r="P44" s="202">
        <f t="shared" ca="1" si="1"/>
        <v>8022</v>
      </c>
    </row>
    <row r="45" spans="1:16" ht="12.75">
      <c r="A45" s="194" t="str">
        <f ca="1">IFERROR(__xludf.DUMMYFUNCTION("""COMPUTED_VALUE"""),"Araguaina")</f>
        <v>Araguaina</v>
      </c>
      <c r="B45" s="194" t="str">
        <f ca="1">IFERROR(__xludf.DUMMYFUNCTION("""COMPUTED_VALUE"""),"Babaculandia")</f>
        <v>Babaculandia</v>
      </c>
      <c r="C45" s="195" t="str">
        <f ca="1">IFERROR(__xludf.DUMMYFUNCTION("""COMPUTED_VALUE"""),"A.A. ESCOLA ESTADUAL RUI BARBOSA")</f>
        <v>A.A. ESCOLA ESTADUAL RUI BARBOSA</v>
      </c>
      <c r="D45" s="196" t="str">
        <f ca="1">IFERROR(__xludf.DUMMYFUNCTION("""COMPUTED_VALUE"""),"01181184000104")</f>
        <v>01181184000104</v>
      </c>
      <c r="E45" s="197" t="str">
        <f ca="1">IFERROR(__xludf.DUMMYFUNCTION("""COMPUTED_VALUE"""),"001")</f>
        <v>001</v>
      </c>
      <c r="F45" s="197" t="str">
        <f ca="1">IFERROR(__xludf.DUMMYFUNCTION("""COMPUTED_VALUE"""),"0638")</f>
        <v>0638</v>
      </c>
      <c r="G45" s="198" t="str">
        <f ca="1">IFERROR(__xludf.DUMMYFUNCTION("""COMPUTED_VALUE"""),"477117")</f>
        <v>477117</v>
      </c>
      <c r="H45" s="198">
        <f ca="1">IFERROR(__xludf.DUMMYFUNCTION("""COMPUTED_VALUE"""),0)</f>
        <v>0</v>
      </c>
      <c r="I45" s="198">
        <f ca="1">IFERROR(__xludf.DUMMYFUNCTION("""COMPUTED_VALUE"""),0)</f>
        <v>0</v>
      </c>
      <c r="J45" s="198">
        <f ca="1">IFERROR(__xludf.DUMMYFUNCTION("""COMPUTED_VALUE"""),3444)</f>
        <v>3444</v>
      </c>
      <c r="K45" s="198">
        <f ca="1">IFERROR(__xludf.DUMMYFUNCTION("""COMPUTED_VALUE"""),0)</f>
        <v>0</v>
      </c>
      <c r="L45" s="198">
        <f ca="1">IFERROR(__xludf.DUMMYFUNCTION("""COMPUTED_VALUE"""),0)</f>
        <v>0</v>
      </c>
      <c r="M45" s="198">
        <f ca="1">IFERROR(__xludf.DUMMYFUNCTION("""COMPUTED_VALUE"""),378)</f>
        <v>378</v>
      </c>
      <c r="N45" s="198">
        <f ca="1">IFERROR(__xludf.DUMMYFUNCTION("""COMPUTED_VALUE"""),2184)</f>
        <v>2184</v>
      </c>
      <c r="O45" s="198">
        <f ca="1">IFERROR(__xludf.DUMMYFUNCTION("""COMPUTED_VALUE"""),0)</f>
        <v>0</v>
      </c>
      <c r="P45" s="198">
        <f t="shared" ca="1" si="1"/>
        <v>6006</v>
      </c>
    </row>
    <row r="46" spans="1:16" ht="12.75">
      <c r="A46" s="199" t="str">
        <f ca="1">IFERROR(__xludf.DUMMYFUNCTION("""COMPUTED_VALUE"""),"Araguaina")</f>
        <v>Araguaina</v>
      </c>
      <c r="B46" s="199" t="str">
        <f ca="1">IFERROR(__xludf.DUMMYFUNCTION("""COMPUTED_VALUE"""),"Barra do Ouro")</f>
        <v>Barra do Ouro</v>
      </c>
      <c r="C46" s="145" t="str">
        <f ca="1">IFERROR(__xludf.DUMMYFUNCTION("""COMPUTED_VALUE"""),"A.A. A ESCOLA ESTADUAL BREJAO")</f>
        <v>A.A. A ESCOLA ESTADUAL BREJAO</v>
      </c>
      <c r="D46" s="200" t="str">
        <f ca="1">IFERROR(__xludf.DUMMYFUNCTION("""COMPUTED_VALUE"""),"02392799000134")</f>
        <v>02392799000134</v>
      </c>
      <c r="E46" s="201" t="str">
        <f ca="1">IFERROR(__xludf.DUMMYFUNCTION("""COMPUTED_VALUE"""),"001")</f>
        <v>001</v>
      </c>
      <c r="F46" s="201" t="str">
        <f ca="1">IFERROR(__xludf.DUMMYFUNCTION("""COMPUTED_VALUE"""),"0638")</f>
        <v>0638</v>
      </c>
      <c r="G46" s="202" t="str">
        <f ca="1">IFERROR(__xludf.DUMMYFUNCTION("""COMPUTED_VALUE"""),"83615")</f>
        <v>83615</v>
      </c>
      <c r="H46" s="202">
        <f ca="1">IFERROR(__xludf.DUMMYFUNCTION("""COMPUTED_VALUE"""),0)</f>
        <v>0</v>
      </c>
      <c r="I46" s="202">
        <f ca="1">IFERROR(__xludf.DUMMYFUNCTION("""COMPUTED_VALUE"""),0)</f>
        <v>0</v>
      </c>
      <c r="J46" s="202">
        <f ca="1">IFERROR(__xludf.DUMMYFUNCTION("""COMPUTED_VALUE"""),2814)</f>
        <v>2814</v>
      </c>
      <c r="K46" s="202">
        <f ca="1">IFERROR(__xludf.DUMMYFUNCTION("""COMPUTED_VALUE"""),0)</f>
        <v>0</v>
      </c>
      <c r="L46" s="202">
        <f ca="1">IFERROR(__xludf.DUMMYFUNCTION("""COMPUTED_VALUE"""),0)</f>
        <v>0</v>
      </c>
      <c r="M46" s="202">
        <f ca="1">IFERROR(__xludf.DUMMYFUNCTION("""COMPUTED_VALUE"""),147)</f>
        <v>147</v>
      </c>
      <c r="N46" s="202">
        <f ca="1">IFERROR(__xludf.DUMMYFUNCTION("""COMPUTED_VALUE"""),1680)</f>
        <v>1680</v>
      </c>
      <c r="O46" s="202">
        <f ca="1">IFERROR(__xludf.DUMMYFUNCTION("""COMPUTED_VALUE"""),0)</f>
        <v>0</v>
      </c>
      <c r="P46" s="202">
        <f t="shared" ca="1" si="1"/>
        <v>4641</v>
      </c>
    </row>
    <row r="47" spans="1:16" ht="12.75">
      <c r="A47" s="194" t="str">
        <f ca="1">IFERROR(__xludf.DUMMYFUNCTION("""COMPUTED_VALUE"""),"Araguaina")</f>
        <v>Araguaina</v>
      </c>
      <c r="B47" s="194" t="str">
        <f ca="1">IFERROR(__xludf.DUMMYFUNCTION("""COMPUTED_VALUE"""),"Barra do Ouro")</f>
        <v>Barra do Ouro</v>
      </c>
      <c r="C47" s="195" t="str">
        <f ca="1">IFERROR(__xludf.DUMMYFUNCTION("""COMPUTED_VALUE"""),"A.COM. ESC. EST. BARRA DO OURO/PROF. VICENTE JOSÉ VIEIRA")</f>
        <v>A.COM. ESC. EST. BARRA DO OURO/PROF. VICENTE JOSÉ VIEIRA</v>
      </c>
      <c r="D47" s="196" t="str">
        <f ca="1">IFERROR(__xludf.DUMMYFUNCTION("""COMPUTED_VALUE"""),"01341481000161")</f>
        <v>01341481000161</v>
      </c>
      <c r="E47" s="197" t="str">
        <f ca="1">IFERROR(__xludf.DUMMYFUNCTION("""COMPUTED_VALUE"""),"001")</f>
        <v>001</v>
      </c>
      <c r="F47" s="197" t="str">
        <f ca="1">IFERROR(__xludf.DUMMYFUNCTION("""COMPUTED_VALUE"""),"0638")</f>
        <v>0638</v>
      </c>
      <c r="G47" s="198" t="str">
        <f ca="1">IFERROR(__xludf.DUMMYFUNCTION("""COMPUTED_VALUE"""),"0069973")</f>
        <v>0069973</v>
      </c>
      <c r="H47" s="198">
        <f ca="1">IFERROR(__xludf.DUMMYFUNCTION("""COMPUTED_VALUE"""),0)</f>
        <v>0</v>
      </c>
      <c r="I47" s="198">
        <f ca="1">IFERROR(__xludf.DUMMYFUNCTION("""COMPUTED_VALUE"""),0)</f>
        <v>0</v>
      </c>
      <c r="J47" s="198">
        <f ca="1">IFERROR(__xludf.DUMMYFUNCTION("""COMPUTED_VALUE"""),5292)</f>
        <v>5292</v>
      </c>
      <c r="K47" s="198">
        <f ca="1">IFERROR(__xludf.DUMMYFUNCTION("""COMPUTED_VALUE"""),0)</f>
        <v>0</v>
      </c>
      <c r="L47" s="198">
        <f ca="1">IFERROR(__xludf.DUMMYFUNCTION("""COMPUTED_VALUE"""),0)</f>
        <v>0</v>
      </c>
      <c r="M47" s="198">
        <f ca="1">IFERROR(__xludf.DUMMYFUNCTION("""COMPUTED_VALUE"""),0)</f>
        <v>0</v>
      </c>
      <c r="N47" s="198">
        <f ca="1">IFERROR(__xludf.DUMMYFUNCTION("""COMPUTED_VALUE"""),2940)</f>
        <v>2940</v>
      </c>
      <c r="O47" s="198">
        <f ca="1">IFERROR(__xludf.DUMMYFUNCTION("""COMPUTED_VALUE"""),0)</f>
        <v>0</v>
      </c>
      <c r="P47" s="198">
        <f t="shared" ca="1" si="1"/>
        <v>8232</v>
      </c>
    </row>
    <row r="48" spans="1:16" ht="12.75">
      <c r="A48" s="199" t="str">
        <f ca="1">IFERROR(__xludf.DUMMYFUNCTION("""COMPUTED_VALUE"""),"Araguaina")</f>
        <v>Araguaina</v>
      </c>
      <c r="B48" s="199" t="str">
        <f ca="1">IFERROR(__xludf.DUMMYFUNCTION("""COMPUTED_VALUE"""),"Campos Lindos")</f>
        <v>Campos Lindos</v>
      </c>
      <c r="C48" s="145" t="str">
        <f ca="1">IFERROR(__xludf.DUMMYFUNCTION("""COMPUTED_VALUE"""),"A.A. DA ESC. EST. MANOEL ALVES GRANDE")</f>
        <v>A.A. DA ESC. EST. MANOEL ALVES GRANDE</v>
      </c>
      <c r="D48" s="200" t="str">
        <f ca="1">IFERROR(__xludf.DUMMYFUNCTION("""COMPUTED_VALUE"""),"02199744000102")</f>
        <v>02199744000102</v>
      </c>
      <c r="E48" s="201" t="str">
        <f ca="1">IFERROR(__xludf.DUMMYFUNCTION("""COMPUTED_VALUE"""),"001")</f>
        <v>001</v>
      </c>
      <c r="F48" s="201" t="str">
        <f ca="1">IFERROR(__xludf.DUMMYFUNCTION("""COMPUTED_VALUE"""),"2064")</f>
        <v>2064</v>
      </c>
      <c r="G48" s="202" t="str">
        <f ca="1">IFERROR(__xludf.DUMMYFUNCTION("""COMPUTED_VALUE"""),"0130117")</f>
        <v>0130117</v>
      </c>
      <c r="H48" s="202">
        <f ca="1">IFERROR(__xludf.DUMMYFUNCTION("""COMPUTED_VALUE"""),0)</f>
        <v>0</v>
      </c>
      <c r="I48" s="202">
        <f ca="1">IFERROR(__xludf.DUMMYFUNCTION("""COMPUTED_VALUE"""),0)</f>
        <v>0</v>
      </c>
      <c r="J48" s="202">
        <f ca="1">IFERROR(__xludf.DUMMYFUNCTION("""COMPUTED_VALUE"""),3717)</f>
        <v>3717</v>
      </c>
      <c r="K48" s="202">
        <f ca="1">IFERROR(__xludf.DUMMYFUNCTION("""COMPUTED_VALUE"""),0)</f>
        <v>0</v>
      </c>
      <c r="L48" s="202">
        <f ca="1">IFERROR(__xludf.DUMMYFUNCTION("""COMPUTED_VALUE"""),0)</f>
        <v>0</v>
      </c>
      <c r="M48" s="202">
        <f ca="1">IFERROR(__xludf.DUMMYFUNCTION("""COMPUTED_VALUE"""),0)</f>
        <v>0</v>
      </c>
      <c r="N48" s="202">
        <f ca="1">IFERROR(__xludf.DUMMYFUNCTION("""COMPUTED_VALUE"""),9891)</f>
        <v>9891</v>
      </c>
      <c r="O48" s="202">
        <f ca="1">IFERROR(__xludf.DUMMYFUNCTION("""COMPUTED_VALUE"""),756)</f>
        <v>756</v>
      </c>
      <c r="P48" s="202">
        <f t="shared" ca="1" si="1"/>
        <v>14364</v>
      </c>
    </row>
    <row r="49" spans="1:16" ht="12.75">
      <c r="A49" s="194" t="str">
        <f ca="1">IFERROR(__xludf.DUMMYFUNCTION("""COMPUTED_VALUE"""),"Araguaina")</f>
        <v>Araguaina</v>
      </c>
      <c r="B49" s="194" t="str">
        <f ca="1">IFERROR(__xludf.DUMMYFUNCTION("""COMPUTED_VALUE"""),"Carmolandia")</f>
        <v>Carmolandia</v>
      </c>
      <c r="C49" s="195" t="str">
        <f ca="1">IFERROR(__xludf.DUMMYFUNCTION("""COMPUTED_VALUE"""),"A.A. E. EST. BARTOLOMEU BUENO DA SILVA")</f>
        <v>A.A. E. EST. BARTOLOMEU BUENO DA SILVA</v>
      </c>
      <c r="D49" s="196" t="str">
        <f ca="1">IFERROR(__xludf.DUMMYFUNCTION("""COMPUTED_VALUE"""),"01181172000171")</f>
        <v>01181172000171</v>
      </c>
      <c r="E49" s="197" t="str">
        <f ca="1">IFERROR(__xludf.DUMMYFUNCTION("""COMPUTED_VALUE"""),"001")</f>
        <v>001</v>
      </c>
      <c r="F49" s="197" t="str">
        <f ca="1">IFERROR(__xludf.DUMMYFUNCTION("""COMPUTED_VALUE"""),"0638")</f>
        <v>0638</v>
      </c>
      <c r="G49" s="198" t="str">
        <f ca="1">IFERROR(__xludf.DUMMYFUNCTION("""COMPUTED_VALUE"""),"0465038")</f>
        <v>0465038</v>
      </c>
      <c r="H49" s="198">
        <f ca="1">IFERROR(__xludf.DUMMYFUNCTION("""COMPUTED_VALUE"""),0)</f>
        <v>0</v>
      </c>
      <c r="I49" s="198">
        <f ca="1">IFERROR(__xludf.DUMMYFUNCTION("""COMPUTED_VALUE"""),0)</f>
        <v>0</v>
      </c>
      <c r="J49" s="198">
        <f ca="1">IFERROR(__xludf.DUMMYFUNCTION("""COMPUTED_VALUE"""),714)</f>
        <v>714</v>
      </c>
      <c r="K49" s="198">
        <f ca="1">IFERROR(__xludf.DUMMYFUNCTION("""COMPUTED_VALUE"""),0)</f>
        <v>0</v>
      </c>
      <c r="L49" s="198">
        <f ca="1">IFERROR(__xludf.DUMMYFUNCTION("""COMPUTED_VALUE"""),0)</f>
        <v>0</v>
      </c>
      <c r="M49" s="198">
        <f ca="1">IFERROR(__xludf.DUMMYFUNCTION("""COMPUTED_VALUE"""),0)</f>
        <v>0</v>
      </c>
      <c r="N49" s="198">
        <f ca="1">IFERROR(__xludf.DUMMYFUNCTION("""COMPUTED_VALUE"""),2079)</f>
        <v>2079</v>
      </c>
      <c r="O49" s="198">
        <f ca="1">IFERROR(__xludf.DUMMYFUNCTION("""COMPUTED_VALUE"""),525)</f>
        <v>525</v>
      </c>
      <c r="P49" s="198">
        <f t="shared" ca="1" si="1"/>
        <v>3318</v>
      </c>
    </row>
    <row r="50" spans="1:16" ht="12.75">
      <c r="A50" s="199" t="str">
        <f ca="1">IFERROR(__xludf.DUMMYFUNCTION("""COMPUTED_VALUE"""),"Araguaina")</f>
        <v>Araguaina</v>
      </c>
      <c r="B50" s="199" t="str">
        <f ca="1">IFERROR(__xludf.DUMMYFUNCTION("""COMPUTED_VALUE"""),"Filadelfia")</f>
        <v>Filadelfia</v>
      </c>
      <c r="C50" s="145" t="str">
        <f ca="1">IFERROR(__xludf.DUMMYFUNCTION("""COMPUTED_VALUE"""),"A.A. DO COL.MUNICIPAL DE FILADELFIA")</f>
        <v>A.A. DO COL.MUNICIPAL DE FILADELFIA</v>
      </c>
      <c r="D50" s="200" t="str">
        <f ca="1">IFERROR(__xludf.DUMMYFUNCTION("""COMPUTED_VALUE"""),"02189621000190")</f>
        <v>02189621000190</v>
      </c>
      <c r="E50" s="201" t="str">
        <f ca="1">IFERROR(__xludf.DUMMYFUNCTION("""COMPUTED_VALUE"""),"001")</f>
        <v>001</v>
      </c>
      <c r="F50" s="201" t="str">
        <f ca="1">IFERROR(__xludf.DUMMYFUNCTION("""COMPUTED_VALUE"""),"2064")</f>
        <v>2064</v>
      </c>
      <c r="G50" s="202" t="str">
        <f ca="1">IFERROR(__xludf.DUMMYFUNCTION("""COMPUTED_VALUE"""),"54127")</f>
        <v>54127</v>
      </c>
      <c r="H50" s="202">
        <f ca="1">IFERROR(__xludf.DUMMYFUNCTION("""COMPUTED_VALUE"""),0)</f>
        <v>0</v>
      </c>
      <c r="I50" s="202">
        <f ca="1">IFERROR(__xludf.DUMMYFUNCTION("""COMPUTED_VALUE"""),0)</f>
        <v>0</v>
      </c>
      <c r="J50" s="202">
        <f ca="1">IFERROR(__xludf.DUMMYFUNCTION("""COMPUTED_VALUE"""),0)</f>
        <v>0</v>
      </c>
      <c r="K50" s="202">
        <f ca="1">IFERROR(__xludf.DUMMYFUNCTION("""COMPUTED_VALUE"""),0)</f>
        <v>0</v>
      </c>
      <c r="L50" s="202">
        <f ca="1">IFERROR(__xludf.DUMMYFUNCTION("""COMPUTED_VALUE"""),0)</f>
        <v>0</v>
      </c>
      <c r="M50" s="202">
        <f ca="1">IFERROR(__xludf.DUMMYFUNCTION("""COMPUTED_VALUE"""),420)</f>
        <v>420</v>
      </c>
      <c r="N50" s="202">
        <f ca="1">IFERROR(__xludf.DUMMYFUNCTION("""COMPUTED_VALUE"""),4725)</f>
        <v>4725</v>
      </c>
      <c r="O50" s="202">
        <f ca="1">IFERROR(__xludf.DUMMYFUNCTION("""COMPUTED_VALUE"""),0)</f>
        <v>0</v>
      </c>
      <c r="P50" s="202">
        <f t="shared" ca="1" si="1"/>
        <v>5145</v>
      </c>
    </row>
    <row r="51" spans="1:16" ht="12.75">
      <c r="A51" s="194" t="str">
        <f ca="1">IFERROR(__xludf.DUMMYFUNCTION("""COMPUTED_VALUE"""),"Araguaina")</f>
        <v>Araguaina</v>
      </c>
      <c r="B51" s="194" t="str">
        <f ca="1">IFERROR(__xludf.DUMMYFUNCTION("""COMPUTED_VALUE"""),"Filadelfia")</f>
        <v>Filadelfia</v>
      </c>
      <c r="C51" s="195" t="str">
        <f ca="1">IFERROR(__xludf.DUMMYFUNCTION("""COMPUTED_VALUE"""),"A.P. E M. ESC. EST. ADEUVALDO O.MORAES")</f>
        <v>A.P. E M. ESC. EST. ADEUVALDO O.MORAES</v>
      </c>
      <c r="D51" s="196" t="str">
        <f ca="1">IFERROR(__xludf.DUMMYFUNCTION("""COMPUTED_VALUE"""),"01912087000136")</f>
        <v>01912087000136</v>
      </c>
      <c r="E51" s="197" t="str">
        <f ca="1">IFERROR(__xludf.DUMMYFUNCTION("""COMPUTED_VALUE"""),"001")</f>
        <v>001</v>
      </c>
      <c r="F51" s="197" t="str">
        <f ca="1">IFERROR(__xludf.DUMMYFUNCTION("""COMPUTED_VALUE"""),"2064")</f>
        <v>2064</v>
      </c>
      <c r="G51" s="198" t="str">
        <f ca="1">IFERROR(__xludf.DUMMYFUNCTION("""COMPUTED_VALUE"""),"127434")</f>
        <v>127434</v>
      </c>
      <c r="H51" s="198">
        <f ca="1">IFERROR(__xludf.DUMMYFUNCTION("""COMPUTED_VALUE"""),0)</f>
        <v>0</v>
      </c>
      <c r="I51" s="198">
        <f ca="1">IFERROR(__xludf.DUMMYFUNCTION("""COMPUTED_VALUE"""),0)</f>
        <v>0</v>
      </c>
      <c r="J51" s="198">
        <f ca="1">IFERROR(__xludf.DUMMYFUNCTION("""COMPUTED_VALUE"""),5796)</f>
        <v>5796</v>
      </c>
      <c r="K51" s="198">
        <f ca="1">IFERROR(__xludf.DUMMYFUNCTION("""COMPUTED_VALUE"""),0)</f>
        <v>0</v>
      </c>
      <c r="L51" s="198">
        <f ca="1">IFERROR(__xludf.DUMMYFUNCTION("""COMPUTED_VALUE"""),0)</f>
        <v>0</v>
      </c>
      <c r="M51" s="198">
        <f ca="1">IFERROR(__xludf.DUMMYFUNCTION("""COMPUTED_VALUE"""),609)</f>
        <v>609</v>
      </c>
      <c r="N51" s="198">
        <f ca="1">IFERROR(__xludf.DUMMYFUNCTION("""COMPUTED_VALUE"""),0)</f>
        <v>0</v>
      </c>
      <c r="O51" s="198">
        <f ca="1">IFERROR(__xludf.DUMMYFUNCTION("""COMPUTED_VALUE"""),0)</f>
        <v>0</v>
      </c>
      <c r="P51" s="198">
        <f t="shared" ca="1" si="1"/>
        <v>6405</v>
      </c>
    </row>
    <row r="52" spans="1:16" ht="12.75">
      <c r="A52" s="199" t="str">
        <f ca="1">IFERROR(__xludf.DUMMYFUNCTION("""COMPUTED_VALUE"""),"Araguaina")</f>
        <v>Araguaina</v>
      </c>
      <c r="B52" s="199" t="str">
        <f ca="1">IFERROR(__xludf.DUMMYFUNCTION("""COMPUTED_VALUE"""),"Filadelfia")</f>
        <v>Filadelfia</v>
      </c>
      <c r="C52" s="145" t="str">
        <f ca="1">IFERROR(__xludf.DUMMYFUNCTION("""COMPUTED_VALUE"""),"A.A. ESC EST PROFESSOR JOSÉ FRANCISCO DOS MONTES")</f>
        <v>A.A. ESC EST PROFESSOR JOSÉ FRANCISCO DOS MONTES</v>
      </c>
      <c r="D52" s="200" t="str">
        <f ca="1">IFERROR(__xludf.DUMMYFUNCTION("""COMPUTED_VALUE"""),"27853677000129")</f>
        <v>27853677000129</v>
      </c>
      <c r="E52" s="201" t="str">
        <f ca="1">IFERROR(__xludf.DUMMYFUNCTION("""COMPUTED_VALUE"""),"001")</f>
        <v>001</v>
      </c>
      <c r="F52" s="201" t="str">
        <f ca="1">IFERROR(__xludf.DUMMYFUNCTION("""COMPUTED_VALUE"""),"2064")</f>
        <v>2064</v>
      </c>
      <c r="G52" s="202" t="str">
        <f ca="1">IFERROR(__xludf.DUMMYFUNCTION("""COMPUTED_VALUE"""),"198315")</f>
        <v>198315</v>
      </c>
      <c r="H52" s="202">
        <f ca="1">IFERROR(__xludf.DUMMYFUNCTION("""COMPUTED_VALUE"""),0)</f>
        <v>0</v>
      </c>
      <c r="I52" s="202">
        <f ca="1">IFERROR(__xludf.DUMMYFUNCTION("""COMPUTED_VALUE"""),0)</f>
        <v>0</v>
      </c>
      <c r="J52" s="202">
        <f ca="1">IFERROR(__xludf.DUMMYFUNCTION("""COMPUTED_VALUE"""),1029)</f>
        <v>1029</v>
      </c>
      <c r="K52" s="202">
        <f ca="1">IFERROR(__xludf.DUMMYFUNCTION("""COMPUTED_VALUE"""),0)</f>
        <v>0</v>
      </c>
      <c r="L52" s="202">
        <f ca="1">IFERROR(__xludf.DUMMYFUNCTION("""COMPUTED_VALUE"""),0)</f>
        <v>0</v>
      </c>
      <c r="M52" s="202">
        <f ca="1">IFERROR(__xludf.DUMMYFUNCTION("""COMPUTED_VALUE"""),0)</f>
        <v>0</v>
      </c>
      <c r="N52" s="202">
        <f ca="1">IFERROR(__xludf.DUMMYFUNCTION("""COMPUTED_VALUE"""),1953)</f>
        <v>1953</v>
      </c>
      <c r="O52" s="202">
        <f ca="1">IFERROR(__xludf.DUMMYFUNCTION("""COMPUTED_VALUE"""),168)</f>
        <v>168</v>
      </c>
      <c r="P52" s="202">
        <f t="shared" ca="1" si="1"/>
        <v>3150</v>
      </c>
    </row>
    <row r="53" spans="1:16" ht="12.75">
      <c r="A53" s="194" t="str">
        <f ca="1">IFERROR(__xludf.DUMMYFUNCTION("""COMPUTED_VALUE"""),"Araguaina")</f>
        <v>Araguaina</v>
      </c>
      <c r="B53" s="194" t="str">
        <f ca="1">IFERROR(__xludf.DUMMYFUNCTION("""COMPUTED_VALUE"""),"Goiatins")</f>
        <v>Goiatins</v>
      </c>
      <c r="C53" s="195" t="str">
        <f ca="1">IFERROR(__xludf.DUMMYFUNCTION("""COMPUTED_VALUE"""),"ASS. COM.COL. EST. ADA ASSIS TEIXEIRA")</f>
        <v>ASS. COM.COL. EST. ADA ASSIS TEIXEIRA</v>
      </c>
      <c r="D53" s="196" t="str">
        <f ca="1">IFERROR(__xludf.DUMMYFUNCTION("""COMPUTED_VALUE"""),"01440731000110")</f>
        <v>01440731000110</v>
      </c>
      <c r="E53" s="197" t="str">
        <f ca="1">IFERROR(__xludf.DUMMYFUNCTION("""COMPUTED_VALUE"""),"001")</f>
        <v>001</v>
      </c>
      <c r="F53" s="197" t="str">
        <f ca="1">IFERROR(__xludf.DUMMYFUNCTION("""COMPUTED_VALUE"""),"2064")</f>
        <v>2064</v>
      </c>
      <c r="G53" s="198" t="str">
        <f ca="1">IFERROR(__xludf.DUMMYFUNCTION("""COMPUTED_VALUE"""),"0013323")</f>
        <v>0013323</v>
      </c>
      <c r="H53" s="198">
        <f ca="1">IFERROR(__xludf.DUMMYFUNCTION("""COMPUTED_VALUE"""),0)</f>
        <v>0</v>
      </c>
      <c r="I53" s="198">
        <f ca="1">IFERROR(__xludf.DUMMYFUNCTION("""COMPUTED_VALUE"""),0)</f>
        <v>0</v>
      </c>
      <c r="J53" s="198">
        <f ca="1">IFERROR(__xludf.DUMMYFUNCTION("""COMPUTED_VALUE"""),4347)</f>
        <v>4347</v>
      </c>
      <c r="K53" s="198">
        <f ca="1">IFERROR(__xludf.DUMMYFUNCTION("""COMPUTED_VALUE"""),0)</f>
        <v>0</v>
      </c>
      <c r="L53" s="198">
        <f ca="1">IFERROR(__xludf.DUMMYFUNCTION("""COMPUTED_VALUE"""),0)</f>
        <v>0</v>
      </c>
      <c r="M53" s="198">
        <f ca="1">IFERROR(__xludf.DUMMYFUNCTION("""COMPUTED_VALUE"""),0)</f>
        <v>0</v>
      </c>
      <c r="N53" s="198">
        <f ca="1">IFERROR(__xludf.DUMMYFUNCTION("""COMPUTED_VALUE"""),9576)</f>
        <v>9576</v>
      </c>
      <c r="O53" s="198">
        <f ca="1">IFERROR(__xludf.DUMMYFUNCTION("""COMPUTED_VALUE"""),0)</f>
        <v>0</v>
      </c>
      <c r="P53" s="198">
        <f t="shared" ca="1" si="1"/>
        <v>13923</v>
      </c>
    </row>
    <row r="54" spans="1:16" ht="12.75">
      <c r="A54" s="199" t="str">
        <f ca="1">IFERROR(__xludf.DUMMYFUNCTION("""COMPUTED_VALUE"""),"Araguaina")</f>
        <v>Araguaina</v>
      </c>
      <c r="B54" s="199" t="str">
        <f ca="1">IFERROR(__xludf.DUMMYFUNCTION("""COMPUTED_VALUE"""),"Muricilandia")</f>
        <v>Muricilandia</v>
      </c>
      <c r="C54" s="145" t="str">
        <f ca="1">IFERROR(__xludf.DUMMYFUNCTION("""COMPUTED_VALUE"""),"A.A. DA ESC. EST. MAL. COSTA E SILVA")</f>
        <v>A.A. DA ESC. EST. MAL. COSTA E SILVA</v>
      </c>
      <c r="D54" s="200" t="str">
        <f ca="1">IFERROR(__xludf.DUMMYFUNCTION("""COMPUTED_VALUE"""),"02032269000185")</f>
        <v>02032269000185</v>
      </c>
      <c r="E54" s="201" t="str">
        <f ca="1">IFERROR(__xludf.DUMMYFUNCTION("""COMPUTED_VALUE"""),"001")</f>
        <v>001</v>
      </c>
      <c r="F54" s="201" t="str">
        <f ca="1">IFERROR(__xludf.DUMMYFUNCTION("""COMPUTED_VALUE"""),"0638")</f>
        <v>0638</v>
      </c>
      <c r="G54" s="202" t="str">
        <f ca="1">IFERROR(__xludf.DUMMYFUNCTION("""COMPUTED_VALUE"""),"83550")</f>
        <v>83550</v>
      </c>
      <c r="H54" s="202">
        <f ca="1">IFERROR(__xludf.DUMMYFUNCTION("""COMPUTED_VALUE"""),0)</f>
        <v>0</v>
      </c>
      <c r="I54" s="202">
        <f ca="1">IFERROR(__xludf.DUMMYFUNCTION("""COMPUTED_VALUE"""),0)</f>
        <v>0</v>
      </c>
      <c r="J54" s="202">
        <f ca="1">IFERROR(__xludf.DUMMYFUNCTION("""COMPUTED_VALUE"""),0)</f>
        <v>0</v>
      </c>
      <c r="K54" s="202">
        <f ca="1">IFERROR(__xludf.DUMMYFUNCTION("""COMPUTED_VALUE"""),5229)</f>
        <v>5229</v>
      </c>
      <c r="L54" s="202">
        <f ca="1">IFERROR(__xludf.DUMMYFUNCTION("""COMPUTED_VALUE"""),0)</f>
        <v>0</v>
      </c>
      <c r="M54" s="202">
        <f ca="1">IFERROR(__xludf.DUMMYFUNCTION("""COMPUTED_VALUE"""),0)</f>
        <v>0</v>
      </c>
      <c r="N54" s="202">
        <f ca="1">IFERROR(__xludf.DUMMYFUNCTION("""COMPUTED_VALUE"""),0)</f>
        <v>0</v>
      </c>
      <c r="O54" s="202">
        <f ca="1">IFERROR(__xludf.DUMMYFUNCTION("""COMPUTED_VALUE"""),0)</f>
        <v>0</v>
      </c>
      <c r="P54" s="202">
        <f t="shared" ca="1" si="1"/>
        <v>5229</v>
      </c>
    </row>
    <row r="55" spans="1:16" ht="12.75">
      <c r="A55" s="194" t="str">
        <f ca="1">IFERROR(__xludf.DUMMYFUNCTION("""COMPUTED_VALUE"""),"Araguaina")</f>
        <v>Araguaina</v>
      </c>
      <c r="B55" s="194" t="str">
        <f ca="1">IFERROR(__xludf.DUMMYFUNCTION("""COMPUTED_VALUE"""),"Muricilandia")</f>
        <v>Muricilandia</v>
      </c>
      <c r="C55" s="195" t="str">
        <f ca="1">IFERROR(__xludf.DUMMYFUNCTION("""COMPUTED_VALUE"""),"A.COM. DE AP. COL. EST. DE MURICILANDIA")</f>
        <v>A.COM. DE AP. COL. EST. DE MURICILANDIA</v>
      </c>
      <c r="D55" s="196" t="str">
        <f ca="1">IFERROR(__xludf.DUMMYFUNCTION("""COMPUTED_VALUE"""),"01911084000188")</f>
        <v>01911084000188</v>
      </c>
      <c r="E55" s="197" t="str">
        <f ca="1">IFERROR(__xludf.DUMMYFUNCTION("""COMPUTED_VALUE"""),"001")</f>
        <v>001</v>
      </c>
      <c r="F55" s="197" t="str">
        <f ca="1">IFERROR(__xludf.DUMMYFUNCTION("""COMPUTED_VALUE"""),"0638")</f>
        <v>0638</v>
      </c>
      <c r="G55" s="198" t="str">
        <f ca="1">IFERROR(__xludf.DUMMYFUNCTION("""COMPUTED_VALUE"""),"8350X")</f>
        <v>8350X</v>
      </c>
      <c r="H55" s="198">
        <f ca="1">IFERROR(__xludf.DUMMYFUNCTION("""COMPUTED_VALUE"""),0)</f>
        <v>0</v>
      </c>
      <c r="I55" s="198">
        <f ca="1">IFERROR(__xludf.DUMMYFUNCTION("""COMPUTED_VALUE"""),0)</f>
        <v>0</v>
      </c>
      <c r="J55" s="198">
        <f ca="1">IFERROR(__xludf.DUMMYFUNCTION("""COMPUTED_VALUE"""),0)</f>
        <v>0</v>
      </c>
      <c r="K55" s="198">
        <f ca="1">IFERROR(__xludf.DUMMYFUNCTION("""COMPUTED_VALUE"""),2415)</f>
        <v>2415</v>
      </c>
      <c r="L55" s="198">
        <f ca="1">IFERROR(__xludf.DUMMYFUNCTION("""COMPUTED_VALUE"""),0)</f>
        <v>0</v>
      </c>
      <c r="M55" s="198">
        <f ca="1">IFERROR(__xludf.DUMMYFUNCTION("""COMPUTED_VALUE"""),273)</f>
        <v>273</v>
      </c>
      <c r="N55" s="198">
        <f ca="1">IFERROR(__xludf.DUMMYFUNCTION("""COMPUTED_VALUE"""),0)</f>
        <v>0</v>
      </c>
      <c r="O55" s="198">
        <f ca="1">IFERROR(__xludf.DUMMYFUNCTION("""COMPUTED_VALUE"""),0)</f>
        <v>0</v>
      </c>
      <c r="P55" s="198">
        <f t="shared" ca="1" si="1"/>
        <v>2688</v>
      </c>
    </row>
    <row r="56" spans="1:16" ht="12.75">
      <c r="A56" s="199" t="str">
        <f ca="1">IFERROR(__xludf.DUMMYFUNCTION("""COMPUTED_VALUE"""),"Araguaina")</f>
        <v>Araguaina</v>
      </c>
      <c r="B56" s="199" t="str">
        <f ca="1">IFERROR(__xludf.DUMMYFUNCTION("""COMPUTED_VALUE"""),"Nova Olinda")</f>
        <v>Nova Olinda</v>
      </c>
      <c r="C56" s="145" t="str">
        <f ca="1">IFERROR(__xludf.DUMMYFUNCTION("""COMPUTED_VALUE"""),"A.A. ESC. COL. E. HELIO DE SOUZA BUENO")</f>
        <v>A.A. ESC. COL. E. HELIO DE SOUZA BUENO</v>
      </c>
      <c r="D56" s="200" t="str">
        <f ca="1">IFERROR(__xludf.DUMMYFUNCTION("""COMPUTED_VALUE"""),"01186466000196")</f>
        <v>01186466000196</v>
      </c>
      <c r="E56" s="201" t="str">
        <f ca="1">IFERROR(__xludf.DUMMYFUNCTION("""COMPUTED_VALUE"""),"001")</f>
        <v>001</v>
      </c>
      <c r="F56" s="201" t="str">
        <f ca="1">IFERROR(__xludf.DUMMYFUNCTION("""COMPUTED_VALUE"""),"0638")</f>
        <v>0638</v>
      </c>
      <c r="G56" s="202" t="str">
        <f ca="1">IFERROR(__xludf.DUMMYFUNCTION("""COMPUTED_VALUE"""),"0462985")</f>
        <v>0462985</v>
      </c>
      <c r="H56" s="202">
        <f ca="1">IFERROR(__xludf.DUMMYFUNCTION("""COMPUTED_VALUE"""),0)</f>
        <v>0</v>
      </c>
      <c r="I56" s="202">
        <f ca="1">IFERROR(__xludf.DUMMYFUNCTION("""COMPUTED_VALUE"""),0)</f>
        <v>0</v>
      </c>
      <c r="J56" s="202">
        <f ca="1">IFERROR(__xludf.DUMMYFUNCTION("""COMPUTED_VALUE"""),6363)</f>
        <v>6363</v>
      </c>
      <c r="K56" s="202">
        <f ca="1">IFERROR(__xludf.DUMMYFUNCTION("""COMPUTED_VALUE"""),0)</f>
        <v>0</v>
      </c>
      <c r="L56" s="202">
        <f ca="1">IFERROR(__xludf.DUMMYFUNCTION("""COMPUTED_VALUE"""),0)</f>
        <v>0</v>
      </c>
      <c r="M56" s="202">
        <f ca="1">IFERROR(__xludf.DUMMYFUNCTION("""COMPUTED_VALUE"""),399)</f>
        <v>399</v>
      </c>
      <c r="N56" s="202">
        <f ca="1">IFERROR(__xludf.DUMMYFUNCTION("""COMPUTED_VALUE"""),8316)</f>
        <v>8316</v>
      </c>
      <c r="O56" s="202">
        <f ca="1">IFERROR(__xludf.DUMMYFUNCTION("""COMPUTED_VALUE"""),1176)</f>
        <v>1176</v>
      </c>
      <c r="P56" s="202">
        <f t="shared" ca="1" si="1"/>
        <v>16254</v>
      </c>
    </row>
    <row r="57" spans="1:16" ht="12.75">
      <c r="A57" s="194" t="str">
        <f ca="1">IFERROR(__xludf.DUMMYFUNCTION("""COMPUTED_VALUE"""),"Araguaina")</f>
        <v>Araguaina</v>
      </c>
      <c r="B57" s="194" t="str">
        <f ca="1">IFERROR(__xludf.DUMMYFUNCTION("""COMPUTED_VALUE"""),"Nova Olinda")</f>
        <v>Nova Olinda</v>
      </c>
      <c r="C57" s="195" t="str">
        <f ca="1">IFERROR(__xludf.DUMMYFUNCTION("""COMPUTED_VALUE"""),"ASSOCIAÇÃO DE APOIO A ESCOLA ESPECIAL RENASCER")</f>
        <v>ASSOCIAÇÃO DE APOIO A ESCOLA ESPECIAL RENASCER</v>
      </c>
      <c r="D57" s="196" t="str">
        <f ca="1">IFERROR(__xludf.DUMMYFUNCTION("""COMPUTED_VALUE"""),"07951646000101")</f>
        <v>07951646000101</v>
      </c>
      <c r="E57" s="197" t="str">
        <f ca="1">IFERROR(__xludf.DUMMYFUNCTION("""COMPUTED_VALUE"""),"001")</f>
        <v>001</v>
      </c>
      <c r="F57" s="197" t="str">
        <f ca="1">IFERROR(__xludf.DUMMYFUNCTION("""COMPUTED_VALUE"""),"0638")</f>
        <v>0638</v>
      </c>
      <c r="G57" s="198" t="str">
        <f ca="1">IFERROR(__xludf.DUMMYFUNCTION("""COMPUTED_VALUE"""),"541028")</f>
        <v>541028</v>
      </c>
      <c r="H57" s="198">
        <f ca="1">IFERROR(__xludf.DUMMYFUNCTION("""COMPUTED_VALUE"""),0)</f>
        <v>0</v>
      </c>
      <c r="I57" s="198">
        <f ca="1">IFERROR(__xludf.DUMMYFUNCTION("""COMPUTED_VALUE"""),0)</f>
        <v>0</v>
      </c>
      <c r="J57" s="198">
        <f ca="1">IFERROR(__xludf.DUMMYFUNCTION("""COMPUTED_VALUE"""),189)</f>
        <v>189</v>
      </c>
      <c r="K57" s="198">
        <f ca="1">IFERROR(__xludf.DUMMYFUNCTION("""COMPUTED_VALUE"""),0)</f>
        <v>0</v>
      </c>
      <c r="L57" s="198">
        <f ca="1">IFERROR(__xludf.DUMMYFUNCTION("""COMPUTED_VALUE"""),0)</f>
        <v>0</v>
      </c>
      <c r="M57" s="198">
        <f ca="1">IFERROR(__xludf.DUMMYFUNCTION("""COMPUTED_VALUE"""),1197)</f>
        <v>1197</v>
      </c>
      <c r="N57" s="198">
        <f ca="1">IFERROR(__xludf.DUMMYFUNCTION("""COMPUTED_VALUE"""),0)</f>
        <v>0</v>
      </c>
      <c r="O57" s="198">
        <f ca="1">IFERROR(__xludf.DUMMYFUNCTION("""COMPUTED_VALUE"""),1008)</f>
        <v>1008</v>
      </c>
      <c r="P57" s="198">
        <f t="shared" ca="1" si="1"/>
        <v>2394</v>
      </c>
    </row>
    <row r="58" spans="1:16" ht="12.75">
      <c r="A58" s="199" t="str">
        <f ca="1">IFERROR(__xludf.DUMMYFUNCTION("""COMPUTED_VALUE"""),"Araguaina")</f>
        <v>Araguaina</v>
      </c>
      <c r="B58" s="199" t="str">
        <f ca="1">IFERROR(__xludf.DUMMYFUNCTION("""COMPUTED_VALUE"""),"Nova Olinda")</f>
        <v>Nova Olinda</v>
      </c>
      <c r="C58" s="145" t="str">
        <f ca="1">IFERROR(__xludf.DUMMYFUNCTION("""COMPUTED_VALUE"""),"A.A. E. E. PROFA. HAMEDY CURY QUEIROZ")</f>
        <v>A.A. E. E. PROFA. HAMEDY CURY QUEIROZ</v>
      </c>
      <c r="D58" s="200" t="str">
        <f ca="1">IFERROR(__xludf.DUMMYFUNCTION("""COMPUTED_VALUE"""),"01431375000179")</f>
        <v>01431375000179</v>
      </c>
      <c r="E58" s="201" t="str">
        <f ca="1">IFERROR(__xludf.DUMMYFUNCTION("""COMPUTED_VALUE"""),"001")</f>
        <v>001</v>
      </c>
      <c r="F58" s="201" t="str">
        <f ca="1">IFERROR(__xludf.DUMMYFUNCTION("""COMPUTED_VALUE"""),"0638")</f>
        <v>0638</v>
      </c>
      <c r="G58" s="202" t="str">
        <f ca="1">IFERROR(__xludf.DUMMYFUNCTION("""COMPUTED_VALUE"""),"0468010")</f>
        <v>0468010</v>
      </c>
      <c r="H58" s="202">
        <f ca="1">IFERROR(__xludf.DUMMYFUNCTION("""COMPUTED_VALUE"""),0)</f>
        <v>0</v>
      </c>
      <c r="I58" s="202">
        <f ca="1">IFERROR(__xludf.DUMMYFUNCTION("""COMPUTED_VALUE"""),0)</f>
        <v>0</v>
      </c>
      <c r="J58" s="202">
        <f ca="1">IFERROR(__xludf.DUMMYFUNCTION("""COMPUTED_VALUE"""),8820)</f>
        <v>8820</v>
      </c>
      <c r="K58" s="202">
        <f ca="1">IFERROR(__xludf.DUMMYFUNCTION("""COMPUTED_VALUE"""),0)</f>
        <v>0</v>
      </c>
      <c r="L58" s="202">
        <f ca="1">IFERROR(__xludf.DUMMYFUNCTION("""COMPUTED_VALUE"""),0)</f>
        <v>0</v>
      </c>
      <c r="M58" s="202">
        <f ca="1">IFERROR(__xludf.DUMMYFUNCTION("""COMPUTED_VALUE"""),420)</f>
        <v>420</v>
      </c>
      <c r="N58" s="202">
        <f ca="1">IFERROR(__xludf.DUMMYFUNCTION("""COMPUTED_VALUE"""),0)</f>
        <v>0</v>
      </c>
      <c r="O58" s="202">
        <f ca="1">IFERROR(__xludf.DUMMYFUNCTION("""COMPUTED_VALUE"""),0)</f>
        <v>0</v>
      </c>
      <c r="P58" s="202">
        <f t="shared" ca="1" si="1"/>
        <v>9240</v>
      </c>
    </row>
    <row r="59" spans="1:16" ht="12.75">
      <c r="A59" s="194" t="str">
        <f ca="1">IFERROR(__xludf.DUMMYFUNCTION("""COMPUTED_VALUE"""),"Araguaina")</f>
        <v>Araguaina</v>
      </c>
      <c r="B59" s="194" t="str">
        <f ca="1">IFERROR(__xludf.DUMMYFUNCTION("""COMPUTED_VALUE"""),"Piraque")</f>
        <v>Piraque</v>
      </c>
      <c r="C59" s="195" t="str">
        <f ca="1">IFERROR(__xludf.DUMMYFUNCTION("""COMPUTED_VALUE"""),"A.A.  ESCOLA ESTADUAL SAO JOSE")</f>
        <v>A.A.  ESCOLA ESTADUAL SAO JOSE</v>
      </c>
      <c r="D59" s="196" t="str">
        <f ca="1">IFERROR(__xludf.DUMMYFUNCTION("""COMPUTED_VALUE"""),"01243654000109")</f>
        <v>01243654000109</v>
      </c>
      <c r="E59" s="197" t="str">
        <f ca="1">IFERROR(__xludf.DUMMYFUNCTION("""COMPUTED_VALUE"""),"001")</f>
        <v>001</v>
      </c>
      <c r="F59" s="197" t="str">
        <f ca="1">IFERROR(__xludf.DUMMYFUNCTION("""COMPUTED_VALUE"""),"0638")</f>
        <v>0638</v>
      </c>
      <c r="G59" s="198" t="str">
        <f ca="1">IFERROR(__xludf.DUMMYFUNCTION("""COMPUTED_VALUE"""),"465283")</f>
        <v>465283</v>
      </c>
      <c r="H59" s="198">
        <f ca="1">IFERROR(__xludf.DUMMYFUNCTION("""COMPUTED_VALUE"""),0)</f>
        <v>0</v>
      </c>
      <c r="I59" s="198">
        <f ca="1">IFERROR(__xludf.DUMMYFUNCTION("""COMPUTED_VALUE"""),0)</f>
        <v>0</v>
      </c>
      <c r="J59" s="198">
        <f ca="1">IFERROR(__xludf.DUMMYFUNCTION("""COMPUTED_VALUE"""),2688)</f>
        <v>2688</v>
      </c>
      <c r="K59" s="198">
        <f ca="1">IFERROR(__xludf.DUMMYFUNCTION("""COMPUTED_VALUE"""),0)</f>
        <v>0</v>
      </c>
      <c r="L59" s="198">
        <f ca="1">IFERROR(__xludf.DUMMYFUNCTION("""COMPUTED_VALUE"""),0)</f>
        <v>0</v>
      </c>
      <c r="M59" s="198">
        <f ca="1">IFERROR(__xludf.DUMMYFUNCTION("""COMPUTED_VALUE"""),0)</f>
        <v>0</v>
      </c>
      <c r="N59" s="198">
        <f ca="1">IFERROR(__xludf.DUMMYFUNCTION("""COMPUTED_VALUE"""),1890)</f>
        <v>1890</v>
      </c>
      <c r="O59" s="198">
        <f ca="1">IFERROR(__xludf.DUMMYFUNCTION("""COMPUTED_VALUE"""),0)</f>
        <v>0</v>
      </c>
      <c r="P59" s="198">
        <f t="shared" ca="1" si="1"/>
        <v>4578</v>
      </c>
    </row>
    <row r="60" spans="1:16" ht="12.75">
      <c r="A60" s="199" t="str">
        <f ca="1">IFERROR(__xludf.DUMMYFUNCTION("""COMPUTED_VALUE"""),"Araguaina")</f>
        <v>Araguaina</v>
      </c>
      <c r="B60" s="199" t="str">
        <f ca="1">IFERROR(__xludf.DUMMYFUNCTION("""COMPUTED_VALUE"""),"Riachinho")</f>
        <v>Riachinho</v>
      </c>
      <c r="C60" s="145" t="str">
        <f ca="1">IFERROR(__xludf.DUMMYFUNCTION("""COMPUTED_VALUE"""),"ASSOC. DE APOIO ESC. EST. JOAO XXIII")</f>
        <v>ASSOC. DE APOIO ESC. EST. JOAO XXIII</v>
      </c>
      <c r="D60" s="200" t="str">
        <f ca="1">IFERROR(__xludf.DUMMYFUNCTION("""COMPUTED_VALUE"""),"01136006000153")</f>
        <v>01136006000153</v>
      </c>
      <c r="E60" s="201" t="str">
        <f ca="1">IFERROR(__xludf.DUMMYFUNCTION("""COMPUTED_VALUE"""),"001")</f>
        <v>001</v>
      </c>
      <c r="F60" s="201" t="str">
        <f ca="1">IFERROR(__xludf.DUMMYFUNCTION("""COMPUTED_VALUE"""),"3973")</f>
        <v>3973</v>
      </c>
      <c r="G60" s="202" t="str">
        <f ca="1">IFERROR(__xludf.DUMMYFUNCTION("""COMPUTED_VALUE"""),"51969")</f>
        <v>51969</v>
      </c>
      <c r="H60" s="202">
        <f ca="1">IFERROR(__xludf.DUMMYFUNCTION("""COMPUTED_VALUE"""),0)</f>
        <v>0</v>
      </c>
      <c r="I60" s="202">
        <f ca="1">IFERROR(__xludf.DUMMYFUNCTION("""COMPUTED_VALUE"""),0)</f>
        <v>0</v>
      </c>
      <c r="J60" s="202">
        <f ca="1">IFERROR(__xludf.DUMMYFUNCTION("""COMPUTED_VALUE"""),0)</f>
        <v>0</v>
      </c>
      <c r="K60" s="202">
        <f ca="1">IFERROR(__xludf.DUMMYFUNCTION("""COMPUTED_VALUE"""),0)</f>
        <v>0</v>
      </c>
      <c r="L60" s="202">
        <f ca="1">IFERROR(__xludf.DUMMYFUNCTION("""COMPUTED_VALUE"""),0)</f>
        <v>0</v>
      </c>
      <c r="M60" s="202">
        <f ca="1">IFERROR(__xludf.DUMMYFUNCTION("""COMPUTED_VALUE"""),105)</f>
        <v>105</v>
      </c>
      <c r="N60" s="202">
        <f ca="1">IFERROR(__xludf.DUMMYFUNCTION("""COMPUTED_VALUE"""),4158)</f>
        <v>4158</v>
      </c>
      <c r="O60" s="202">
        <f ca="1">IFERROR(__xludf.DUMMYFUNCTION("""COMPUTED_VALUE"""),0)</f>
        <v>0</v>
      </c>
      <c r="P60" s="202">
        <f t="shared" ca="1" si="1"/>
        <v>4263</v>
      </c>
    </row>
    <row r="61" spans="1:16" ht="12.75">
      <c r="A61" s="194" t="str">
        <f ca="1">IFERROR(__xludf.DUMMYFUNCTION("""COMPUTED_VALUE"""),"Araguaina")</f>
        <v>Araguaina</v>
      </c>
      <c r="B61" s="194" t="str">
        <f ca="1">IFERROR(__xludf.DUMMYFUNCTION("""COMPUTED_VALUE"""),"Santa Fe do Araguaia")</f>
        <v>Santa Fe do Araguaia</v>
      </c>
      <c r="C61" s="195" t="str">
        <f ca="1">IFERROR(__xludf.DUMMYFUNCTION("""COMPUTED_VALUE"""),"A.A. ESC. EST. ANAIDES BRITO MIRANDA")</f>
        <v>A.A. ESC. EST. ANAIDES BRITO MIRANDA</v>
      </c>
      <c r="D61" s="196" t="str">
        <f ca="1">IFERROR(__xludf.DUMMYFUNCTION("""COMPUTED_VALUE"""),"01919025000156")</f>
        <v>01919025000156</v>
      </c>
      <c r="E61" s="197" t="str">
        <f ca="1">IFERROR(__xludf.DUMMYFUNCTION("""COMPUTED_VALUE"""),"001")</f>
        <v>001</v>
      </c>
      <c r="F61" s="197" t="str">
        <f ca="1">IFERROR(__xludf.DUMMYFUNCTION("""COMPUTED_VALUE"""),"4791")</f>
        <v>4791</v>
      </c>
      <c r="G61" s="198" t="str">
        <f ca="1">IFERROR(__xludf.DUMMYFUNCTION("""COMPUTED_VALUE"""),"54682")</f>
        <v>54682</v>
      </c>
      <c r="H61" s="198">
        <f ca="1">IFERROR(__xludf.DUMMYFUNCTION("""COMPUTED_VALUE"""),0)</f>
        <v>0</v>
      </c>
      <c r="I61" s="198">
        <f ca="1">IFERROR(__xludf.DUMMYFUNCTION("""COMPUTED_VALUE"""),0)</f>
        <v>0</v>
      </c>
      <c r="J61" s="198">
        <f ca="1">IFERROR(__xludf.DUMMYFUNCTION("""COMPUTED_VALUE"""),0)</f>
        <v>0</v>
      </c>
      <c r="K61" s="198">
        <f ca="1">IFERROR(__xludf.DUMMYFUNCTION("""COMPUTED_VALUE"""),0)</f>
        <v>0</v>
      </c>
      <c r="L61" s="198">
        <f ca="1">IFERROR(__xludf.DUMMYFUNCTION("""COMPUTED_VALUE"""),0)</f>
        <v>0</v>
      </c>
      <c r="M61" s="198">
        <f ca="1">IFERROR(__xludf.DUMMYFUNCTION("""COMPUTED_VALUE"""),0)</f>
        <v>0</v>
      </c>
      <c r="N61" s="198">
        <f ca="1">IFERROR(__xludf.DUMMYFUNCTION("""COMPUTED_VALUE"""),5187)</f>
        <v>5187</v>
      </c>
      <c r="O61" s="198">
        <f ca="1">IFERROR(__xludf.DUMMYFUNCTION("""COMPUTED_VALUE"""),0)</f>
        <v>0</v>
      </c>
      <c r="P61" s="198">
        <f t="shared" ca="1" si="1"/>
        <v>5187</v>
      </c>
    </row>
    <row r="62" spans="1:16" ht="12.75">
      <c r="A62" s="199" t="str">
        <f ca="1">IFERROR(__xludf.DUMMYFUNCTION("""COMPUTED_VALUE"""),"Araguaina")</f>
        <v>Araguaina</v>
      </c>
      <c r="B62" s="199" t="str">
        <f ca="1">IFERROR(__xludf.DUMMYFUNCTION("""COMPUTED_VALUE"""),"Santa Fe do Araguaia")</f>
        <v>Santa Fe do Araguaia</v>
      </c>
      <c r="C62" s="145" t="str">
        <f ca="1">IFERROR(__xludf.DUMMYFUNCTION("""COMPUTED_VALUE"""),"A. DE AP. DA ESCOLA EST. CASTRO ALVES")</f>
        <v>A. DE AP. DA ESCOLA EST. CASTRO ALVES</v>
      </c>
      <c r="D62" s="200" t="str">
        <f ca="1">IFERROR(__xludf.DUMMYFUNCTION("""COMPUTED_VALUE"""),"01673181000180")</f>
        <v>01673181000180</v>
      </c>
      <c r="E62" s="201" t="str">
        <f ca="1">IFERROR(__xludf.DUMMYFUNCTION("""COMPUTED_VALUE"""),"001")</f>
        <v>001</v>
      </c>
      <c r="F62" s="201" t="str">
        <f ca="1">IFERROR(__xludf.DUMMYFUNCTION("""COMPUTED_VALUE"""),"4791")</f>
        <v>4791</v>
      </c>
      <c r="G62" s="202" t="str">
        <f ca="1">IFERROR(__xludf.DUMMYFUNCTION("""COMPUTED_VALUE"""),"54739")</f>
        <v>54739</v>
      </c>
      <c r="H62" s="202">
        <f ca="1">IFERROR(__xludf.DUMMYFUNCTION("""COMPUTED_VALUE"""),0)</f>
        <v>0</v>
      </c>
      <c r="I62" s="202">
        <f ca="1">IFERROR(__xludf.DUMMYFUNCTION("""COMPUTED_VALUE"""),0)</f>
        <v>0</v>
      </c>
      <c r="J62" s="202">
        <f ca="1">IFERROR(__xludf.DUMMYFUNCTION("""COMPUTED_VALUE"""),8148)</f>
        <v>8148</v>
      </c>
      <c r="K62" s="202">
        <f ca="1">IFERROR(__xludf.DUMMYFUNCTION("""COMPUTED_VALUE"""),0)</f>
        <v>0</v>
      </c>
      <c r="L62" s="202">
        <f ca="1">IFERROR(__xludf.DUMMYFUNCTION("""COMPUTED_VALUE"""),0)</f>
        <v>0</v>
      </c>
      <c r="M62" s="202">
        <f ca="1">IFERROR(__xludf.DUMMYFUNCTION("""COMPUTED_VALUE"""),441)</f>
        <v>441</v>
      </c>
      <c r="N62" s="202">
        <f ca="1">IFERROR(__xludf.DUMMYFUNCTION("""COMPUTED_VALUE"""),1218)</f>
        <v>1218</v>
      </c>
      <c r="O62" s="202">
        <f ca="1">IFERROR(__xludf.DUMMYFUNCTION("""COMPUTED_VALUE"""),462)</f>
        <v>462</v>
      </c>
      <c r="P62" s="202">
        <f t="shared" ca="1" si="1"/>
        <v>10269</v>
      </c>
    </row>
    <row r="63" spans="1:16" ht="12.75">
      <c r="A63" s="194" t="str">
        <f ca="1">IFERROR(__xludf.DUMMYFUNCTION("""COMPUTED_VALUE"""),"Araguaina")</f>
        <v>Araguaina</v>
      </c>
      <c r="B63" s="194" t="str">
        <f ca="1">IFERROR(__xludf.DUMMYFUNCTION("""COMPUTED_VALUE"""),"Wanderlandia")</f>
        <v>Wanderlandia</v>
      </c>
      <c r="C63" s="195" t="str">
        <f ca="1">IFERROR(__xludf.DUMMYFUNCTION("""COMPUTED_VALUE"""),"A.A. COL. ESTADUAL JOSE LUIZ SIQUEIRA")</f>
        <v>A.A. COL. ESTADUAL JOSE LUIZ SIQUEIRA</v>
      </c>
      <c r="D63" s="196" t="str">
        <f ca="1">IFERROR(__xludf.DUMMYFUNCTION("""COMPUTED_VALUE"""),"01257082000117")</f>
        <v>01257082000117</v>
      </c>
      <c r="E63" s="197" t="str">
        <f ca="1">IFERROR(__xludf.DUMMYFUNCTION("""COMPUTED_VALUE"""),"001")</f>
        <v>001</v>
      </c>
      <c r="F63" s="197" t="str">
        <f ca="1">IFERROR(__xludf.DUMMYFUNCTION("""COMPUTED_VALUE"""),"0638")</f>
        <v>0638</v>
      </c>
      <c r="G63" s="198" t="str">
        <f ca="1">IFERROR(__xludf.DUMMYFUNCTION("""COMPUTED_VALUE"""),"0465291")</f>
        <v>0465291</v>
      </c>
      <c r="H63" s="198">
        <f ca="1">IFERROR(__xludf.DUMMYFUNCTION("""COMPUTED_VALUE"""),0)</f>
        <v>0</v>
      </c>
      <c r="I63" s="198">
        <f ca="1">IFERROR(__xludf.DUMMYFUNCTION("""COMPUTED_VALUE"""),0)</f>
        <v>0</v>
      </c>
      <c r="J63" s="198">
        <f ca="1">IFERROR(__xludf.DUMMYFUNCTION("""COMPUTED_VALUE"""),2646)</f>
        <v>2646</v>
      </c>
      <c r="K63" s="198">
        <f ca="1">IFERROR(__xludf.DUMMYFUNCTION("""COMPUTED_VALUE"""),0)</f>
        <v>0</v>
      </c>
      <c r="L63" s="198">
        <f ca="1">IFERROR(__xludf.DUMMYFUNCTION("""COMPUTED_VALUE"""),0)</f>
        <v>0</v>
      </c>
      <c r="M63" s="198">
        <f ca="1">IFERROR(__xludf.DUMMYFUNCTION("""COMPUTED_VALUE"""),504)</f>
        <v>504</v>
      </c>
      <c r="N63" s="198">
        <f ca="1">IFERROR(__xludf.DUMMYFUNCTION("""COMPUTED_VALUE"""),6048)</f>
        <v>6048</v>
      </c>
      <c r="O63" s="198">
        <f ca="1">IFERROR(__xludf.DUMMYFUNCTION("""COMPUTED_VALUE"""),0)</f>
        <v>0</v>
      </c>
      <c r="P63" s="198">
        <f t="shared" ca="1" si="1"/>
        <v>9198</v>
      </c>
    </row>
    <row r="64" spans="1:16" ht="12.75">
      <c r="A64" s="199" t="str">
        <f ca="1">IFERROR(__xludf.DUMMYFUNCTION("""COMPUTED_VALUE"""),"Araguaina")</f>
        <v>Araguaina</v>
      </c>
      <c r="B64" s="199" t="str">
        <f ca="1">IFERROR(__xludf.DUMMYFUNCTION("""COMPUTED_VALUE"""),"Wanderlandia")</f>
        <v>Wanderlandia</v>
      </c>
      <c r="C64" s="145" t="str">
        <f ca="1">IFERROR(__xludf.DUMMYFUNCTION("""COMPUTED_VALUE"""),"ASSOCIAÇÃO DE APOIO DA ESCOLA ESPECIAL MORADA DO SOL")</f>
        <v>ASSOCIAÇÃO DE APOIO DA ESCOLA ESPECIAL MORADA DO SOL</v>
      </c>
      <c r="D64" s="200" t="str">
        <f ca="1">IFERROR(__xludf.DUMMYFUNCTION("""COMPUTED_VALUE"""),"07941368000101")</f>
        <v>07941368000101</v>
      </c>
      <c r="E64" s="201" t="str">
        <f ca="1">IFERROR(__xludf.DUMMYFUNCTION("""COMPUTED_VALUE"""),"001")</f>
        <v>001</v>
      </c>
      <c r="F64" s="201" t="str">
        <f ca="1">IFERROR(__xludf.DUMMYFUNCTION("""COMPUTED_VALUE"""),"0638")</f>
        <v>0638</v>
      </c>
      <c r="G64" s="202" t="str">
        <f ca="1">IFERROR(__xludf.DUMMYFUNCTION("""COMPUTED_VALUE"""),"537349")</f>
        <v>537349</v>
      </c>
      <c r="H64" s="202">
        <f ca="1">IFERROR(__xludf.DUMMYFUNCTION("""COMPUTED_VALUE"""),0)</f>
        <v>0</v>
      </c>
      <c r="I64" s="202">
        <f ca="1">IFERROR(__xludf.DUMMYFUNCTION("""COMPUTED_VALUE"""),0)</f>
        <v>0</v>
      </c>
      <c r="J64" s="202">
        <f ca="1">IFERROR(__xludf.DUMMYFUNCTION("""COMPUTED_VALUE"""),84)</f>
        <v>84</v>
      </c>
      <c r="K64" s="202">
        <f ca="1">IFERROR(__xludf.DUMMYFUNCTION("""COMPUTED_VALUE"""),0)</f>
        <v>0</v>
      </c>
      <c r="L64" s="202">
        <f ca="1">IFERROR(__xludf.DUMMYFUNCTION("""COMPUTED_VALUE"""),0)</f>
        <v>0</v>
      </c>
      <c r="M64" s="202">
        <f ca="1">IFERROR(__xludf.DUMMYFUNCTION("""COMPUTED_VALUE"""),1785)</f>
        <v>1785</v>
      </c>
      <c r="N64" s="202">
        <f ca="1">IFERROR(__xludf.DUMMYFUNCTION("""COMPUTED_VALUE"""),0)</f>
        <v>0</v>
      </c>
      <c r="O64" s="202">
        <f ca="1">IFERROR(__xludf.DUMMYFUNCTION("""COMPUTED_VALUE"""),1806)</f>
        <v>1806</v>
      </c>
      <c r="P64" s="202">
        <f t="shared" ca="1" si="1"/>
        <v>3675</v>
      </c>
    </row>
    <row r="65" spans="1:16" ht="12.75">
      <c r="A65" s="194" t="str">
        <f ca="1">IFERROR(__xludf.DUMMYFUNCTION("""COMPUTED_VALUE"""),"Araguaina")</f>
        <v>Araguaina</v>
      </c>
      <c r="B65" s="194" t="str">
        <f ca="1">IFERROR(__xludf.DUMMYFUNCTION("""COMPUTED_VALUE"""),"Wanderlandia")</f>
        <v>Wanderlandia</v>
      </c>
      <c r="C65" s="195" t="str">
        <f ca="1">IFERROR(__xludf.DUMMYFUNCTION("""COMPUTED_VALUE"""),"A.APOIO ESCOLA ESTADUAL D. PEDRO II")</f>
        <v>A.APOIO ESCOLA ESTADUAL D. PEDRO II</v>
      </c>
      <c r="D65" s="196" t="str">
        <f ca="1">IFERROR(__xludf.DUMMYFUNCTION("""COMPUTED_VALUE"""),"01186465000141")</f>
        <v>01186465000141</v>
      </c>
      <c r="E65" s="197" t="str">
        <f ca="1">IFERROR(__xludf.DUMMYFUNCTION("""COMPUTED_VALUE"""),"001")</f>
        <v>001</v>
      </c>
      <c r="F65" s="197" t="str">
        <f ca="1">IFERROR(__xludf.DUMMYFUNCTION("""COMPUTED_VALUE"""),"0638")</f>
        <v>0638</v>
      </c>
      <c r="G65" s="198" t="str">
        <f ca="1">IFERROR(__xludf.DUMMYFUNCTION("""COMPUTED_VALUE"""),"0463108")</f>
        <v>0463108</v>
      </c>
      <c r="H65" s="198">
        <f ca="1">IFERROR(__xludf.DUMMYFUNCTION("""COMPUTED_VALUE"""),0)</f>
        <v>0</v>
      </c>
      <c r="I65" s="198">
        <f ca="1">IFERROR(__xludf.DUMMYFUNCTION("""COMPUTED_VALUE"""),0)</f>
        <v>0</v>
      </c>
      <c r="J65" s="198">
        <f ca="1">IFERROR(__xludf.DUMMYFUNCTION("""COMPUTED_VALUE"""),5418)</f>
        <v>5418</v>
      </c>
      <c r="K65" s="198">
        <f ca="1">IFERROR(__xludf.DUMMYFUNCTION("""COMPUTED_VALUE"""),0)</f>
        <v>0</v>
      </c>
      <c r="L65" s="198">
        <f ca="1">IFERROR(__xludf.DUMMYFUNCTION("""COMPUTED_VALUE"""),0)</f>
        <v>0</v>
      </c>
      <c r="M65" s="198">
        <f ca="1">IFERROR(__xludf.DUMMYFUNCTION("""COMPUTED_VALUE"""),399)</f>
        <v>399</v>
      </c>
      <c r="N65" s="198">
        <f ca="1">IFERROR(__xludf.DUMMYFUNCTION("""COMPUTED_VALUE"""),0)</f>
        <v>0</v>
      </c>
      <c r="O65" s="198">
        <f ca="1">IFERROR(__xludf.DUMMYFUNCTION("""COMPUTED_VALUE"""),1806)</f>
        <v>1806</v>
      </c>
      <c r="P65" s="198">
        <f t="shared" ca="1" si="1"/>
        <v>7623</v>
      </c>
    </row>
    <row r="66" spans="1:16" ht="12.75">
      <c r="A66" s="199" t="str">
        <f ca="1">IFERROR(__xludf.DUMMYFUNCTION("""COMPUTED_VALUE"""),"Araguaina")</f>
        <v>Araguaina</v>
      </c>
      <c r="B66" s="199" t="str">
        <f ca="1">IFERROR(__xludf.DUMMYFUNCTION("""COMPUTED_VALUE"""),"Xambioa")</f>
        <v>Xambioa</v>
      </c>
      <c r="C66" s="145" t="str">
        <f ca="1">IFERROR(__xludf.DUMMYFUNCTION("""COMPUTED_VALUE"""),"A.A. COL. MUL. PROFA. JULIANA BARROS")</f>
        <v>A.A. COL. MUL. PROFA. JULIANA BARROS</v>
      </c>
      <c r="D66" s="200" t="str">
        <f ca="1">IFERROR(__xludf.DUMMYFUNCTION("""COMPUTED_VALUE"""),"01136047000140")</f>
        <v>01136047000140</v>
      </c>
      <c r="E66" s="201" t="str">
        <f ca="1">IFERROR(__xludf.DUMMYFUNCTION("""COMPUTED_VALUE"""),"001")</f>
        <v>001</v>
      </c>
      <c r="F66" s="201" t="str">
        <f ca="1">IFERROR(__xludf.DUMMYFUNCTION("""COMPUTED_VALUE"""),"3773")</f>
        <v>3773</v>
      </c>
      <c r="G66" s="202" t="str">
        <f ca="1">IFERROR(__xludf.DUMMYFUNCTION("""COMPUTED_VALUE"""),"0330027")</f>
        <v>0330027</v>
      </c>
      <c r="H66" s="202">
        <f ca="1">IFERROR(__xludf.DUMMYFUNCTION("""COMPUTED_VALUE"""),0)</f>
        <v>0</v>
      </c>
      <c r="I66" s="202">
        <f ca="1">IFERROR(__xludf.DUMMYFUNCTION("""COMPUTED_VALUE"""),0)</f>
        <v>0</v>
      </c>
      <c r="J66" s="202">
        <f ca="1">IFERROR(__xludf.DUMMYFUNCTION("""COMPUTED_VALUE"""),2751)</f>
        <v>2751</v>
      </c>
      <c r="K66" s="202">
        <f ca="1">IFERROR(__xludf.DUMMYFUNCTION("""COMPUTED_VALUE"""),0)</f>
        <v>0</v>
      </c>
      <c r="L66" s="202">
        <f ca="1">IFERROR(__xludf.DUMMYFUNCTION("""COMPUTED_VALUE"""),0)</f>
        <v>0</v>
      </c>
      <c r="M66" s="202">
        <f ca="1">IFERROR(__xludf.DUMMYFUNCTION("""COMPUTED_VALUE"""),0)</f>
        <v>0</v>
      </c>
      <c r="N66" s="202">
        <f ca="1">IFERROR(__xludf.DUMMYFUNCTION("""COMPUTED_VALUE"""),0)</f>
        <v>0</v>
      </c>
      <c r="O66" s="202">
        <f ca="1">IFERROR(__xludf.DUMMYFUNCTION("""COMPUTED_VALUE"""),1491)</f>
        <v>1491</v>
      </c>
      <c r="P66" s="202">
        <f t="shared" ca="1" si="1"/>
        <v>4242</v>
      </c>
    </row>
    <row r="67" spans="1:16" ht="12.75">
      <c r="A67" s="194" t="str">
        <f ca="1">IFERROR(__xludf.DUMMYFUNCTION("""COMPUTED_VALUE"""),"Araguaina")</f>
        <v>Araguaina</v>
      </c>
      <c r="B67" s="194" t="str">
        <f ca="1">IFERROR(__xludf.DUMMYFUNCTION("""COMPUTED_VALUE"""),"Xambioa")</f>
        <v>Xambioa</v>
      </c>
      <c r="C67" s="195" t="str">
        <f ca="1">IFERROR(__xludf.DUMMYFUNCTION("""COMPUTED_VALUE"""),"A. COM. DA ESC. EST. EURICO MOTA")</f>
        <v>A. COM. DA ESC. EST. EURICO MOTA</v>
      </c>
      <c r="D67" s="196" t="str">
        <f ca="1">IFERROR(__xludf.DUMMYFUNCTION("""COMPUTED_VALUE"""),"01718086000155")</f>
        <v>01718086000155</v>
      </c>
      <c r="E67" s="197" t="str">
        <f ca="1">IFERROR(__xludf.DUMMYFUNCTION("""COMPUTED_VALUE"""),"001")</f>
        <v>001</v>
      </c>
      <c r="F67" s="197" t="str">
        <f ca="1">IFERROR(__xludf.DUMMYFUNCTION("""COMPUTED_VALUE"""),"3773")</f>
        <v>3773</v>
      </c>
      <c r="G67" s="198" t="str">
        <f ca="1">IFERROR(__xludf.DUMMYFUNCTION("""COMPUTED_VALUE"""),"0324744")</f>
        <v>0324744</v>
      </c>
      <c r="H67" s="198">
        <f ca="1">IFERROR(__xludf.DUMMYFUNCTION("""COMPUTED_VALUE"""),0)</f>
        <v>0</v>
      </c>
      <c r="I67" s="198">
        <f ca="1">IFERROR(__xludf.DUMMYFUNCTION("""COMPUTED_VALUE"""),0)</f>
        <v>0</v>
      </c>
      <c r="J67" s="198">
        <f ca="1">IFERROR(__xludf.DUMMYFUNCTION("""COMPUTED_VALUE"""),0)</f>
        <v>0</v>
      </c>
      <c r="K67" s="198">
        <f ca="1">IFERROR(__xludf.DUMMYFUNCTION("""COMPUTED_VALUE"""),0)</f>
        <v>0</v>
      </c>
      <c r="L67" s="198">
        <f ca="1">IFERROR(__xludf.DUMMYFUNCTION("""COMPUTED_VALUE"""),0)</f>
        <v>0</v>
      </c>
      <c r="M67" s="198">
        <f ca="1">IFERROR(__xludf.DUMMYFUNCTION("""COMPUTED_VALUE"""),0)</f>
        <v>0</v>
      </c>
      <c r="N67" s="198">
        <f ca="1">IFERROR(__xludf.DUMMYFUNCTION("""COMPUTED_VALUE"""),10290)</f>
        <v>10290</v>
      </c>
      <c r="O67" s="198">
        <f ca="1">IFERROR(__xludf.DUMMYFUNCTION("""COMPUTED_VALUE"""),0)</f>
        <v>0</v>
      </c>
      <c r="P67" s="198">
        <f t="shared" ca="1" si="1"/>
        <v>10290</v>
      </c>
    </row>
    <row r="68" spans="1:16" ht="12.75">
      <c r="A68" s="199" t="str">
        <f ca="1">IFERROR(__xludf.DUMMYFUNCTION("""COMPUTED_VALUE"""),"Araguaina")</f>
        <v>Araguaina</v>
      </c>
      <c r="B68" s="199" t="str">
        <f ca="1">IFERROR(__xludf.DUMMYFUNCTION("""COMPUTED_VALUE"""),"Ananas")</f>
        <v>Ananas</v>
      </c>
      <c r="C68" s="145" t="str">
        <f ca="1">IFERROR(__xludf.DUMMYFUNCTION("""COMPUTED_VALUE"""),"AS. DE A. A ESC.PAROQUIAL SAO MIGUEL")</f>
        <v>AS. DE A. A ESC.PAROQUIAL SAO MIGUEL</v>
      </c>
      <c r="D68" s="200" t="str">
        <f ca="1">IFERROR(__xludf.DUMMYFUNCTION("""COMPUTED_VALUE"""),"01133698000186")</f>
        <v>01133698000186</v>
      </c>
      <c r="E68" s="201" t="str">
        <f ca="1">IFERROR(__xludf.DUMMYFUNCTION("""COMPUTED_VALUE"""),"001")</f>
        <v>001</v>
      </c>
      <c r="F68" s="201" t="str">
        <f ca="1">IFERROR(__xludf.DUMMYFUNCTION("""COMPUTED_VALUE"""),"3773")</f>
        <v>3773</v>
      </c>
      <c r="G68" s="202" t="str">
        <f ca="1">IFERROR(__xludf.DUMMYFUNCTION("""COMPUTED_VALUE"""),"330035")</f>
        <v>330035</v>
      </c>
      <c r="H68" s="202">
        <f ca="1">IFERROR(__xludf.DUMMYFUNCTION("""COMPUTED_VALUE"""),0)</f>
        <v>0</v>
      </c>
      <c r="I68" s="202">
        <f ca="1">IFERROR(__xludf.DUMMYFUNCTION("""COMPUTED_VALUE"""),0)</f>
        <v>0</v>
      </c>
      <c r="J68" s="202">
        <f ca="1">IFERROR(__xludf.DUMMYFUNCTION("""COMPUTED_VALUE"""),5397)</f>
        <v>5397</v>
      </c>
      <c r="K68" s="202">
        <f ca="1">IFERROR(__xludf.DUMMYFUNCTION("""COMPUTED_VALUE"""),0)</f>
        <v>0</v>
      </c>
      <c r="L68" s="202">
        <f ca="1">IFERROR(__xludf.DUMMYFUNCTION("""COMPUTED_VALUE"""),0)</f>
        <v>0</v>
      </c>
      <c r="M68" s="202">
        <f ca="1">IFERROR(__xludf.DUMMYFUNCTION("""COMPUTED_VALUE"""),231)</f>
        <v>231</v>
      </c>
      <c r="N68" s="202">
        <f ca="1">IFERROR(__xludf.DUMMYFUNCTION("""COMPUTED_VALUE"""),0)</f>
        <v>0</v>
      </c>
      <c r="O68" s="202">
        <f ca="1">IFERROR(__xludf.DUMMYFUNCTION("""COMPUTED_VALUE"""),0)</f>
        <v>0</v>
      </c>
      <c r="P68" s="202">
        <f t="shared" ca="1" si="1"/>
        <v>5628</v>
      </c>
    </row>
    <row r="69" spans="1:16" ht="12.75">
      <c r="A69" s="194" t="str">
        <f ca="1">IFERROR(__xludf.DUMMYFUNCTION("""COMPUTED_VALUE"""),"Araguatins")</f>
        <v>Araguatins</v>
      </c>
      <c r="B69" s="194" t="str">
        <f ca="1">IFERROR(__xludf.DUMMYFUNCTION("""COMPUTED_VALUE"""),"Araguatins")</f>
        <v>Araguatins</v>
      </c>
      <c r="C69" s="195" t="str">
        <f ca="1">IFERROR(__xludf.DUMMYFUNCTION("""COMPUTED_VALUE"""),"ASSOC. APOIO AO CEM PROFESSORA ANTONINA MILHOMEM")</f>
        <v>ASSOC. APOIO AO CEM PROFESSORA ANTONINA MILHOMEM</v>
      </c>
      <c r="D69" s="196" t="str">
        <f ca="1">IFERROR(__xludf.DUMMYFUNCTION("""COMPUTED_VALUE"""),"04675931000140")</f>
        <v>04675931000140</v>
      </c>
      <c r="E69" s="197" t="str">
        <f ca="1">IFERROR(__xludf.DUMMYFUNCTION("""COMPUTED_VALUE"""),"001")</f>
        <v>001</v>
      </c>
      <c r="F69" s="197" t="str">
        <f ca="1">IFERROR(__xludf.DUMMYFUNCTION("""COMPUTED_VALUE"""),"1305")</f>
        <v>1305</v>
      </c>
      <c r="G69" s="198" t="str">
        <f ca="1">IFERROR(__xludf.DUMMYFUNCTION("""COMPUTED_VALUE"""),"209082")</f>
        <v>209082</v>
      </c>
      <c r="H69" s="198">
        <f ca="1">IFERROR(__xludf.DUMMYFUNCTION("""COMPUTED_VALUE"""),0)</f>
        <v>0</v>
      </c>
      <c r="I69" s="198">
        <f ca="1">IFERROR(__xludf.DUMMYFUNCTION("""COMPUTED_VALUE"""),0)</f>
        <v>0</v>
      </c>
      <c r="J69" s="198">
        <f ca="1">IFERROR(__xludf.DUMMYFUNCTION("""COMPUTED_VALUE"""),4200)</f>
        <v>4200</v>
      </c>
      <c r="K69" s="198">
        <f ca="1">IFERROR(__xludf.DUMMYFUNCTION("""COMPUTED_VALUE"""),0)</f>
        <v>0</v>
      </c>
      <c r="L69" s="198">
        <f ca="1">IFERROR(__xludf.DUMMYFUNCTION("""COMPUTED_VALUE"""),0)</f>
        <v>0</v>
      </c>
      <c r="M69" s="198">
        <f ca="1">IFERROR(__xludf.DUMMYFUNCTION("""COMPUTED_VALUE"""),252)</f>
        <v>252</v>
      </c>
      <c r="N69" s="198">
        <f ca="1">IFERROR(__xludf.DUMMYFUNCTION("""COMPUTED_VALUE"""),7602)</f>
        <v>7602</v>
      </c>
      <c r="O69" s="198">
        <f ca="1">IFERROR(__xludf.DUMMYFUNCTION("""COMPUTED_VALUE"""),0)</f>
        <v>0</v>
      </c>
      <c r="P69" s="198">
        <f t="shared" ca="1" si="1"/>
        <v>12054</v>
      </c>
    </row>
    <row r="70" spans="1:16" ht="12.75">
      <c r="A70" s="199" t="str">
        <f ca="1">IFERROR(__xludf.DUMMYFUNCTION("""COMPUTED_VALUE"""),"Araguatins")</f>
        <v>Araguatins</v>
      </c>
      <c r="B70" s="199" t="str">
        <f ca="1">IFERROR(__xludf.DUMMYFUNCTION("""COMPUTED_VALUE"""),"Araguatins")</f>
        <v>Araguatins</v>
      </c>
      <c r="C70" s="145" t="str">
        <f ca="1">IFERROR(__xludf.DUMMYFUNCTION("""COMPUTED_VALUE"""),"A.A. E. EST. ATANAZIO DE MOURA SEIXAS")</f>
        <v>A.A. E. EST. ATANAZIO DE MOURA SEIXAS</v>
      </c>
      <c r="D70" s="200" t="str">
        <f ca="1">IFERROR(__xludf.DUMMYFUNCTION("""COMPUTED_VALUE"""),"01068353000196")</f>
        <v>01068353000196</v>
      </c>
      <c r="E70" s="201" t="str">
        <f ca="1">IFERROR(__xludf.DUMMYFUNCTION("""COMPUTED_VALUE"""),"001")</f>
        <v>001</v>
      </c>
      <c r="F70" s="201" t="str">
        <f ca="1">IFERROR(__xludf.DUMMYFUNCTION("""COMPUTED_VALUE"""),"1305")</f>
        <v>1305</v>
      </c>
      <c r="G70" s="202" t="str">
        <f ca="1">IFERROR(__xludf.DUMMYFUNCTION("""COMPUTED_VALUE"""),"109215")</f>
        <v>109215</v>
      </c>
      <c r="H70" s="202">
        <f ca="1">IFERROR(__xludf.DUMMYFUNCTION("""COMPUTED_VALUE"""),0)</f>
        <v>0</v>
      </c>
      <c r="I70" s="202">
        <f ca="1">IFERROR(__xludf.DUMMYFUNCTION("""COMPUTED_VALUE"""),0)</f>
        <v>0</v>
      </c>
      <c r="J70" s="202">
        <f ca="1">IFERROR(__xludf.DUMMYFUNCTION("""COMPUTED_VALUE"""),1512)</f>
        <v>1512</v>
      </c>
      <c r="K70" s="202">
        <f ca="1">IFERROR(__xludf.DUMMYFUNCTION("""COMPUTED_VALUE"""),0)</f>
        <v>0</v>
      </c>
      <c r="L70" s="202">
        <f ca="1">IFERROR(__xludf.DUMMYFUNCTION("""COMPUTED_VALUE"""),0)</f>
        <v>0</v>
      </c>
      <c r="M70" s="202">
        <f ca="1">IFERROR(__xludf.DUMMYFUNCTION("""COMPUTED_VALUE"""),0)</f>
        <v>0</v>
      </c>
      <c r="N70" s="202">
        <f ca="1">IFERROR(__xludf.DUMMYFUNCTION("""COMPUTED_VALUE"""),777)</f>
        <v>777</v>
      </c>
      <c r="O70" s="202">
        <f ca="1">IFERROR(__xludf.DUMMYFUNCTION("""COMPUTED_VALUE"""),483)</f>
        <v>483</v>
      </c>
      <c r="P70" s="202">
        <f t="shared" ca="1" si="1"/>
        <v>2772</v>
      </c>
    </row>
    <row r="71" spans="1:16" ht="12.75">
      <c r="A71" s="194" t="str">
        <f ca="1">IFERROR(__xludf.DUMMYFUNCTION("""COMPUTED_VALUE"""),"Araguatins")</f>
        <v>Araguatins</v>
      </c>
      <c r="B71" s="194" t="str">
        <f ca="1">IFERROR(__xludf.DUMMYFUNCTION("""COMPUTED_VALUE"""),"Araguatins")</f>
        <v>Araguatins</v>
      </c>
      <c r="C71" s="195" t="str">
        <f ca="1">IFERROR(__xludf.DUMMYFUNCTION("""COMPUTED_VALUE"""),"A.A. COL. EST. LEONIDAS G. DUARTE")</f>
        <v>A.A. COL. EST. LEONIDAS G. DUARTE</v>
      </c>
      <c r="D71" s="196" t="str">
        <f ca="1">IFERROR(__xludf.DUMMYFUNCTION("""COMPUTED_VALUE"""),"01190189000195")</f>
        <v>01190189000195</v>
      </c>
      <c r="E71" s="197" t="str">
        <f ca="1">IFERROR(__xludf.DUMMYFUNCTION("""COMPUTED_VALUE"""),"001")</f>
        <v>001</v>
      </c>
      <c r="F71" s="197" t="str">
        <f ca="1">IFERROR(__xludf.DUMMYFUNCTION("""COMPUTED_VALUE"""),"1305")</f>
        <v>1305</v>
      </c>
      <c r="G71" s="198" t="str">
        <f ca="1">IFERROR(__xludf.DUMMYFUNCTION("""COMPUTED_VALUE"""),"0019143")</f>
        <v>0019143</v>
      </c>
      <c r="H71" s="198">
        <f ca="1">IFERROR(__xludf.DUMMYFUNCTION("""COMPUTED_VALUE"""),0)</f>
        <v>0</v>
      </c>
      <c r="I71" s="198">
        <f ca="1">IFERROR(__xludf.DUMMYFUNCTION("""COMPUTED_VALUE"""),0)</f>
        <v>0</v>
      </c>
      <c r="J71" s="198">
        <f ca="1">IFERROR(__xludf.DUMMYFUNCTION("""COMPUTED_VALUE"""),9765)</f>
        <v>9765</v>
      </c>
      <c r="K71" s="198">
        <f ca="1">IFERROR(__xludf.DUMMYFUNCTION("""COMPUTED_VALUE"""),0)</f>
        <v>0</v>
      </c>
      <c r="L71" s="198">
        <f ca="1">IFERROR(__xludf.DUMMYFUNCTION("""COMPUTED_VALUE"""),0)</f>
        <v>0</v>
      </c>
      <c r="M71" s="198">
        <f ca="1">IFERROR(__xludf.DUMMYFUNCTION("""COMPUTED_VALUE"""),294)</f>
        <v>294</v>
      </c>
      <c r="N71" s="198">
        <f ca="1">IFERROR(__xludf.DUMMYFUNCTION("""COMPUTED_VALUE"""),0)</f>
        <v>0</v>
      </c>
      <c r="O71" s="198">
        <f ca="1">IFERROR(__xludf.DUMMYFUNCTION("""COMPUTED_VALUE"""),0)</f>
        <v>0</v>
      </c>
      <c r="P71" s="198">
        <f t="shared" ca="1" si="1"/>
        <v>10059</v>
      </c>
    </row>
    <row r="72" spans="1:16" ht="12.75">
      <c r="A72" s="199" t="str">
        <f ca="1">IFERROR(__xludf.DUMMYFUNCTION("""COMPUTED_VALUE"""),"Araguatins")</f>
        <v>Araguatins</v>
      </c>
      <c r="B72" s="199" t="str">
        <f ca="1">IFERROR(__xludf.DUMMYFUNCTION("""COMPUTED_VALUE"""),"Araguatins")</f>
        <v>Araguatins</v>
      </c>
      <c r="C72" s="145" t="str">
        <f ca="1">IFERROR(__xludf.DUMMYFUNCTION("""COMPUTED_VALUE"""),"A.A. A ESC. EST. OSVALDO FRANCO")</f>
        <v>A.A. A ESC. EST. OSVALDO FRANCO</v>
      </c>
      <c r="D72" s="200" t="str">
        <f ca="1">IFERROR(__xludf.DUMMYFUNCTION("""COMPUTED_VALUE"""),"01392733000181")</f>
        <v>01392733000181</v>
      </c>
      <c r="E72" s="201" t="str">
        <f ca="1">IFERROR(__xludf.DUMMYFUNCTION("""COMPUTED_VALUE"""),"001")</f>
        <v>001</v>
      </c>
      <c r="F72" s="201" t="str">
        <f ca="1">IFERROR(__xludf.DUMMYFUNCTION("""COMPUTED_VALUE"""),"1305")</f>
        <v>1305</v>
      </c>
      <c r="G72" s="202" t="str">
        <f ca="1">IFERROR(__xludf.DUMMYFUNCTION("""COMPUTED_VALUE"""),"109738")</f>
        <v>109738</v>
      </c>
      <c r="H72" s="202">
        <f ca="1">IFERROR(__xludf.DUMMYFUNCTION("""COMPUTED_VALUE"""),0)</f>
        <v>0</v>
      </c>
      <c r="I72" s="202">
        <f ca="1">IFERROR(__xludf.DUMMYFUNCTION("""COMPUTED_VALUE"""),0)</f>
        <v>0</v>
      </c>
      <c r="J72" s="202">
        <f ca="1">IFERROR(__xludf.DUMMYFUNCTION("""COMPUTED_VALUE"""),6762)</f>
        <v>6762</v>
      </c>
      <c r="K72" s="202">
        <f ca="1">IFERROR(__xludf.DUMMYFUNCTION("""COMPUTED_VALUE"""),0)</f>
        <v>0</v>
      </c>
      <c r="L72" s="202">
        <f ca="1">IFERROR(__xludf.DUMMYFUNCTION("""COMPUTED_VALUE"""),0)</f>
        <v>0</v>
      </c>
      <c r="M72" s="202">
        <f ca="1">IFERROR(__xludf.DUMMYFUNCTION("""COMPUTED_VALUE"""),378)</f>
        <v>378</v>
      </c>
      <c r="N72" s="202">
        <f ca="1">IFERROR(__xludf.DUMMYFUNCTION("""COMPUTED_VALUE"""),0)</f>
        <v>0</v>
      </c>
      <c r="O72" s="202">
        <f ca="1">IFERROR(__xludf.DUMMYFUNCTION("""COMPUTED_VALUE"""),4599)</f>
        <v>4599</v>
      </c>
      <c r="P72" s="202">
        <f t="shared" ca="1" si="1"/>
        <v>11739</v>
      </c>
    </row>
    <row r="73" spans="1:16" ht="12.75">
      <c r="A73" s="205" t="str">
        <f ca="1">IFERROR(__xludf.DUMMYFUNCTION("""COMPUTED_VALUE"""),"Araguatins")</f>
        <v>Araguatins</v>
      </c>
      <c r="B73" s="205" t="str">
        <f ca="1">IFERROR(__xludf.DUMMYFUNCTION("""COMPUTED_VALUE"""),"Araguatins")</f>
        <v>Araguatins</v>
      </c>
      <c r="C73" s="206" t="str">
        <f ca="1">IFERROR(__xludf.DUMMYFUNCTION("""COMPUTED_VALUE"""),"A.A. ESC. ESTADUAL ALDINAR GONÇALVES DE CARVALHO")</f>
        <v>A.A. ESC. ESTADUAL ALDINAR GONÇALVES DE CARVALHO</v>
      </c>
      <c r="D73" s="207" t="str">
        <f ca="1">IFERROR(__xludf.DUMMYFUNCTION("""COMPUTED_VALUE"""),"09465471000140")</f>
        <v>09465471000140</v>
      </c>
      <c r="E73" s="208" t="str">
        <f ca="1">IFERROR(__xludf.DUMMYFUNCTION("""COMPUTED_VALUE"""),"001")</f>
        <v>001</v>
      </c>
      <c r="F73" s="208" t="str">
        <f ca="1">IFERROR(__xludf.DUMMYFUNCTION("""COMPUTED_VALUE"""),"1305")</f>
        <v>1305</v>
      </c>
      <c r="G73" s="209" t="str">
        <f ca="1">IFERROR(__xludf.DUMMYFUNCTION("""COMPUTED_VALUE"""),"196657")</f>
        <v>196657</v>
      </c>
      <c r="H73" s="209">
        <f ca="1">IFERROR(__xludf.DUMMYFUNCTION("""COMPUTED_VALUE"""),0)</f>
        <v>0</v>
      </c>
      <c r="I73" s="209">
        <f ca="1">IFERROR(__xludf.DUMMYFUNCTION("""COMPUTED_VALUE"""),0)</f>
        <v>0</v>
      </c>
      <c r="J73" s="209">
        <f ca="1">IFERROR(__xludf.DUMMYFUNCTION("""COMPUTED_VALUE"""),0)</f>
        <v>0</v>
      </c>
      <c r="K73" s="209">
        <f ca="1">IFERROR(__xludf.DUMMYFUNCTION("""COMPUTED_VALUE"""),0)</f>
        <v>0</v>
      </c>
      <c r="L73" s="209">
        <f ca="1">IFERROR(__xludf.DUMMYFUNCTION("""COMPUTED_VALUE"""),0)</f>
        <v>0</v>
      </c>
      <c r="M73" s="209">
        <f ca="1">IFERROR(__xludf.DUMMYFUNCTION("""COMPUTED_VALUE"""),651)</f>
        <v>651</v>
      </c>
      <c r="N73" s="209">
        <f ca="1">IFERROR(__xludf.DUMMYFUNCTION("""COMPUTED_VALUE"""),0)</f>
        <v>0</v>
      </c>
      <c r="O73" s="209">
        <f ca="1">IFERROR(__xludf.DUMMYFUNCTION("""COMPUTED_VALUE"""),0)</f>
        <v>0</v>
      </c>
      <c r="P73" s="209">
        <f t="shared" ca="1" si="1"/>
        <v>651</v>
      </c>
    </row>
    <row r="74" spans="1:16" ht="12.75">
      <c r="A74" s="199" t="str">
        <f ca="1">IFERROR(__xludf.DUMMYFUNCTION("""COMPUTED_VALUE"""),"Araguatins")</f>
        <v>Araguatins</v>
      </c>
      <c r="B74" s="199" t="str">
        <f ca="1">IFERROR(__xludf.DUMMYFUNCTION("""COMPUTED_VALUE"""),"Araguatins")</f>
        <v>Araguatins</v>
      </c>
      <c r="C74" s="145" t="str">
        <f ca="1">IFERROR(__xludf.DUMMYFUNCTION("""COMPUTED_VALUE"""),"ASSOC. DE APOIO ESC. EST. FREI SAVINO")</f>
        <v>ASSOC. DE APOIO ESC. EST. FREI SAVINO</v>
      </c>
      <c r="D74" s="200" t="str">
        <f ca="1">IFERROR(__xludf.DUMMYFUNCTION("""COMPUTED_VALUE"""),"01181389000181")</f>
        <v>01181389000181</v>
      </c>
      <c r="E74" s="201" t="str">
        <f ca="1">IFERROR(__xludf.DUMMYFUNCTION("""COMPUTED_VALUE"""),"001")</f>
        <v>001</v>
      </c>
      <c r="F74" s="201" t="str">
        <f ca="1">IFERROR(__xludf.DUMMYFUNCTION("""COMPUTED_VALUE"""),"1305")</f>
        <v>1305</v>
      </c>
      <c r="G74" s="202" t="str">
        <f ca="1">IFERROR(__xludf.DUMMYFUNCTION("""COMPUTED_VALUE"""),"0019437")</f>
        <v>0019437</v>
      </c>
      <c r="H74" s="202">
        <f ca="1">IFERROR(__xludf.DUMMYFUNCTION("""COMPUTED_VALUE"""),0)</f>
        <v>0</v>
      </c>
      <c r="I74" s="202">
        <f ca="1">IFERROR(__xludf.DUMMYFUNCTION("""COMPUTED_VALUE"""),0)</f>
        <v>0</v>
      </c>
      <c r="J74" s="202">
        <f ca="1">IFERROR(__xludf.DUMMYFUNCTION("""COMPUTED_VALUE"""),1176)</f>
        <v>1176</v>
      </c>
      <c r="K74" s="202">
        <f ca="1">IFERROR(__xludf.DUMMYFUNCTION("""COMPUTED_VALUE"""),0)</f>
        <v>0</v>
      </c>
      <c r="L74" s="202">
        <f ca="1">IFERROR(__xludf.DUMMYFUNCTION("""COMPUTED_VALUE"""),0)</f>
        <v>0</v>
      </c>
      <c r="M74" s="202">
        <f ca="1">IFERROR(__xludf.DUMMYFUNCTION("""COMPUTED_VALUE"""),378)</f>
        <v>378</v>
      </c>
      <c r="N74" s="202">
        <f ca="1">IFERROR(__xludf.DUMMYFUNCTION("""COMPUTED_VALUE"""),777)</f>
        <v>777</v>
      </c>
      <c r="O74" s="202">
        <f ca="1">IFERROR(__xludf.DUMMYFUNCTION("""COMPUTED_VALUE"""),0)</f>
        <v>0</v>
      </c>
      <c r="P74" s="202">
        <f t="shared" ca="1" si="1"/>
        <v>2331</v>
      </c>
    </row>
    <row r="75" spans="1:16" ht="12.75">
      <c r="A75" s="194" t="str">
        <f ca="1">IFERROR(__xludf.DUMMYFUNCTION("""COMPUTED_VALUE"""),"Araguatins")</f>
        <v>Araguatins</v>
      </c>
      <c r="B75" s="194" t="str">
        <f ca="1">IFERROR(__xludf.DUMMYFUNCTION("""COMPUTED_VALUE"""),"Araguatins")</f>
        <v>Araguatins</v>
      </c>
      <c r="C75" s="195" t="str">
        <f ca="1">IFERROR(__xludf.DUMMYFUNCTION("""COMPUTED_VALUE"""),"ASSOC. APOIO ESC. EST. DENISE GOMIDE AMUI")</f>
        <v>ASSOC. APOIO ESC. EST. DENISE GOMIDE AMUI</v>
      </c>
      <c r="D75" s="196" t="str">
        <f ca="1">IFERROR(__xludf.DUMMYFUNCTION("""COMPUTED_VALUE"""),"01136000000186")</f>
        <v>01136000000186</v>
      </c>
      <c r="E75" s="197" t="str">
        <f ca="1">IFERROR(__xludf.DUMMYFUNCTION("""COMPUTED_VALUE"""),"001")</f>
        <v>001</v>
      </c>
      <c r="F75" s="197" t="str">
        <f ca="1">IFERROR(__xludf.DUMMYFUNCTION("""COMPUTED_VALUE"""),"1305")</f>
        <v>1305</v>
      </c>
      <c r="G75" s="198" t="str">
        <f ca="1">IFERROR(__xludf.DUMMYFUNCTION("""COMPUTED_VALUE"""),"0109223")</f>
        <v>0109223</v>
      </c>
      <c r="H75" s="198">
        <f ca="1">IFERROR(__xludf.DUMMYFUNCTION("""COMPUTED_VALUE"""),0)</f>
        <v>0</v>
      </c>
      <c r="I75" s="198">
        <f ca="1">IFERROR(__xludf.DUMMYFUNCTION("""COMPUTED_VALUE"""),0)</f>
        <v>0</v>
      </c>
      <c r="J75" s="198">
        <f ca="1">IFERROR(__xludf.DUMMYFUNCTION("""COMPUTED_VALUE"""),0)</f>
        <v>0</v>
      </c>
      <c r="K75" s="198">
        <f ca="1">IFERROR(__xludf.DUMMYFUNCTION("""COMPUTED_VALUE"""),0)</f>
        <v>0</v>
      </c>
      <c r="L75" s="198">
        <f ca="1">IFERROR(__xludf.DUMMYFUNCTION("""COMPUTED_VALUE"""),0)</f>
        <v>0</v>
      </c>
      <c r="M75" s="198">
        <f ca="1">IFERROR(__xludf.DUMMYFUNCTION("""COMPUTED_VALUE"""),231)</f>
        <v>231</v>
      </c>
      <c r="N75" s="198">
        <f ca="1">IFERROR(__xludf.DUMMYFUNCTION("""COMPUTED_VALUE"""),13755)</f>
        <v>13755</v>
      </c>
      <c r="O75" s="198">
        <f ca="1">IFERROR(__xludf.DUMMYFUNCTION("""COMPUTED_VALUE"""),0)</f>
        <v>0</v>
      </c>
      <c r="P75" s="198">
        <f t="shared" ca="1" si="1"/>
        <v>13986</v>
      </c>
    </row>
    <row r="76" spans="1:16" ht="12.75">
      <c r="A76" s="199" t="str">
        <f ca="1">IFERROR(__xludf.DUMMYFUNCTION("""COMPUTED_VALUE"""),"Araguatins")</f>
        <v>Araguatins</v>
      </c>
      <c r="B76" s="199" t="str">
        <f ca="1">IFERROR(__xludf.DUMMYFUNCTION("""COMPUTED_VALUE"""),"Araguatins")</f>
        <v>Araguatins</v>
      </c>
      <c r="C76" s="145" t="str">
        <f ca="1">IFERROR(__xludf.DUMMYFUNCTION("""COMPUTED_VALUE"""),"A.A.  A ESC. EST. SANTA GERTRUDES")</f>
        <v>A.A.  A ESC. EST. SANTA GERTRUDES</v>
      </c>
      <c r="D76" s="200" t="str">
        <f ca="1">IFERROR(__xludf.DUMMYFUNCTION("""COMPUTED_VALUE"""),"03713455000142")</f>
        <v>03713455000142</v>
      </c>
      <c r="E76" s="201" t="str">
        <f ca="1">IFERROR(__xludf.DUMMYFUNCTION("""COMPUTED_VALUE"""),"001")</f>
        <v>001</v>
      </c>
      <c r="F76" s="201" t="str">
        <f ca="1">IFERROR(__xludf.DUMMYFUNCTION("""COMPUTED_VALUE"""),"1305")</f>
        <v>1305</v>
      </c>
      <c r="G76" s="202" t="str">
        <f ca="1">IFERROR(__xludf.DUMMYFUNCTION("""COMPUTED_VALUE"""),"78271")</f>
        <v>78271</v>
      </c>
      <c r="H76" s="202">
        <f ca="1">IFERROR(__xludf.DUMMYFUNCTION("""COMPUTED_VALUE"""),0)</f>
        <v>0</v>
      </c>
      <c r="I76" s="202">
        <f ca="1">IFERROR(__xludf.DUMMYFUNCTION("""COMPUTED_VALUE"""),0)</f>
        <v>0</v>
      </c>
      <c r="J76" s="202">
        <f ca="1">IFERROR(__xludf.DUMMYFUNCTION("""COMPUTED_VALUE"""),2121)</f>
        <v>2121</v>
      </c>
      <c r="K76" s="202">
        <f ca="1">IFERROR(__xludf.DUMMYFUNCTION("""COMPUTED_VALUE"""),0)</f>
        <v>0</v>
      </c>
      <c r="L76" s="202">
        <f ca="1">IFERROR(__xludf.DUMMYFUNCTION("""COMPUTED_VALUE"""),0)</f>
        <v>0</v>
      </c>
      <c r="M76" s="202">
        <f ca="1">IFERROR(__xludf.DUMMYFUNCTION("""COMPUTED_VALUE"""),273)</f>
        <v>273</v>
      </c>
      <c r="N76" s="202">
        <f ca="1">IFERROR(__xludf.DUMMYFUNCTION("""COMPUTED_VALUE"""),1197)</f>
        <v>1197</v>
      </c>
      <c r="O76" s="202">
        <f ca="1">IFERROR(__xludf.DUMMYFUNCTION("""COMPUTED_VALUE"""),0)</f>
        <v>0</v>
      </c>
      <c r="P76" s="202">
        <f t="shared" ca="1" si="1"/>
        <v>3591</v>
      </c>
    </row>
    <row r="77" spans="1:16" ht="12.75">
      <c r="A77" s="194" t="str">
        <f ca="1">IFERROR(__xludf.DUMMYFUNCTION("""COMPUTED_VALUE"""),"Araguatins")</f>
        <v>Araguatins</v>
      </c>
      <c r="B77" s="194" t="str">
        <f ca="1">IFERROR(__xludf.DUMMYFUNCTION("""COMPUTED_VALUE"""),"Araguatins")</f>
        <v>Araguatins</v>
      </c>
      <c r="C77" s="195" t="str">
        <f ca="1">IFERROR(__xludf.DUMMYFUNCTION("""COMPUTED_VALUE"""),"A.A.  A ESCOLA ISOLADA BOA SORTE")</f>
        <v>A.A.  A ESCOLA ISOLADA BOA SORTE</v>
      </c>
      <c r="D77" s="196" t="str">
        <f ca="1">IFERROR(__xludf.DUMMYFUNCTION("""COMPUTED_VALUE"""),"03765304000138")</f>
        <v>03765304000138</v>
      </c>
      <c r="E77" s="197" t="str">
        <f ca="1">IFERROR(__xludf.DUMMYFUNCTION("""COMPUTED_VALUE"""),"001")</f>
        <v>001</v>
      </c>
      <c r="F77" s="197" t="str">
        <f ca="1">IFERROR(__xludf.DUMMYFUNCTION("""COMPUTED_VALUE"""),"1305")</f>
        <v>1305</v>
      </c>
      <c r="G77" s="198" t="str">
        <f ca="1">IFERROR(__xludf.DUMMYFUNCTION("""COMPUTED_VALUE"""),"78964")</f>
        <v>78964</v>
      </c>
      <c r="H77" s="198">
        <f ca="1">IFERROR(__xludf.DUMMYFUNCTION("""COMPUTED_VALUE"""),0)</f>
        <v>0</v>
      </c>
      <c r="I77" s="198">
        <f ca="1">IFERROR(__xludf.DUMMYFUNCTION("""COMPUTED_VALUE"""),0)</f>
        <v>0</v>
      </c>
      <c r="J77" s="198">
        <f ca="1">IFERROR(__xludf.DUMMYFUNCTION("""COMPUTED_VALUE"""),1281)</f>
        <v>1281</v>
      </c>
      <c r="K77" s="198">
        <f ca="1">IFERROR(__xludf.DUMMYFUNCTION("""COMPUTED_VALUE"""),0)</f>
        <v>0</v>
      </c>
      <c r="L77" s="198">
        <f ca="1">IFERROR(__xludf.DUMMYFUNCTION("""COMPUTED_VALUE"""),0)</f>
        <v>0</v>
      </c>
      <c r="M77" s="198">
        <f ca="1">IFERROR(__xludf.DUMMYFUNCTION("""COMPUTED_VALUE"""),105)</f>
        <v>105</v>
      </c>
      <c r="N77" s="198">
        <f ca="1">IFERROR(__xludf.DUMMYFUNCTION("""COMPUTED_VALUE"""),798)</f>
        <v>798</v>
      </c>
      <c r="O77" s="198">
        <f ca="1">IFERROR(__xludf.DUMMYFUNCTION("""COMPUTED_VALUE"""),252)</f>
        <v>252</v>
      </c>
      <c r="P77" s="198">
        <f t="shared" ca="1" si="1"/>
        <v>2436</v>
      </c>
    </row>
    <row r="78" spans="1:16" ht="12.75">
      <c r="A78" s="199" t="str">
        <f ca="1">IFERROR(__xludf.DUMMYFUNCTION("""COMPUTED_VALUE"""),"Araguatins")</f>
        <v>Araguatins</v>
      </c>
      <c r="B78" s="199" t="str">
        <f ca="1">IFERROR(__xludf.DUMMYFUNCTION("""COMPUTED_VALUE"""),"Augustinopolis")</f>
        <v>Augustinopolis</v>
      </c>
      <c r="C78" s="145" t="str">
        <f ca="1">IFERROR(__xludf.DUMMYFUNCTION("""COMPUTED_VALUE"""),"A.A. CENTRO EST. DE EDUCACAO LA SALLE")</f>
        <v>A.A. CENTRO EST. DE EDUCACAO LA SALLE</v>
      </c>
      <c r="D78" s="200" t="str">
        <f ca="1">IFERROR(__xludf.DUMMYFUNCTION("""COMPUTED_VALUE"""),"01223753000129")</f>
        <v>01223753000129</v>
      </c>
      <c r="E78" s="201" t="str">
        <f ca="1">IFERROR(__xludf.DUMMYFUNCTION("""COMPUTED_VALUE"""),"001")</f>
        <v>001</v>
      </c>
      <c r="F78" s="201" t="str">
        <f ca="1">IFERROR(__xludf.DUMMYFUNCTION("""COMPUTED_VALUE"""),"3975")</f>
        <v>3975</v>
      </c>
      <c r="G78" s="202" t="str">
        <f ca="1">IFERROR(__xludf.DUMMYFUNCTION("""COMPUTED_VALUE"""),"19216")</f>
        <v>19216</v>
      </c>
      <c r="H78" s="202">
        <f ca="1">IFERROR(__xludf.DUMMYFUNCTION("""COMPUTED_VALUE"""),0)</f>
        <v>0</v>
      </c>
      <c r="I78" s="202">
        <f ca="1">IFERROR(__xludf.DUMMYFUNCTION("""COMPUTED_VALUE"""),0)</f>
        <v>0</v>
      </c>
      <c r="J78" s="202">
        <f ca="1">IFERROR(__xludf.DUMMYFUNCTION("""COMPUTED_VALUE"""),10542)</f>
        <v>10542</v>
      </c>
      <c r="K78" s="202">
        <f ca="1">IFERROR(__xludf.DUMMYFUNCTION("""COMPUTED_VALUE"""),0)</f>
        <v>0</v>
      </c>
      <c r="L78" s="202">
        <f ca="1">IFERROR(__xludf.DUMMYFUNCTION("""COMPUTED_VALUE"""),0)</f>
        <v>0</v>
      </c>
      <c r="M78" s="202">
        <f ca="1">IFERROR(__xludf.DUMMYFUNCTION("""COMPUTED_VALUE"""),693)</f>
        <v>693</v>
      </c>
      <c r="N78" s="202">
        <f ca="1">IFERROR(__xludf.DUMMYFUNCTION("""COMPUTED_VALUE"""),4788)</f>
        <v>4788</v>
      </c>
      <c r="O78" s="202">
        <f ca="1">IFERROR(__xludf.DUMMYFUNCTION("""COMPUTED_VALUE"""),0)</f>
        <v>0</v>
      </c>
      <c r="P78" s="202">
        <f t="shared" ca="1" si="1"/>
        <v>16023</v>
      </c>
    </row>
    <row r="79" spans="1:16" ht="12.75">
      <c r="A79" s="194" t="str">
        <f ca="1">IFERROR(__xludf.DUMMYFUNCTION("""COMPUTED_VALUE"""),"Araguatins")</f>
        <v>Araguatins</v>
      </c>
      <c r="B79" s="194" t="str">
        <f ca="1">IFERROR(__xludf.DUMMYFUNCTION("""COMPUTED_VALUE"""),"Augustinopolis")</f>
        <v>Augustinopolis</v>
      </c>
      <c r="C79" s="195" t="str">
        <f ca="1">IFERROR(__xludf.DUMMYFUNCTION("""COMPUTED_VALUE"""),"ASSOC. DE APOIO COL. EST. MANOEL VICENTE SOUZA")</f>
        <v>ASSOC. DE APOIO COL. EST. MANOEL VICENTE SOUZA</v>
      </c>
      <c r="D79" s="196" t="str">
        <f ca="1">IFERROR(__xludf.DUMMYFUNCTION("""COMPUTED_VALUE"""),"01223642000112")</f>
        <v>01223642000112</v>
      </c>
      <c r="E79" s="197" t="str">
        <f ca="1">IFERROR(__xludf.DUMMYFUNCTION("""COMPUTED_VALUE"""),"001")</f>
        <v>001</v>
      </c>
      <c r="F79" s="197" t="str">
        <f ca="1">IFERROR(__xludf.DUMMYFUNCTION("""COMPUTED_VALUE"""),"3975")</f>
        <v>3975</v>
      </c>
      <c r="G79" s="198" t="str">
        <f ca="1">IFERROR(__xludf.DUMMYFUNCTION("""COMPUTED_VALUE"""),"139297")</f>
        <v>139297</v>
      </c>
      <c r="H79" s="198">
        <f ca="1">IFERROR(__xludf.DUMMYFUNCTION("""COMPUTED_VALUE"""),0)</f>
        <v>0</v>
      </c>
      <c r="I79" s="198">
        <f ca="1">IFERROR(__xludf.DUMMYFUNCTION("""COMPUTED_VALUE"""),0)</f>
        <v>0</v>
      </c>
      <c r="J79" s="198">
        <f ca="1">IFERROR(__xludf.DUMMYFUNCTION("""COMPUTED_VALUE"""),0)</f>
        <v>0</v>
      </c>
      <c r="K79" s="198">
        <f ca="1">IFERROR(__xludf.DUMMYFUNCTION("""COMPUTED_VALUE"""),0)</f>
        <v>0</v>
      </c>
      <c r="L79" s="198">
        <f ca="1">IFERROR(__xludf.DUMMYFUNCTION("""COMPUTED_VALUE"""),0)</f>
        <v>0</v>
      </c>
      <c r="M79" s="198">
        <f ca="1">IFERROR(__xludf.DUMMYFUNCTION("""COMPUTED_VALUE"""),0)</f>
        <v>0</v>
      </c>
      <c r="N79" s="198">
        <f ca="1">IFERROR(__xludf.DUMMYFUNCTION("""COMPUTED_VALUE"""),1995)</f>
        <v>1995</v>
      </c>
      <c r="O79" s="198">
        <f ca="1">IFERROR(__xludf.DUMMYFUNCTION("""COMPUTED_VALUE"""),0)</f>
        <v>0</v>
      </c>
      <c r="P79" s="198">
        <f t="shared" ca="1" si="1"/>
        <v>1995</v>
      </c>
    </row>
    <row r="80" spans="1:16" ht="12.75">
      <c r="A80" s="199" t="str">
        <f ca="1">IFERROR(__xludf.DUMMYFUNCTION("""COMPUTED_VALUE"""),"Araguatins")</f>
        <v>Araguatins</v>
      </c>
      <c r="B80" s="199" t="str">
        <f ca="1">IFERROR(__xludf.DUMMYFUNCTION("""COMPUTED_VALUE"""),"Augustinopolis")</f>
        <v>Augustinopolis</v>
      </c>
      <c r="C80" s="145" t="str">
        <f ca="1">IFERROR(__xludf.DUMMYFUNCTION("""COMPUTED_VALUE"""),"A.A. ESCOLA ESTADUAL AUGUSTINOPOLIS")</f>
        <v>A.A. ESCOLA ESTADUAL AUGUSTINOPOLIS</v>
      </c>
      <c r="D80" s="200" t="str">
        <f ca="1">IFERROR(__xludf.DUMMYFUNCTION("""COMPUTED_VALUE"""),"01133692000109")</f>
        <v>01133692000109</v>
      </c>
      <c r="E80" s="201" t="str">
        <f ca="1">IFERROR(__xludf.DUMMYFUNCTION("""COMPUTED_VALUE"""),"001")</f>
        <v>001</v>
      </c>
      <c r="F80" s="201" t="str">
        <f ca="1">IFERROR(__xludf.DUMMYFUNCTION("""COMPUTED_VALUE"""),"3975")</f>
        <v>3975</v>
      </c>
      <c r="G80" s="202" t="str">
        <f ca="1">IFERROR(__xludf.DUMMYFUNCTION("""COMPUTED_VALUE"""),"019151")</f>
        <v>019151</v>
      </c>
      <c r="H80" s="202">
        <f ca="1">IFERROR(__xludf.DUMMYFUNCTION("""COMPUTED_VALUE"""),0)</f>
        <v>0</v>
      </c>
      <c r="I80" s="202">
        <f ca="1">IFERROR(__xludf.DUMMYFUNCTION("""COMPUTED_VALUE"""),0)</f>
        <v>0</v>
      </c>
      <c r="J80" s="202">
        <f ca="1">IFERROR(__xludf.DUMMYFUNCTION("""COMPUTED_VALUE"""),0)</f>
        <v>0</v>
      </c>
      <c r="K80" s="202">
        <f ca="1">IFERROR(__xludf.DUMMYFUNCTION("""COMPUTED_VALUE"""),0)</f>
        <v>0</v>
      </c>
      <c r="L80" s="202">
        <f ca="1">IFERROR(__xludf.DUMMYFUNCTION("""COMPUTED_VALUE"""),0)</f>
        <v>0</v>
      </c>
      <c r="M80" s="202">
        <f ca="1">IFERROR(__xludf.DUMMYFUNCTION("""COMPUTED_VALUE"""),357)</f>
        <v>357</v>
      </c>
      <c r="N80" s="202">
        <f ca="1">IFERROR(__xludf.DUMMYFUNCTION("""COMPUTED_VALUE"""),0)</f>
        <v>0</v>
      </c>
      <c r="O80" s="202">
        <f ca="1">IFERROR(__xludf.DUMMYFUNCTION("""COMPUTED_VALUE"""),0)</f>
        <v>0</v>
      </c>
      <c r="P80" s="202">
        <f t="shared" ca="1" si="1"/>
        <v>357</v>
      </c>
    </row>
    <row r="81" spans="1:16" ht="12.75">
      <c r="A81" s="194" t="str">
        <f ca="1">IFERROR(__xludf.DUMMYFUNCTION("""COMPUTED_VALUE"""),"Araguatins")</f>
        <v>Araguatins</v>
      </c>
      <c r="B81" s="194" t="str">
        <f ca="1">IFERROR(__xludf.DUMMYFUNCTION("""COMPUTED_VALUE"""),"Augustinopolis")</f>
        <v>Augustinopolis</v>
      </c>
      <c r="C81" s="195" t="str">
        <f ca="1">IFERROR(__xludf.DUMMYFUNCTION("""COMPUTED_VALUE"""),"ASSOC. DE AP.ESC. EST. FAZ.DEZESSEIS")</f>
        <v>ASSOC. DE AP.ESC. EST. FAZ.DEZESSEIS</v>
      </c>
      <c r="D81" s="196" t="str">
        <f ca="1">IFERROR(__xludf.DUMMYFUNCTION("""COMPUTED_VALUE"""),"01133695000142")</f>
        <v>01133695000142</v>
      </c>
      <c r="E81" s="197" t="str">
        <f ca="1">IFERROR(__xludf.DUMMYFUNCTION("""COMPUTED_VALUE"""),"001")</f>
        <v>001</v>
      </c>
      <c r="F81" s="197" t="str">
        <f ca="1">IFERROR(__xludf.DUMMYFUNCTION("""COMPUTED_VALUE"""),"3975")</f>
        <v>3975</v>
      </c>
      <c r="G81" s="198" t="str">
        <f ca="1">IFERROR(__xludf.DUMMYFUNCTION("""COMPUTED_VALUE"""),"0019615")</f>
        <v>0019615</v>
      </c>
      <c r="H81" s="198">
        <f ca="1">IFERROR(__xludf.DUMMYFUNCTION("""COMPUTED_VALUE"""),0)</f>
        <v>0</v>
      </c>
      <c r="I81" s="198">
        <f ca="1">IFERROR(__xludf.DUMMYFUNCTION("""COMPUTED_VALUE"""),0)</f>
        <v>0</v>
      </c>
      <c r="J81" s="198">
        <f ca="1">IFERROR(__xludf.DUMMYFUNCTION("""COMPUTED_VALUE"""),2142)</f>
        <v>2142</v>
      </c>
      <c r="K81" s="198">
        <f ca="1">IFERROR(__xludf.DUMMYFUNCTION("""COMPUTED_VALUE"""),0)</f>
        <v>0</v>
      </c>
      <c r="L81" s="198">
        <f ca="1">IFERROR(__xludf.DUMMYFUNCTION("""COMPUTED_VALUE"""),0)</f>
        <v>0</v>
      </c>
      <c r="M81" s="198">
        <f ca="1">IFERROR(__xludf.DUMMYFUNCTION("""COMPUTED_VALUE"""),231)</f>
        <v>231</v>
      </c>
      <c r="N81" s="198">
        <f ca="1">IFERROR(__xludf.DUMMYFUNCTION("""COMPUTED_VALUE"""),945)</f>
        <v>945</v>
      </c>
      <c r="O81" s="198">
        <f ca="1">IFERROR(__xludf.DUMMYFUNCTION("""COMPUTED_VALUE"""),3360)</f>
        <v>3360</v>
      </c>
      <c r="P81" s="198">
        <f t="shared" ca="1" si="1"/>
        <v>6678</v>
      </c>
    </row>
    <row r="82" spans="1:16" ht="12.75">
      <c r="A82" s="199" t="str">
        <f ca="1">IFERROR(__xludf.DUMMYFUNCTION("""COMPUTED_VALUE"""),"Araguatins")</f>
        <v>Araguatins</v>
      </c>
      <c r="B82" s="199" t="str">
        <f ca="1">IFERROR(__xludf.DUMMYFUNCTION("""COMPUTED_VALUE"""),"Augustinopolis")</f>
        <v>Augustinopolis</v>
      </c>
      <c r="C82" s="145" t="str">
        <f ca="1">IFERROR(__xludf.DUMMYFUNCTION("""COMPUTED_VALUE"""),"A.A. DA ESCOLA EST. SANTA GENOVEVA")</f>
        <v>A.A. DA ESCOLA EST. SANTA GENOVEVA</v>
      </c>
      <c r="D82" s="200" t="str">
        <f ca="1">IFERROR(__xludf.DUMMYFUNCTION("""COMPUTED_VALUE"""),"01068357000174")</f>
        <v>01068357000174</v>
      </c>
      <c r="E82" s="201" t="str">
        <f ca="1">IFERROR(__xludf.DUMMYFUNCTION("""COMPUTED_VALUE"""),"001")</f>
        <v>001</v>
      </c>
      <c r="F82" s="201" t="str">
        <f ca="1">IFERROR(__xludf.DUMMYFUNCTION("""COMPUTED_VALUE"""),"3975")</f>
        <v>3975</v>
      </c>
      <c r="G82" s="202" t="str">
        <f ca="1">IFERROR(__xludf.DUMMYFUNCTION("""COMPUTED_VALUE"""),"0019461")</f>
        <v>0019461</v>
      </c>
      <c r="H82" s="202">
        <f ca="1">IFERROR(__xludf.DUMMYFUNCTION("""COMPUTED_VALUE"""),0)</f>
        <v>0</v>
      </c>
      <c r="I82" s="202">
        <f ca="1">IFERROR(__xludf.DUMMYFUNCTION("""COMPUTED_VALUE"""),0)</f>
        <v>0</v>
      </c>
      <c r="J82" s="202">
        <f ca="1">IFERROR(__xludf.DUMMYFUNCTION("""COMPUTED_VALUE"""),11844)</f>
        <v>11844</v>
      </c>
      <c r="K82" s="202">
        <f ca="1">IFERROR(__xludf.DUMMYFUNCTION("""COMPUTED_VALUE"""),0)</f>
        <v>0</v>
      </c>
      <c r="L82" s="202">
        <f ca="1">IFERROR(__xludf.DUMMYFUNCTION("""COMPUTED_VALUE"""),0)</f>
        <v>0</v>
      </c>
      <c r="M82" s="202">
        <f ca="1">IFERROR(__xludf.DUMMYFUNCTION("""COMPUTED_VALUE"""),336)</f>
        <v>336</v>
      </c>
      <c r="N82" s="202">
        <f ca="1">IFERROR(__xludf.DUMMYFUNCTION("""COMPUTED_VALUE"""),3003)</f>
        <v>3003</v>
      </c>
      <c r="O82" s="202">
        <f ca="1">IFERROR(__xludf.DUMMYFUNCTION("""COMPUTED_VALUE"""),0)</f>
        <v>0</v>
      </c>
      <c r="P82" s="202">
        <f t="shared" ca="1" si="1"/>
        <v>15183</v>
      </c>
    </row>
    <row r="83" spans="1:16" ht="12.75">
      <c r="A83" s="194" t="str">
        <f ca="1">IFERROR(__xludf.DUMMYFUNCTION("""COMPUTED_VALUE"""),"Araguatins")</f>
        <v>Araguatins</v>
      </c>
      <c r="B83" s="194" t="str">
        <f ca="1">IFERROR(__xludf.DUMMYFUNCTION("""COMPUTED_VALUE"""),"Axixa do Tocantins")</f>
        <v>Axixa do Tocantins</v>
      </c>
      <c r="C83" s="195" t="str">
        <f ca="1">IFERROR(__xludf.DUMMYFUNCTION("""COMPUTED_VALUE"""),"ASSOC. DE APOIO COLÉGIO. EST. MAL. RIBAS JUNIOR")</f>
        <v>ASSOC. DE APOIO COLÉGIO. EST. MAL. RIBAS JUNIOR</v>
      </c>
      <c r="D83" s="196" t="str">
        <f ca="1">IFERROR(__xludf.DUMMYFUNCTION("""COMPUTED_VALUE"""),"01086979000125")</f>
        <v>01086979000125</v>
      </c>
      <c r="E83" s="197" t="str">
        <f ca="1">IFERROR(__xludf.DUMMYFUNCTION("""COMPUTED_VALUE"""),"001")</f>
        <v>001</v>
      </c>
      <c r="F83" s="197" t="str">
        <f ca="1">IFERROR(__xludf.DUMMYFUNCTION("""COMPUTED_VALUE"""),"1305")</f>
        <v>1305</v>
      </c>
      <c r="G83" s="198" t="str">
        <f ca="1">IFERROR(__xludf.DUMMYFUNCTION("""COMPUTED_VALUE"""),"209201")</f>
        <v>209201</v>
      </c>
      <c r="H83" s="198">
        <f ca="1">IFERROR(__xludf.DUMMYFUNCTION("""COMPUTED_VALUE"""),0)</f>
        <v>0</v>
      </c>
      <c r="I83" s="198">
        <f ca="1">IFERROR(__xludf.DUMMYFUNCTION("""COMPUTED_VALUE"""),0)</f>
        <v>0</v>
      </c>
      <c r="J83" s="198">
        <f ca="1">IFERROR(__xludf.DUMMYFUNCTION("""COMPUTED_VALUE"""),0)</f>
        <v>0</v>
      </c>
      <c r="K83" s="198">
        <f ca="1">IFERROR(__xludf.DUMMYFUNCTION("""COMPUTED_VALUE"""),0)</f>
        <v>0</v>
      </c>
      <c r="L83" s="198">
        <f ca="1">IFERROR(__xludf.DUMMYFUNCTION("""COMPUTED_VALUE"""),0)</f>
        <v>0</v>
      </c>
      <c r="M83" s="198">
        <f ca="1">IFERROR(__xludf.DUMMYFUNCTION("""COMPUTED_VALUE"""),273)</f>
        <v>273</v>
      </c>
      <c r="N83" s="198">
        <f ca="1">IFERROR(__xludf.DUMMYFUNCTION("""COMPUTED_VALUE"""),12747)</f>
        <v>12747</v>
      </c>
      <c r="O83" s="198">
        <f ca="1">IFERROR(__xludf.DUMMYFUNCTION("""COMPUTED_VALUE"""),0)</f>
        <v>0</v>
      </c>
      <c r="P83" s="198">
        <f t="shared" ca="1" si="1"/>
        <v>13020</v>
      </c>
    </row>
    <row r="84" spans="1:16" ht="12.75">
      <c r="A84" s="199" t="str">
        <f ca="1">IFERROR(__xludf.DUMMYFUNCTION("""COMPUTED_VALUE"""),"Araguatins")</f>
        <v>Araguatins</v>
      </c>
      <c r="B84" s="199" t="str">
        <f ca="1">IFERROR(__xludf.DUMMYFUNCTION("""COMPUTED_VALUE"""),"Axixa do Tocantins")</f>
        <v>Axixa do Tocantins</v>
      </c>
      <c r="C84" s="145" t="str">
        <f ca="1">IFERROR(__xludf.DUMMYFUNCTION("""COMPUTED_VALUE"""),"A.A. ESC. EST. SAO FRANCISCO DE ASSIS")</f>
        <v>A.A. ESC. EST. SAO FRANCISCO DE ASSIS</v>
      </c>
      <c r="D84" s="200" t="str">
        <f ca="1">IFERROR(__xludf.DUMMYFUNCTION("""COMPUTED_VALUE"""),"01086980000150")</f>
        <v>01086980000150</v>
      </c>
      <c r="E84" s="201" t="str">
        <f ca="1">IFERROR(__xludf.DUMMYFUNCTION("""COMPUTED_VALUE"""),"001")</f>
        <v>001</v>
      </c>
      <c r="F84" s="201" t="str">
        <f ca="1">IFERROR(__xludf.DUMMYFUNCTION("""COMPUTED_VALUE"""),"1305")</f>
        <v>1305</v>
      </c>
      <c r="G84" s="202" t="str">
        <f ca="1">IFERROR(__xludf.DUMMYFUNCTION("""COMPUTED_VALUE"""),"19399")</f>
        <v>19399</v>
      </c>
      <c r="H84" s="202">
        <f ca="1">IFERROR(__xludf.DUMMYFUNCTION("""COMPUTED_VALUE"""),0)</f>
        <v>0</v>
      </c>
      <c r="I84" s="202">
        <f ca="1">IFERROR(__xludf.DUMMYFUNCTION("""COMPUTED_VALUE"""),0)</f>
        <v>0</v>
      </c>
      <c r="J84" s="202">
        <f ca="1">IFERROR(__xludf.DUMMYFUNCTION("""COMPUTED_VALUE"""),4515)</f>
        <v>4515</v>
      </c>
      <c r="K84" s="202">
        <f ca="1">IFERROR(__xludf.DUMMYFUNCTION("""COMPUTED_VALUE"""),0)</f>
        <v>0</v>
      </c>
      <c r="L84" s="202">
        <f ca="1">IFERROR(__xludf.DUMMYFUNCTION("""COMPUTED_VALUE"""),0)</f>
        <v>0</v>
      </c>
      <c r="M84" s="202">
        <f ca="1">IFERROR(__xludf.DUMMYFUNCTION("""COMPUTED_VALUE"""),294)</f>
        <v>294</v>
      </c>
      <c r="N84" s="202">
        <f ca="1">IFERROR(__xludf.DUMMYFUNCTION("""COMPUTED_VALUE"""),0)</f>
        <v>0</v>
      </c>
      <c r="O84" s="202">
        <f ca="1">IFERROR(__xludf.DUMMYFUNCTION("""COMPUTED_VALUE"""),0)</f>
        <v>0</v>
      </c>
      <c r="P84" s="202">
        <f t="shared" ca="1" si="1"/>
        <v>4809</v>
      </c>
    </row>
    <row r="85" spans="1:16" ht="12.75">
      <c r="A85" s="194" t="str">
        <f ca="1">IFERROR(__xludf.DUMMYFUNCTION("""COMPUTED_VALUE"""),"Araguatins")</f>
        <v>Araguatins</v>
      </c>
      <c r="B85" s="194" t="str">
        <f ca="1">IFERROR(__xludf.DUMMYFUNCTION("""COMPUTED_VALUE"""),"Buriti do Tocantins")</f>
        <v>Buriti do Tocantins</v>
      </c>
      <c r="C85" s="195" t="str">
        <f ca="1">IFERROR(__xludf.DUMMYFUNCTION("""COMPUTED_VALUE"""),"A.A. DA ESCOLA ESTADUAL DARCYNOPOLIS")</f>
        <v>A.A. DA ESCOLA ESTADUAL DARCYNOPOLIS</v>
      </c>
      <c r="D85" s="196" t="str">
        <f ca="1">IFERROR(__xludf.DUMMYFUNCTION("""COMPUTED_VALUE"""),"01190184000162")</f>
        <v>01190184000162</v>
      </c>
      <c r="E85" s="197" t="str">
        <f ca="1">IFERROR(__xludf.DUMMYFUNCTION("""COMPUTED_VALUE"""),"001")</f>
        <v>001</v>
      </c>
      <c r="F85" s="197" t="str">
        <f ca="1">IFERROR(__xludf.DUMMYFUNCTION("""COMPUTED_VALUE"""),"3975")</f>
        <v>3975</v>
      </c>
      <c r="G85" s="198" t="str">
        <f ca="1">IFERROR(__xludf.DUMMYFUNCTION("""COMPUTED_VALUE"""),"0019275")</f>
        <v>0019275</v>
      </c>
      <c r="H85" s="198">
        <f ca="1">IFERROR(__xludf.DUMMYFUNCTION("""COMPUTED_VALUE"""),0)</f>
        <v>0</v>
      </c>
      <c r="I85" s="198">
        <f ca="1">IFERROR(__xludf.DUMMYFUNCTION("""COMPUTED_VALUE"""),0)</f>
        <v>0</v>
      </c>
      <c r="J85" s="198">
        <f ca="1">IFERROR(__xludf.DUMMYFUNCTION("""COMPUTED_VALUE"""),2058)</f>
        <v>2058</v>
      </c>
      <c r="K85" s="198">
        <f ca="1">IFERROR(__xludf.DUMMYFUNCTION("""COMPUTED_VALUE"""),0)</f>
        <v>0</v>
      </c>
      <c r="L85" s="198">
        <f ca="1">IFERROR(__xludf.DUMMYFUNCTION("""COMPUTED_VALUE"""),0)</f>
        <v>0</v>
      </c>
      <c r="M85" s="198">
        <f ca="1">IFERROR(__xludf.DUMMYFUNCTION("""COMPUTED_VALUE"""),273)</f>
        <v>273</v>
      </c>
      <c r="N85" s="198">
        <f ca="1">IFERROR(__xludf.DUMMYFUNCTION("""COMPUTED_VALUE"""),882)</f>
        <v>882</v>
      </c>
      <c r="O85" s="198">
        <f ca="1">IFERROR(__xludf.DUMMYFUNCTION("""COMPUTED_VALUE"""),0)</f>
        <v>0</v>
      </c>
      <c r="P85" s="198">
        <f t="shared" ca="1" si="1"/>
        <v>3213</v>
      </c>
    </row>
    <row r="86" spans="1:16" ht="12.75">
      <c r="A86" s="199" t="str">
        <f ca="1">IFERROR(__xludf.DUMMYFUNCTION("""COMPUTED_VALUE"""),"Araguatins")</f>
        <v>Araguatins</v>
      </c>
      <c r="B86" s="199" t="str">
        <f ca="1">IFERROR(__xludf.DUMMYFUNCTION("""COMPUTED_VALUE"""),"Buriti do Tocantins")</f>
        <v>Buriti do Tocantins</v>
      </c>
      <c r="C86" s="145" t="str">
        <f ca="1">IFERROR(__xludf.DUMMYFUNCTION("""COMPUTED_VALUE"""),"A.A. ESC. ESTADUAL MINISTRO NEY BRAGA")</f>
        <v>A.A. ESC. ESTADUAL MINISTRO NEY BRAGA</v>
      </c>
      <c r="D86" s="200" t="str">
        <f ca="1">IFERROR(__xludf.DUMMYFUNCTION("""COMPUTED_VALUE"""),"01206220000139")</f>
        <v>01206220000139</v>
      </c>
      <c r="E86" s="201" t="str">
        <f ca="1">IFERROR(__xludf.DUMMYFUNCTION("""COMPUTED_VALUE"""),"001")</f>
        <v>001</v>
      </c>
      <c r="F86" s="201" t="str">
        <f ca="1">IFERROR(__xludf.DUMMYFUNCTION("""COMPUTED_VALUE"""),"1305")</f>
        <v>1305</v>
      </c>
      <c r="G86" s="202" t="str">
        <f ca="1">IFERROR(__xludf.DUMMYFUNCTION("""COMPUTED_VALUE"""),"10941X")</f>
        <v>10941X</v>
      </c>
      <c r="H86" s="202">
        <f ca="1">IFERROR(__xludf.DUMMYFUNCTION("""COMPUTED_VALUE"""),0)</f>
        <v>0</v>
      </c>
      <c r="I86" s="202">
        <f ca="1">IFERROR(__xludf.DUMMYFUNCTION("""COMPUTED_VALUE"""),0)</f>
        <v>0</v>
      </c>
      <c r="J86" s="202">
        <f ca="1">IFERROR(__xludf.DUMMYFUNCTION("""COMPUTED_VALUE"""),1155)</f>
        <v>1155</v>
      </c>
      <c r="K86" s="202">
        <f ca="1">IFERROR(__xludf.DUMMYFUNCTION("""COMPUTED_VALUE"""),0)</f>
        <v>0</v>
      </c>
      <c r="L86" s="202">
        <f ca="1">IFERROR(__xludf.DUMMYFUNCTION("""COMPUTED_VALUE"""),0)</f>
        <v>0</v>
      </c>
      <c r="M86" s="202">
        <f ca="1">IFERROR(__xludf.DUMMYFUNCTION("""COMPUTED_VALUE"""),210)</f>
        <v>210</v>
      </c>
      <c r="N86" s="202">
        <f ca="1">IFERROR(__xludf.DUMMYFUNCTION("""COMPUTED_VALUE"""),1092)</f>
        <v>1092</v>
      </c>
      <c r="O86" s="202">
        <f ca="1">IFERROR(__xludf.DUMMYFUNCTION("""COMPUTED_VALUE"""),273)</f>
        <v>273</v>
      </c>
      <c r="P86" s="202">
        <f t="shared" ca="1" si="1"/>
        <v>2730</v>
      </c>
    </row>
    <row r="87" spans="1:16" ht="12.75">
      <c r="A87" s="194" t="str">
        <f ca="1">IFERROR(__xludf.DUMMYFUNCTION("""COMPUTED_VALUE"""),"Araguatins")</f>
        <v>Araguatins</v>
      </c>
      <c r="B87" s="194" t="str">
        <f ca="1">IFERROR(__xludf.DUMMYFUNCTION("""COMPUTED_VALUE"""),"Buriti do Tocantins")</f>
        <v>Buriti do Tocantins</v>
      </c>
      <c r="C87" s="195" t="str">
        <f ca="1">IFERROR(__xludf.DUMMYFUNCTION("""COMPUTED_VALUE"""),"A.A. ESC. E.PRES.TANCREDO DE A.NEVES")</f>
        <v>A.A. ESC. E.PRES.TANCREDO DE A.NEVES</v>
      </c>
      <c r="D87" s="196" t="str">
        <f ca="1">IFERROR(__xludf.DUMMYFUNCTION("""COMPUTED_VALUE"""),"01112478000176")</f>
        <v>01112478000176</v>
      </c>
      <c r="E87" s="197" t="str">
        <f ca="1">IFERROR(__xludf.DUMMYFUNCTION("""COMPUTED_VALUE"""),"001")</f>
        <v>001</v>
      </c>
      <c r="F87" s="197" t="str">
        <f ca="1">IFERROR(__xludf.DUMMYFUNCTION("""COMPUTED_VALUE"""),"1305")</f>
        <v>1305</v>
      </c>
      <c r="G87" s="198" t="str">
        <f ca="1">IFERROR(__xludf.DUMMYFUNCTION("""COMPUTED_VALUE"""),"10924X")</f>
        <v>10924X</v>
      </c>
      <c r="H87" s="198">
        <f ca="1">IFERROR(__xludf.DUMMYFUNCTION("""COMPUTED_VALUE"""),0)</f>
        <v>0</v>
      </c>
      <c r="I87" s="198">
        <f ca="1">IFERROR(__xludf.DUMMYFUNCTION("""COMPUTED_VALUE"""),0)</f>
        <v>0</v>
      </c>
      <c r="J87" s="198">
        <f ca="1">IFERROR(__xludf.DUMMYFUNCTION("""COMPUTED_VALUE"""),3738)</f>
        <v>3738</v>
      </c>
      <c r="K87" s="198">
        <f ca="1">IFERROR(__xludf.DUMMYFUNCTION("""COMPUTED_VALUE"""),0)</f>
        <v>0</v>
      </c>
      <c r="L87" s="198">
        <f ca="1">IFERROR(__xludf.DUMMYFUNCTION("""COMPUTED_VALUE"""),0)</f>
        <v>0</v>
      </c>
      <c r="M87" s="198">
        <f ca="1">IFERROR(__xludf.DUMMYFUNCTION("""COMPUTED_VALUE"""),777)</f>
        <v>777</v>
      </c>
      <c r="N87" s="198">
        <f ca="1">IFERROR(__xludf.DUMMYFUNCTION("""COMPUTED_VALUE"""),0)</f>
        <v>0</v>
      </c>
      <c r="O87" s="198">
        <f ca="1">IFERROR(__xludf.DUMMYFUNCTION("""COMPUTED_VALUE"""),0)</f>
        <v>0</v>
      </c>
      <c r="P87" s="198">
        <f t="shared" ca="1" si="1"/>
        <v>4515</v>
      </c>
    </row>
    <row r="88" spans="1:16" ht="12.75">
      <c r="A88" s="199" t="str">
        <f ca="1">IFERROR(__xludf.DUMMYFUNCTION("""COMPUTED_VALUE"""),"Araguatins")</f>
        <v>Araguatins</v>
      </c>
      <c r="B88" s="199" t="str">
        <f ca="1">IFERROR(__xludf.DUMMYFUNCTION("""COMPUTED_VALUE"""),"Buriti do Tocantins")</f>
        <v>Buriti do Tocantins</v>
      </c>
      <c r="C88" s="145" t="str">
        <f ca="1">IFERROR(__xludf.DUMMYFUNCTION("""COMPUTED_VALUE"""),"A.A. ESC. EST. VICENTE CARLOS DE SOUSA")</f>
        <v>A.A. ESC. EST. VICENTE CARLOS DE SOUSA</v>
      </c>
      <c r="D88" s="200" t="str">
        <f ca="1">IFERROR(__xludf.DUMMYFUNCTION("""COMPUTED_VALUE"""),"01206288000118")</f>
        <v>01206288000118</v>
      </c>
      <c r="E88" s="201" t="str">
        <f ca="1">IFERROR(__xludf.DUMMYFUNCTION("""COMPUTED_VALUE"""),"001")</f>
        <v>001</v>
      </c>
      <c r="F88" s="201" t="str">
        <f ca="1">IFERROR(__xludf.DUMMYFUNCTION("""COMPUTED_VALUE"""),"1305")</f>
        <v>1305</v>
      </c>
      <c r="G88" s="202" t="str">
        <f ca="1">IFERROR(__xludf.DUMMYFUNCTION("""COMPUTED_VALUE"""),"0109614")</f>
        <v>0109614</v>
      </c>
      <c r="H88" s="202">
        <f ca="1">IFERROR(__xludf.DUMMYFUNCTION("""COMPUTED_VALUE"""),0)</f>
        <v>0</v>
      </c>
      <c r="I88" s="202">
        <f ca="1">IFERROR(__xludf.DUMMYFUNCTION("""COMPUTED_VALUE"""),0)</f>
        <v>0</v>
      </c>
      <c r="J88" s="202">
        <f ca="1">IFERROR(__xludf.DUMMYFUNCTION("""COMPUTED_VALUE"""),8295)</f>
        <v>8295</v>
      </c>
      <c r="K88" s="202">
        <f ca="1">IFERROR(__xludf.DUMMYFUNCTION("""COMPUTED_VALUE"""),0)</f>
        <v>0</v>
      </c>
      <c r="L88" s="202">
        <f ca="1">IFERROR(__xludf.DUMMYFUNCTION("""COMPUTED_VALUE"""),0)</f>
        <v>0</v>
      </c>
      <c r="M88" s="202">
        <f ca="1">IFERROR(__xludf.DUMMYFUNCTION("""COMPUTED_VALUE"""),231)</f>
        <v>231</v>
      </c>
      <c r="N88" s="202">
        <f ca="1">IFERROR(__xludf.DUMMYFUNCTION("""COMPUTED_VALUE"""),2520)</f>
        <v>2520</v>
      </c>
      <c r="O88" s="202">
        <f ca="1">IFERROR(__xludf.DUMMYFUNCTION("""COMPUTED_VALUE"""),0)</f>
        <v>0</v>
      </c>
      <c r="P88" s="202">
        <f t="shared" ca="1" si="1"/>
        <v>11046</v>
      </c>
    </row>
    <row r="89" spans="1:16" ht="12.75">
      <c r="A89" s="194" t="str">
        <f ca="1">IFERROR(__xludf.DUMMYFUNCTION("""COMPUTED_VALUE"""),"Araguatins")</f>
        <v>Araguatins</v>
      </c>
      <c r="B89" s="194" t="str">
        <f ca="1">IFERROR(__xludf.DUMMYFUNCTION("""COMPUTED_VALUE"""),"Carrasco Bonito")</f>
        <v>Carrasco Bonito</v>
      </c>
      <c r="C89" s="195" t="str">
        <f ca="1">IFERROR(__xludf.DUMMYFUNCTION("""COMPUTED_VALUE"""),"A.A. DA ESC. EST. CICERO GOMES")</f>
        <v>A.A. DA ESC. EST. CICERO GOMES</v>
      </c>
      <c r="D89" s="196" t="str">
        <f ca="1">IFERROR(__xludf.DUMMYFUNCTION("""COMPUTED_VALUE"""),"01068377000145")</f>
        <v>01068377000145</v>
      </c>
      <c r="E89" s="197" t="str">
        <f ca="1">IFERROR(__xludf.DUMMYFUNCTION("""COMPUTED_VALUE"""),"001")</f>
        <v>001</v>
      </c>
      <c r="F89" s="197" t="str">
        <f ca="1">IFERROR(__xludf.DUMMYFUNCTION("""COMPUTED_VALUE"""),"3975")</f>
        <v>3975</v>
      </c>
      <c r="G89" s="198" t="str">
        <f ca="1">IFERROR(__xludf.DUMMYFUNCTION("""COMPUTED_VALUE"""),"19291")</f>
        <v>19291</v>
      </c>
      <c r="H89" s="198">
        <f ca="1">IFERROR(__xludf.DUMMYFUNCTION("""COMPUTED_VALUE"""),0)</f>
        <v>0</v>
      </c>
      <c r="I89" s="198">
        <f ca="1">IFERROR(__xludf.DUMMYFUNCTION("""COMPUTED_VALUE"""),0)</f>
        <v>0</v>
      </c>
      <c r="J89" s="198">
        <f ca="1">IFERROR(__xludf.DUMMYFUNCTION("""COMPUTED_VALUE"""),1533)</f>
        <v>1533</v>
      </c>
      <c r="K89" s="198">
        <f ca="1">IFERROR(__xludf.DUMMYFUNCTION("""COMPUTED_VALUE"""),0)</f>
        <v>0</v>
      </c>
      <c r="L89" s="198">
        <f ca="1">IFERROR(__xludf.DUMMYFUNCTION("""COMPUTED_VALUE"""),0)</f>
        <v>0</v>
      </c>
      <c r="M89" s="198">
        <f ca="1">IFERROR(__xludf.DUMMYFUNCTION("""COMPUTED_VALUE"""),231)</f>
        <v>231</v>
      </c>
      <c r="N89" s="198">
        <f ca="1">IFERROR(__xludf.DUMMYFUNCTION("""COMPUTED_VALUE"""),2520)</f>
        <v>2520</v>
      </c>
      <c r="O89" s="198">
        <f ca="1">IFERROR(__xludf.DUMMYFUNCTION("""COMPUTED_VALUE"""),0)</f>
        <v>0</v>
      </c>
      <c r="P89" s="198">
        <f t="shared" ca="1" si="1"/>
        <v>4284</v>
      </c>
    </row>
    <row r="90" spans="1:16" ht="12.75">
      <c r="A90" s="199" t="str">
        <f ca="1">IFERROR(__xludf.DUMMYFUNCTION("""COMPUTED_VALUE"""),"Araguatins")</f>
        <v>Araguatins</v>
      </c>
      <c r="B90" s="199" t="str">
        <f ca="1">IFERROR(__xludf.DUMMYFUNCTION("""COMPUTED_VALUE"""),"Carrasco Bonito")</f>
        <v>Carrasco Bonito</v>
      </c>
      <c r="C90" s="145" t="str">
        <f ca="1">IFERROR(__xludf.DUMMYFUNCTION("""COMPUTED_VALUE"""),"A.A.  DA ESCOLA ESTADUAL INES VIANA")</f>
        <v>A.A.  DA ESCOLA ESTADUAL INES VIANA</v>
      </c>
      <c r="D90" s="200" t="str">
        <f ca="1">IFERROR(__xludf.DUMMYFUNCTION("""COMPUTED_VALUE"""),"02508340000153")</f>
        <v>02508340000153</v>
      </c>
      <c r="E90" s="201" t="str">
        <f ca="1">IFERROR(__xludf.DUMMYFUNCTION("""COMPUTED_VALUE"""),"001")</f>
        <v>001</v>
      </c>
      <c r="F90" s="201" t="str">
        <f ca="1">IFERROR(__xludf.DUMMYFUNCTION("""COMPUTED_VALUE"""),"3975")</f>
        <v>3975</v>
      </c>
      <c r="G90" s="202" t="str">
        <f ca="1">IFERROR(__xludf.DUMMYFUNCTION("""COMPUTED_VALUE"""),"51713")</f>
        <v>51713</v>
      </c>
      <c r="H90" s="202">
        <f ca="1">IFERROR(__xludf.DUMMYFUNCTION("""COMPUTED_VALUE"""),0)</f>
        <v>0</v>
      </c>
      <c r="I90" s="202">
        <f ca="1">IFERROR(__xludf.DUMMYFUNCTION("""COMPUTED_VALUE"""),0)</f>
        <v>0</v>
      </c>
      <c r="J90" s="202">
        <f ca="1">IFERROR(__xludf.DUMMYFUNCTION("""COMPUTED_VALUE"""),1722)</f>
        <v>1722</v>
      </c>
      <c r="K90" s="202">
        <f ca="1">IFERROR(__xludf.DUMMYFUNCTION("""COMPUTED_VALUE"""),0)</f>
        <v>0</v>
      </c>
      <c r="L90" s="202">
        <f ca="1">IFERROR(__xludf.DUMMYFUNCTION("""COMPUTED_VALUE"""),0)</f>
        <v>0</v>
      </c>
      <c r="M90" s="202">
        <f ca="1">IFERROR(__xludf.DUMMYFUNCTION("""COMPUTED_VALUE"""),0)</f>
        <v>0</v>
      </c>
      <c r="N90" s="202">
        <f ca="1">IFERROR(__xludf.DUMMYFUNCTION("""COMPUTED_VALUE"""),819)</f>
        <v>819</v>
      </c>
      <c r="O90" s="202">
        <f ca="1">IFERROR(__xludf.DUMMYFUNCTION("""COMPUTED_VALUE"""),0)</f>
        <v>0</v>
      </c>
      <c r="P90" s="202">
        <f t="shared" ca="1" si="1"/>
        <v>2541</v>
      </c>
    </row>
    <row r="91" spans="1:16" ht="12.75">
      <c r="A91" s="194" t="str">
        <f ca="1">IFERROR(__xludf.DUMMYFUNCTION("""COMPUTED_VALUE"""),"Araguatins")</f>
        <v>Araguatins</v>
      </c>
      <c r="B91" s="194" t="str">
        <f ca="1">IFERROR(__xludf.DUMMYFUNCTION("""COMPUTED_VALUE"""),"Esperantina")</f>
        <v>Esperantina</v>
      </c>
      <c r="C91" s="195" t="str">
        <f ca="1">IFERROR(__xludf.DUMMYFUNCTION("""COMPUTED_VALUE"""),"A.A. ESC. EST. JOAQUINA MARIA DA SILVA")</f>
        <v>A.A. ESC. EST. JOAQUINA MARIA DA SILVA</v>
      </c>
      <c r="D91" s="196" t="str">
        <f ca="1">IFERROR(__xludf.DUMMYFUNCTION("""COMPUTED_VALUE"""),"01113183000114")</f>
        <v>01113183000114</v>
      </c>
      <c r="E91" s="197" t="str">
        <f ca="1">IFERROR(__xludf.DUMMYFUNCTION("""COMPUTED_VALUE"""),"001")</f>
        <v>001</v>
      </c>
      <c r="F91" s="197" t="str">
        <f ca="1">IFERROR(__xludf.DUMMYFUNCTION("""COMPUTED_VALUE"""),"1305")</f>
        <v>1305</v>
      </c>
      <c r="G91" s="198" t="str">
        <f ca="1">IFERROR(__xludf.DUMMYFUNCTION("""COMPUTED_VALUE"""),"109665")</f>
        <v>109665</v>
      </c>
      <c r="H91" s="198">
        <f ca="1">IFERROR(__xludf.DUMMYFUNCTION("""COMPUTED_VALUE"""),0)</f>
        <v>0</v>
      </c>
      <c r="I91" s="198">
        <f ca="1">IFERROR(__xludf.DUMMYFUNCTION("""COMPUTED_VALUE"""),0)</f>
        <v>0</v>
      </c>
      <c r="J91" s="198">
        <f ca="1">IFERROR(__xludf.DUMMYFUNCTION("""COMPUTED_VALUE"""),3255)</f>
        <v>3255</v>
      </c>
      <c r="K91" s="198">
        <f ca="1">IFERROR(__xludf.DUMMYFUNCTION("""COMPUTED_VALUE"""),0)</f>
        <v>0</v>
      </c>
      <c r="L91" s="198">
        <f ca="1">IFERROR(__xludf.DUMMYFUNCTION("""COMPUTED_VALUE"""),0)</f>
        <v>0</v>
      </c>
      <c r="M91" s="198">
        <f ca="1">IFERROR(__xludf.DUMMYFUNCTION("""COMPUTED_VALUE"""),0)</f>
        <v>0</v>
      </c>
      <c r="N91" s="198">
        <f ca="1">IFERROR(__xludf.DUMMYFUNCTION("""COMPUTED_VALUE"""),5271)</f>
        <v>5271</v>
      </c>
      <c r="O91" s="198">
        <f ca="1">IFERROR(__xludf.DUMMYFUNCTION("""COMPUTED_VALUE"""),0)</f>
        <v>0</v>
      </c>
      <c r="P91" s="198">
        <f t="shared" ca="1" si="1"/>
        <v>8526</v>
      </c>
    </row>
    <row r="92" spans="1:16" ht="12.75">
      <c r="A92" s="199" t="str">
        <f ca="1">IFERROR(__xludf.DUMMYFUNCTION("""COMPUTED_VALUE"""),"Araguatins")</f>
        <v>Araguatins</v>
      </c>
      <c r="B92" s="199" t="str">
        <f ca="1">IFERROR(__xludf.DUMMYFUNCTION("""COMPUTED_VALUE"""),"Esperantina")</f>
        <v>Esperantina</v>
      </c>
      <c r="C92" s="145" t="str">
        <f ca="1">IFERROR(__xludf.DUMMYFUNCTION("""COMPUTED_VALUE"""),"A.A. ESC. ESTADUAL ULISSES GUIMARAES")</f>
        <v>A.A. ESC. ESTADUAL ULISSES GUIMARAES</v>
      </c>
      <c r="D92" s="200" t="str">
        <f ca="1">IFERROR(__xludf.DUMMYFUNCTION("""COMPUTED_VALUE"""),"01190183000118")</f>
        <v>01190183000118</v>
      </c>
      <c r="E92" s="201" t="str">
        <f ca="1">IFERROR(__xludf.DUMMYFUNCTION("""COMPUTED_VALUE"""),"001")</f>
        <v>001</v>
      </c>
      <c r="F92" s="201" t="str">
        <f ca="1">IFERROR(__xludf.DUMMYFUNCTION("""COMPUTED_VALUE"""),"1305")</f>
        <v>1305</v>
      </c>
      <c r="G92" s="202" t="str">
        <f ca="1">IFERROR(__xludf.DUMMYFUNCTION("""COMPUTED_VALUE"""),"109363")</f>
        <v>109363</v>
      </c>
      <c r="H92" s="202">
        <f ca="1">IFERROR(__xludf.DUMMYFUNCTION("""COMPUTED_VALUE"""),0)</f>
        <v>0</v>
      </c>
      <c r="I92" s="202">
        <f ca="1">IFERROR(__xludf.DUMMYFUNCTION("""COMPUTED_VALUE"""),0)</f>
        <v>0</v>
      </c>
      <c r="J92" s="202">
        <f ca="1">IFERROR(__xludf.DUMMYFUNCTION("""COMPUTED_VALUE"""),2331)</f>
        <v>2331</v>
      </c>
      <c r="K92" s="202">
        <f ca="1">IFERROR(__xludf.DUMMYFUNCTION("""COMPUTED_VALUE"""),0)</f>
        <v>0</v>
      </c>
      <c r="L92" s="202">
        <f ca="1">IFERROR(__xludf.DUMMYFUNCTION("""COMPUTED_VALUE"""),0)</f>
        <v>0</v>
      </c>
      <c r="M92" s="202">
        <f ca="1">IFERROR(__xludf.DUMMYFUNCTION("""COMPUTED_VALUE"""),168)</f>
        <v>168</v>
      </c>
      <c r="N92" s="202">
        <f ca="1">IFERROR(__xludf.DUMMYFUNCTION("""COMPUTED_VALUE"""),4242)</f>
        <v>4242</v>
      </c>
      <c r="O92" s="202">
        <f ca="1">IFERROR(__xludf.DUMMYFUNCTION("""COMPUTED_VALUE"""),0)</f>
        <v>0</v>
      </c>
      <c r="P92" s="202">
        <f t="shared" ca="1" si="1"/>
        <v>6741</v>
      </c>
    </row>
    <row r="93" spans="1:16" ht="12.75">
      <c r="A93" s="194" t="str">
        <f ca="1">IFERROR(__xludf.DUMMYFUNCTION("""COMPUTED_VALUE"""),"Araguatins")</f>
        <v>Araguatins</v>
      </c>
      <c r="B93" s="194" t="str">
        <f ca="1">IFERROR(__xludf.DUMMYFUNCTION("""COMPUTED_VALUE"""),"Praia Norte")</f>
        <v>Praia Norte</v>
      </c>
      <c r="C93" s="195" t="str">
        <f ca="1">IFERROR(__xludf.DUMMYFUNCTION("""COMPUTED_VALUE"""),"ASS. AP.ESC. ESTADUAL GENESIO GOMES")</f>
        <v>ASS. AP.ESC. ESTADUAL GENESIO GOMES</v>
      </c>
      <c r="D93" s="196" t="str">
        <f ca="1">IFERROR(__xludf.DUMMYFUNCTION("""COMPUTED_VALUE"""),"01192607000183")</f>
        <v>01192607000183</v>
      </c>
      <c r="E93" s="197" t="str">
        <f ca="1">IFERROR(__xludf.DUMMYFUNCTION("""COMPUTED_VALUE"""),"001")</f>
        <v>001</v>
      </c>
      <c r="F93" s="197" t="str">
        <f ca="1">IFERROR(__xludf.DUMMYFUNCTION("""COMPUTED_VALUE"""),"3975")</f>
        <v>3975</v>
      </c>
      <c r="G93" s="198" t="str">
        <f ca="1">IFERROR(__xludf.DUMMYFUNCTION("""COMPUTED_VALUE"""),"19690")</f>
        <v>19690</v>
      </c>
      <c r="H93" s="198">
        <f ca="1">IFERROR(__xludf.DUMMYFUNCTION("""COMPUTED_VALUE"""),0)</f>
        <v>0</v>
      </c>
      <c r="I93" s="198">
        <f ca="1">IFERROR(__xludf.DUMMYFUNCTION("""COMPUTED_VALUE"""),0)</f>
        <v>0</v>
      </c>
      <c r="J93" s="198">
        <f ca="1">IFERROR(__xludf.DUMMYFUNCTION("""COMPUTED_VALUE"""),0)</f>
        <v>0</v>
      </c>
      <c r="K93" s="198">
        <f ca="1">IFERROR(__xludf.DUMMYFUNCTION("""COMPUTED_VALUE"""),0)</f>
        <v>0</v>
      </c>
      <c r="L93" s="198">
        <f ca="1">IFERROR(__xludf.DUMMYFUNCTION("""COMPUTED_VALUE"""),0)</f>
        <v>0</v>
      </c>
      <c r="M93" s="198">
        <f ca="1">IFERROR(__xludf.DUMMYFUNCTION("""COMPUTED_VALUE"""),0)</f>
        <v>0</v>
      </c>
      <c r="N93" s="198">
        <f ca="1">IFERROR(__xludf.DUMMYFUNCTION("""COMPUTED_VALUE"""),6888)</f>
        <v>6888</v>
      </c>
      <c r="O93" s="198">
        <f ca="1">IFERROR(__xludf.DUMMYFUNCTION("""COMPUTED_VALUE"""),1029)</f>
        <v>1029</v>
      </c>
      <c r="P93" s="198">
        <f t="shared" ca="1" si="1"/>
        <v>7917</v>
      </c>
    </row>
    <row r="94" spans="1:16" ht="12.75">
      <c r="A94" s="199" t="str">
        <f ca="1">IFERROR(__xludf.DUMMYFUNCTION("""COMPUTED_VALUE"""),"Araguatins")</f>
        <v>Araguatins</v>
      </c>
      <c r="B94" s="199" t="str">
        <f ca="1">IFERROR(__xludf.DUMMYFUNCTION("""COMPUTED_VALUE"""),"Sampaio")</f>
        <v>Sampaio</v>
      </c>
      <c r="C94" s="145" t="str">
        <f ca="1">IFERROR(__xludf.DUMMYFUNCTION("""COMPUTED_VALUE"""),"A. DE AP. DA ESCOLA ESTADUAL SAMPAIO")</f>
        <v>A. DE AP. DA ESCOLA ESTADUAL SAMPAIO</v>
      </c>
      <c r="D94" s="200" t="str">
        <f ca="1">IFERROR(__xludf.DUMMYFUNCTION("""COMPUTED_VALUE"""),"01190179000150")</f>
        <v>01190179000150</v>
      </c>
      <c r="E94" s="201" t="str">
        <f ca="1">IFERROR(__xludf.DUMMYFUNCTION("""COMPUTED_VALUE"""),"001")</f>
        <v>001</v>
      </c>
      <c r="F94" s="201" t="str">
        <f ca="1">IFERROR(__xludf.DUMMYFUNCTION("""COMPUTED_VALUE"""),"1305")</f>
        <v>1305</v>
      </c>
      <c r="G94" s="202" t="str">
        <f ca="1">IFERROR(__xludf.DUMMYFUNCTION("""COMPUTED_VALUE"""),"0019178")</f>
        <v>0019178</v>
      </c>
      <c r="H94" s="202">
        <f ca="1">IFERROR(__xludf.DUMMYFUNCTION("""COMPUTED_VALUE"""),0)</f>
        <v>0</v>
      </c>
      <c r="I94" s="202">
        <f ca="1">IFERROR(__xludf.DUMMYFUNCTION("""COMPUTED_VALUE"""),0)</f>
        <v>0</v>
      </c>
      <c r="J94" s="202">
        <f ca="1">IFERROR(__xludf.DUMMYFUNCTION("""COMPUTED_VALUE"""),8253)</f>
        <v>8253</v>
      </c>
      <c r="K94" s="202">
        <f ca="1">IFERROR(__xludf.DUMMYFUNCTION("""COMPUTED_VALUE"""),0)</f>
        <v>0</v>
      </c>
      <c r="L94" s="202">
        <f ca="1">IFERROR(__xludf.DUMMYFUNCTION("""COMPUTED_VALUE"""),0)</f>
        <v>0</v>
      </c>
      <c r="M94" s="202">
        <f ca="1">IFERROR(__xludf.DUMMYFUNCTION("""COMPUTED_VALUE"""),252)</f>
        <v>252</v>
      </c>
      <c r="N94" s="202">
        <f ca="1">IFERROR(__xludf.DUMMYFUNCTION("""COMPUTED_VALUE"""),4788)</f>
        <v>4788</v>
      </c>
      <c r="O94" s="202">
        <f ca="1">IFERROR(__xludf.DUMMYFUNCTION("""COMPUTED_VALUE"""),0)</f>
        <v>0</v>
      </c>
      <c r="P94" s="202">
        <f t="shared" ca="1" si="1"/>
        <v>13293</v>
      </c>
    </row>
    <row r="95" spans="1:16" ht="12.75">
      <c r="A95" s="194" t="str">
        <f ca="1">IFERROR(__xludf.DUMMYFUNCTION("""COMPUTED_VALUE"""),"Araguatins")</f>
        <v>Araguatins</v>
      </c>
      <c r="B95" s="194" t="str">
        <f ca="1">IFERROR(__xludf.DUMMYFUNCTION("""COMPUTED_VALUE"""),"Sao Bento do Tocantins")</f>
        <v>Sao Bento do Tocantins</v>
      </c>
      <c r="C95" s="195" t="str">
        <f ca="1">IFERROR(__xludf.DUMMYFUNCTION("""COMPUTED_VALUE"""),"A.A. COLEGIO EST. IRMAOS FILGUEIRAS")</f>
        <v>A.A. COLEGIO EST. IRMAOS FILGUEIRAS</v>
      </c>
      <c r="D95" s="196" t="str">
        <f ca="1">IFERROR(__xludf.DUMMYFUNCTION("""COMPUTED_VALUE"""),"01068348000183")</f>
        <v>01068348000183</v>
      </c>
      <c r="E95" s="197" t="str">
        <f ca="1">IFERROR(__xludf.DUMMYFUNCTION("""COMPUTED_VALUE"""),"001")</f>
        <v>001</v>
      </c>
      <c r="F95" s="197" t="str">
        <f ca="1">IFERROR(__xludf.DUMMYFUNCTION("""COMPUTED_VALUE"""),"1305")</f>
        <v>1305</v>
      </c>
      <c r="G95" s="198" t="str">
        <f ca="1">IFERROR(__xludf.DUMMYFUNCTION("""COMPUTED_VALUE"""),"109134")</f>
        <v>109134</v>
      </c>
      <c r="H95" s="198">
        <f ca="1">IFERROR(__xludf.DUMMYFUNCTION("""COMPUTED_VALUE"""),0)</f>
        <v>0</v>
      </c>
      <c r="I95" s="198">
        <f ca="1">IFERROR(__xludf.DUMMYFUNCTION("""COMPUTED_VALUE"""),0)</f>
        <v>0</v>
      </c>
      <c r="J95" s="198">
        <f ca="1">IFERROR(__xludf.DUMMYFUNCTION("""COMPUTED_VALUE"""),4032)</f>
        <v>4032</v>
      </c>
      <c r="K95" s="198">
        <f ca="1">IFERROR(__xludf.DUMMYFUNCTION("""COMPUTED_VALUE"""),0)</f>
        <v>0</v>
      </c>
      <c r="L95" s="198">
        <f ca="1">IFERROR(__xludf.DUMMYFUNCTION("""COMPUTED_VALUE"""),0)</f>
        <v>0</v>
      </c>
      <c r="M95" s="198">
        <f ca="1">IFERROR(__xludf.DUMMYFUNCTION("""COMPUTED_VALUE"""),378)</f>
        <v>378</v>
      </c>
      <c r="N95" s="198">
        <f ca="1">IFERROR(__xludf.DUMMYFUNCTION("""COMPUTED_VALUE"""),4788)</f>
        <v>4788</v>
      </c>
      <c r="O95" s="198">
        <f ca="1">IFERROR(__xludf.DUMMYFUNCTION("""COMPUTED_VALUE"""),1449)</f>
        <v>1449</v>
      </c>
      <c r="P95" s="198">
        <f t="shared" ca="1" si="1"/>
        <v>10647</v>
      </c>
    </row>
    <row r="96" spans="1:16" ht="12.75">
      <c r="A96" s="199" t="str">
        <f ca="1">IFERROR(__xludf.DUMMYFUNCTION("""COMPUTED_VALUE"""),"Araguatins")</f>
        <v>Araguatins</v>
      </c>
      <c r="B96" s="199" t="str">
        <f ca="1">IFERROR(__xludf.DUMMYFUNCTION("""COMPUTED_VALUE"""),"Sao Bento do Tocantins")</f>
        <v>Sao Bento do Tocantins</v>
      </c>
      <c r="C96" s="145" t="str">
        <f ca="1">IFERROR(__xludf.DUMMYFUNCTION("""COMPUTED_VALUE"""),"A.A. ESC. EST. ANAIDES BRITO MIRANDA")</f>
        <v>A.A. ESC. EST. ANAIDES BRITO MIRANDA</v>
      </c>
      <c r="D96" s="200" t="str">
        <f ca="1">IFERROR(__xludf.DUMMYFUNCTION("""COMPUTED_VALUE"""),"01181993000108")</f>
        <v>01181993000108</v>
      </c>
      <c r="E96" s="201" t="str">
        <f ca="1">IFERROR(__xludf.DUMMYFUNCTION("""COMPUTED_VALUE"""),"001")</f>
        <v>001</v>
      </c>
      <c r="F96" s="201" t="str">
        <f ca="1">IFERROR(__xludf.DUMMYFUNCTION("""COMPUTED_VALUE"""),"1305")</f>
        <v>1305</v>
      </c>
      <c r="G96" s="202" t="str">
        <f ca="1">IFERROR(__xludf.DUMMYFUNCTION("""COMPUTED_VALUE"""),"10938x")</f>
        <v>10938x</v>
      </c>
      <c r="H96" s="202">
        <f ca="1">IFERROR(__xludf.DUMMYFUNCTION("""COMPUTED_VALUE"""),0)</f>
        <v>0</v>
      </c>
      <c r="I96" s="202">
        <f ca="1">IFERROR(__xludf.DUMMYFUNCTION("""COMPUTED_VALUE"""),0)</f>
        <v>0</v>
      </c>
      <c r="J96" s="202">
        <f ca="1">IFERROR(__xludf.DUMMYFUNCTION("""COMPUTED_VALUE"""),1617)</f>
        <v>1617</v>
      </c>
      <c r="K96" s="202">
        <f ca="1">IFERROR(__xludf.DUMMYFUNCTION("""COMPUTED_VALUE"""),0)</f>
        <v>0</v>
      </c>
      <c r="L96" s="202">
        <f ca="1">IFERROR(__xludf.DUMMYFUNCTION("""COMPUTED_VALUE"""),0)</f>
        <v>0</v>
      </c>
      <c r="M96" s="202">
        <f ca="1">IFERROR(__xludf.DUMMYFUNCTION("""COMPUTED_VALUE"""),252)</f>
        <v>252</v>
      </c>
      <c r="N96" s="202">
        <f ca="1">IFERROR(__xludf.DUMMYFUNCTION("""COMPUTED_VALUE"""),1029)</f>
        <v>1029</v>
      </c>
      <c r="O96" s="202">
        <f ca="1">IFERROR(__xludf.DUMMYFUNCTION("""COMPUTED_VALUE"""),315)</f>
        <v>315</v>
      </c>
      <c r="P96" s="202">
        <f t="shared" ca="1" si="1"/>
        <v>3213</v>
      </c>
    </row>
    <row r="97" spans="1:16" ht="12.75">
      <c r="A97" s="194" t="str">
        <f ca="1">IFERROR(__xludf.DUMMYFUNCTION("""COMPUTED_VALUE"""),"Araguatins")</f>
        <v>Araguatins</v>
      </c>
      <c r="B97" s="194" t="str">
        <f ca="1">IFERROR(__xludf.DUMMYFUNCTION("""COMPUTED_VALUE"""),"Sao Miguel do Tocantins")</f>
        <v>Sao Miguel do Tocantins</v>
      </c>
      <c r="C97" s="195" t="str">
        <f ca="1">IFERROR(__xludf.DUMMYFUNCTION("""COMPUTED_VALUE"""),"A.A.  DA ESCOLA ESTADUAL BELA VISTA")</f>
        <v>A.A.  DA ESCOLA ESTADUAL BELA VISTA</v>
      </c>
      <c r="D97" s="196" t="str">
        <f ca="1">IFERROR(__xludf.DUMMYFUNCTION("""COMPUTED_VALUE"""),"01230238000176")</f>
        <v>01230238000176</v>
      </c>
      <c r="E97" s="197" t="str">
        <f ca="1">IFERROR(__xludf.DUMMYFUNCTION("""COMPUTED_VALUE"""),"001")</f>
        <v>001</v>
      </c>
      <c r="F97" s="197" t="str">
        <f ca="1">IFERROR(__xludf.DUMMYFUNCTION("""COMPUTED_VALUE"""),"1305")</f>
        <v>1305</v>
      </c>
      <c r="G97" s="198" t="str">
        <f ca="1">IFERROR(__xludf.DUMMYFUNCTION("""COMPUTED_VALUE"""),"0217948")</f>
        <v>0217948</v>
      </c>
      <c r="H97" s="198">
        <f ca="1">IFERROR(__xludf.DUMMYFUNCTION("""COMPUTED_VALUE"""),0)</f>
        <v>0</v>
      </c>
      <c r="I97" s="198">
        <f ca="1">IFERROR(__xludf.DUMMYFUNCTION("""COMPUTED_VALUE"""),0)</f>
        <v>0</v>
      </c>
      <c r="J97" s="198">
        <f ca="1">IFERROR(__xludf.DUMMYFUNCTION("""COMPUTED_VALUE"""),5880)</f>
        <v>5880</v>
      </c>
      <c r="K97" s="198">
        <f ca="1">IFERROR(__xludf.DUMMYFUNCTION("""COMPUTED_VALUE"""),0)</f>
        <v>0</v>
      </c>
      <c r="L97" s="198">
        <f ca="1">IFERROR(__xludf.DUMMYFUNCTION("""COMPUTED_VALUE"""),0)</f>
        <v>0</v>
      </c>
      <c r="M97" s="198">
        <f ca="1">IFERROR(__xludf.DUMMYFUNCTION("""COMPUTED_VALUE"""),0)</f>
        <v>0</v>
      </c>
      <c r="N97" s="198">
        <f ca="1">IFERROR(__xludf.DUMMYFUNCTION("""COMPUTED_VALUE"""),4599)</f>
        <v>4599</v>
      </c>
      <c r="O97" s="198">
        <f ca="1">IFERROR(__xludf.DUMMYFUNCTION("""COMPUTED_VALUE"""),0)</f>
        <v>0</v>
      </c>
      <c r="P97" s="198">
        <f t="shared" ca="1" si="1"/>
        <v>10479</v>
      </c>
    </row>
    <row r="98" spans="1:16" ht="12.75">
      <c r="A98" s="199" t="str">
        <f ca="1">IFERROR(__xludf.DUMMYFUNCTION("""COMPUTED_VALUE"""),"Araguatins")</f>
        <v>Araguatins</v>
      </c>
      <c r="B98" s="199" t="str">
        <f ca="1">IFERROR(__xludf.DUMMYFUNCTION("""COMPUTED_VALUE"""),"Sao Miguel do Tocantins")</f>
        <v>Sao Miguel do Tocantins</v>
      </c>
      <c r="C98" s="145" t="str">
        <f ca="1">IFERROR(__xludf.DUMMYFUNCTION("""COMPUTED_VALUE"""),"A.A.  ESCOLA ESTADUAL SAO MIGUEL")</f>
        <v>A.A.  ESCOLA ESTADUAL SAO MIGUEL</v>
      </c>
      <c r="D98" s="200" t="str">
        <f ca="1">IFERROR(__xludf.DUMMYFUNCTION("""COMPUTED_VALUE"""),"01213523000189")</f>
        <v>01213523000189</v>
      </c>
      <c r="E98" s="201" t="str">
        <f ca="1">IFERROR(__xludf.DUMMYFUNCTION("""COMPUTED_VALUE"""),"001")</f>
        <v>001</v>
      </c>
      <c r="F98" s="201" t="str">
        <f ca="1">IFERROR(__xludf.DUMMYFUNCTION("""COMPUTED_VALUE"""),"1305")</f>
        <v>1305</v>
      </c>
      <c r="G98" s="202" t="str">
        <f ca="1">IFERROR(__xludf.DUMMYFUNCTION("""COMPUTED_VALUE"""),"173576")</f>
        <v>173576</v>
      </c>
      <c r="H98" s="202">
        <f ca="1">IFERROR(__xludf.DUMMYFUNCTION("""COMPUTED_VALUE"""),0)</f>
        <v>0</v>
      </c>
      <c r="I98" s="202">
        <f ca="1">IFERROR(__xludf.DUMMYFUNCTION("""COMPUTED_VALUE"""),0)</f>
        <v>0</v>
      </c>
      <c r="J98" s="202">
        <f ca="1">IFERROR(__xludf.DUMMYFUNCTION("""COMPUTED_VALUE"""),4242)</f>
        <v>4242</v>
      </c>
      <c r="K98" s="202">
        <f ca="1">IFERROR(__xludf.DUMMYFUNCTION("""COMPUTED_VALUE"""),0)</f>
        <v>0</v>
      </c>
      <c r="L98" s="202">
        <f ca="1">IFERROR(__xludf.DUMMYFUNCTION("""COMPUTED_VALUE"""),0)</f>
        <v>0</v>
      </c>
      <c r="M98" s="202">
        <f ca="1">IFERROR(__xludf.DUMMYFUNCTION("""COMPUTED_VALUE"""),252)</f>
        <v>252</v>
      </c>
      <c r="N98" s="202">
        <f ca="1">IFERROR(__xludf.DUMMYFUNCTION("""COMPUTED_VALUE"""),5838)</f>
        <v>5838</v>
      </c>
      <c r="O98" s="202">
        <f ca="1">IFERROR(__xludf.DUMMYFUNCTION("""COMPUTED_VALUE"""),0)</f>
        <v>0</v>
      </c>
      <c r="P98" s="202">
        <f t="shared" ca="1" si="1"/>
        <v>10332</v>
      </c>
    </row>
    <row r="99" spans="1:16" ht="12.75">
      <c r="A99" s="194" t="str">
        <f ca="1">IFERROR(__xludf.DUMMYFUNCTION("""COMPUTED_VALUE"""),"Araguatins")</f>
        <v>Araguatins</v>
      </c>
      <c r="B99" s="194" t="str">
        <f ca="1">IFERROR(__xludf.DUMMYFUNCTION("""COMPUTED_VALUE"""),"Sao Sebastiao do Tocantins")</f>
        <v>Sao Sebastiao do Tocantins</v>
      </c>
      <c r="C99" s="195" t="str">
        <f ca="1">IFERROR(__xludf.DUMMYFUNCTION("""COMPUTED_VALUE"""),"A.A.  DO COL. EST.IRIO OLIVEIRA SOUZA")</f>
        <v>A.A.  DO COL. EST.IRIO OLIVEIRA SOUZA</v>
      </c>
      <c r="D99" s="196" t="str">
        <f ca="1">IFERROR(__xludf.DUMMYFUNCTION("""COMPUTED_VALUE"""),"01112477000121")</f>
        <v>01112477000121</v>
      </c>
      <c r="E99" s="197" t="str">
        <f ca="1">IFERROR(__xludf.DUMMYFUNCTION("""COMPUTED_VALUE"""),"001")</f>
        <v>001</v>
      </c>
      <c r="F99" s="197" t="str">
        <f ca="1">IFERROR(__xludf.DUMMYFUNCTION("""COMPUTED_VALUE"""),"1305")</f>
        <v>1305</v>
      </c>
      <c r="G99" s="198" t="str">
        <f ca="1">IFERROR(__xludf.DUMMYFUNCTION("""COMPUTED_VALUE"""),"0109282")</f>
        <v>0109282</v>
      </c>
      <c r="H99" s="198">
        <f ca="1">IFERROR(__xludf.DUMMYFUNCTION("""COMPUTED_VALUE"""),0)</f>
        <v>0</v>
      </c>
      <c r="I99" s="198">
        <f ca="1">IFERROR(__xludf.DUMMYFUNCTION("""COMPUTED_VALUE"""),0)</f>
        <v>0</v>
      </c>
      <c r="J99" s="198">
        <f ca="1">IFERROR(__xludf.DUMMYFUNCTION("""COMPUTED_VALUE"""),0)</f>
        <v>0</v>
      </c>
      <c r="K99" s="198">
        <f ca="1">IFERROR(__xludf.DUMMYFUNCTION("""COMPUTED_VALUE"""),0)</f>
        <v>0</v>
      </c>
      <c r="L99" s="198">
        <f ca="1">IFERROR(__xludf.DUMMYFUNCTION("""COMPUTED_VALUE"""),0)</f>
        <v>0</v>
      </c>
      <c r="M99" s="198">
        <f ca="1">IFERROR(__xludf.DUMMYFUNCTION("""COMPUTED_VALUE"""),0)</f>
        <v>0</v>
      </c>
      <c r="N99" s="198">
        <f ca="1">IFERROR(__xludf.DUMMYFUNCTION("""COMPUTED_VALUE"""),3843)</f>
        <v>3843</v>
      </c>
      <c r="O99" s="198">
        <f ca="1">IFERROR(__xludf.DUMMYFUNCTION("""COMPUTED_VALUE"""),0)</f>
        <v>0</v>
      </c>
      <c r="P99" s="198">
        <f t="shared" ca="1" si="1"/>
        <v>3843</v>
      </c>
    </row>
    <row r="100" spans="1:16" ht="12.75">
      <c r="A100" s="199" t="str">
        <f ca="1">IFERROR(__xludf.DUMMYFUNCTION("""COMPUTED_VALUE"""),"Araguatins")</f>
        <v>Araguatins</v>
      </c>
      <c r="B100" s="199" t="str">
        <f ca="1">IFERROR(__xludf.DUMMYFUNCTION("""COMPUTED_VALUE"""),"Sao Sebastiao do Tocantins")</f>
        <v>Sao Sebastiao do Tocantins</v>
      </c>
      <c r="C100" s="145" t="str">
        <f ca="1">IFERROR(__xludf.DUMMYFUNCTION("""COMPUTED_VALUE"""),"A.A. E. E. DR.PEDRO LUDOVICO TEIXEIRA")</f>
        <v>A.A. E. E. DR.PEDRO LUDOVICO TEIXEIRA</v>
      </c>
      <c r="D100" s="200" t="str">
        <f ca="1">IFERROR(__xludf.DUMMYFUNCTION("""COMPUTED_VALUE"""),"01186462000108")</f>
        <v>01186462000108</v>
      </c>
      <c r="E100" s="201" t="str">
        <f ca="1">IFERROR(__xludf.DUMMYFUNCTION("""COMPUTED_VALUE"""),"001")</f>
        <v>001</v>
      </c>
      <c r="F100" s="201" t="str">
        <f ca="1">IFERROR(__xludf.DUMMYFUNCTION("""COMPUTED_VALUE"""),"1305")</f>
        <v>1305</v>
      </c>
      <c r="G100" s="202" t="str">
        <f ca="1">IFERROR(__xludf.DUMMYFUNCTION("""COMPUTED_VALUE"""),"109711")</f>
        <v>109711</v>
      </c>
      <c r="H100" s="202">
        <f ca="1">IFERROR(__xludf.DUMMYFUNCTION("""COMPUTED_VALUE"""),0)</f>
        <v>0</v>
      </c>
      <c r="I100" s="202">
        <f ca="1">IFERROR(__xludf.DUMMYFUNCTION("""COMPUTED_VALUE"""),0)</f>
        <v>0</v>
      </c>
      <c r="J100" s="202">
        <f ca="1">IFERROR(__xludf.DUMMYFUNCTION("""COMPUTED_VALUE"""),2961)</f>
        <v>2961</v>
      </c>
      <c r="K100" s="202">
        <f ca="1">IFERROR(__xludf.DUMMYFUNCTION("""COMPUTED_VALUE"""),0)</f>
        <v>0</v>
      </c>
      <c r="L100" s="202">
        <f ca="1">IFERROR(__xludf.DUMMYFUNCTION("""COMPUTED_VALUE"""),0)</f>
        <v>0</v>
      </c>
      <c r="M100" s="202">
        <f ca="1">IFERROR(__xludf.DUMMYFUNCTION("""COMPUTED_VALUE"""),315)</f>
        <v>315</v>
      </c>
      <c r="N100" s="202">
        <f ca="1">IFERROR(__xludf.DUMMYFUNCTION("""COMPUTED_VALUE"""),0)</f>
        <v>0</v>
      </c>
      <c r="O100" s="202">
        <f ca="1">IFERROR(__xludf.DUMMYFUNCTION("""COMPUTED_VALUE"""),1302)</f>
        <v>1302</v>
      </c>
      <c r="P100" s="202">
        <f t="shared" ca="1" si="1"/>
        <v>4578</v>
      </c>
    </row>
    <row r="101" spans="1:16" ht="12.75">
      <c r="A101" s="194" t="str">
        <f ca="1">IFERROR(__xludf.DUMMYFUNCTION("""COMPUTED_VALUE"""),"Araguatins")</f>
        <v>Araguatins</v>
      </c>
      <c r="B101" s="194" t="str">
        <f ca="1">IFERROR(__xludf.DUMMYFUNCTION("""COMPUTED_VALUE"""),"Sitio Novo do Tocantins")</f>
        <v>Sitio Novo do Tocantins</v>
      </c>
      <c r="C101" s="195" t="str">
        <f ca="1">IFERROR(__xludf.DUMMYFUNCTION("""COMPUTED_VALUE"""),"A.A. COL. EST. MARECHAEL RIBAS JUNIOR")</f>
        <v>A.A. COL. EST. MARECHAEL RIBAS JUNIOR</v>
      </c>
      <c r="D101" s="196" t="str">
        <f ca="1">IFERROR(__xludf.DUMMYFUNCTION("""COMPUTED_VALUE"""),"01230241000190")</f>
        <v>01230241000190</v>
      </c>
      <c r="E101" s="197" t="str">
        <f ca="1">IFERROR(__xludf.DUMMYFUNCTION("""COMPUTED_VALUE"""),"001")</f>
        <v>001</v>
      </c>
      <c r="F101" s="197" t="str">
        <f ca="1">IFERROR(__xludf.DUMMYFUNCTION("""COMPUTED_VALUE"""),"1305")</f>
        <v>1305</v>
      </c>
      <c r="G101" s="198" t="str">
        <f ca="1">IFERROR(__xludf.DUMMYFUNCTION("""COMPUTED_VALUE"""),"217964")</f>
        <v>217964</v>
      </c>
      <c r="H101" s="198">
        <f ca="1">IFERROR(__xludf.DUMMYFUNCTION("""COMPUTED_VALUE"""),0)</f>
        <v>0</v>
      </c>
      <c r="I101" s="198">
        <f ca="1">IFERROR(__xludf.DUMMYFUNCTION("""COMPUTED_VALUE"""),0)</f>
        <v>0</v>
      </c>
      <c r="J101" s="198">
        <f ca="1">IFERROR(__xludf.DUMMYFUNCTION("""COMPUTED_VALUE"""),2646)</f>
        <v>2646</v>
      </c>
      <c r="K101" s="198">
        <f ca="1">IFERROR(__xludf.DUMMYFUNCTION("""COMPUTED_VALUE"""),0)</f>
        <v>0</v>
      </c>
      <c r="L101" s="198">
        <f ca="1">IFERROR(__xludf.DUMMYFUNCTION("""COMPUTED_VALUE"""),0)</f>
        <v>0</v>
      </c>
      <c r="M101" s="198">
        <f ca="1">IFERROR(__xludf.DUMMYFUNCTION("""COMPUTED_VALUE"""),0)</f>
        <v>0</v>
      </c>
      <c r="N101" s="198">
        <f ca="1">IFERROR(__xludf.DUMMYFUNCTION("""COMPUTED_VALUE"""),6342)</f>
        <v>6342</v>
      </c>
      <c r="O101" s="198">
        <f ca="1">IFERROR(__xludf.DUMMYFUNCTION("""COMPUTED_VALUE"""),1449)</f>
        <v>1449</v>
      </c>
      <c r="P101" s="198">
        <f t="shared" ca="1" si="1"/>
        <v>10437</v>
      </c>
    </row>
    <row r="102" spans="1:16" ht="12.75">
      <c r="A102" s="199" t="str">
        <f ca="1">IFERROR(__xludf.DUMMYFUNCTION("""COMPUTED_VALUE"""),"Araguatins")</f>
        <v>Araguatins</v>
      </c>
      <c r="B102" s="199" t="str">
        <f ca="1">IFERROR(__xludf.DUMMYFUNCTION("""COMPUTED_VALUE"""),"Sitio Novo do Tocantins")</f>
        <v>Sitio Novo do Tocantins</v>
      </c>
      <c r="C102" s="145" t="str">
        <f ca="1">IFERROR(__xludf.DUMMYFUNCTION("""COMPUTED_VALUE"""),"A.A. E. EST. JOAQUIM TEOTONIO SEGURADO")</f>
        <v>A.A. E. EST. JOAQUIM TEOTONIO SEGURADO</v>
      </c>
      <c r="D102" s="200" t="str">
        <f ca="1">IFERROR(__xludf.DUMMYFUNCTION("""COMPUTED_VALUE"""),"01230240000145")</f>
        <v>01230240000145</v>
      </c>
      <c r="E102" s="201" t="str">
        <f ca="1">IFERROR(__xludf.DUMMYFUNCTION("""COMPUTED_VALUE"""),"001")</f>
        <v>001</v>
      </c>
      <c r="F102" s="201" t="str">
        <f ca="1">IFERROR(__xludf.DUMMYFUNCTION("""COMPUTED_VALUE"""),"0810")</f>
        <v>0810</v>
      </c>
      <c r="G102" s="202" t="str">
        <f ca="1">IFERROR(__xludf.DUMMYFUNCTION("""COMPUTED_VALUE"""),"217972")</f>
        <v>217972</v>
      </c>
      <c r="H102" s="202">
        <f ca="1">IFERROR(__xludf.DUMMYFUNCTION("""COMPUTED_VALUE"""),0)</f>
        <v>0</v>
      </c>
      <c r="I102" s="202">
        <f ca="1">IFERROR(__xludf.DUMMYFUNCTION("""COMPUTED_VALUE"""),0)</f>
        <v>0</v>
      </c>
      <c r="J102" s="202">
        <f ca="1">IFERROR(__xludf.DUMMYFUNCTION("""COMPUTED_VALUE"""),924)</f>
        <v>924</v>
      </c>
      <c r="K102" s="202">
        <f ca="1">IFERROR(__xludf.DUMMYFUNCTION("""COMPUTED_VALUE"""),0)</f>
        <v>0</v>
      </c>
      <c r="L102" s="202">
        <f ca="1">IFERROR(__xludf.DUMMYFUNCTION("""COMPUTED_VALUE"""),0)</f>
        <v>0</v>
      </c>
      <c r="M102" s="202">
        <f ca="1">IFERROR(__xludf.DUMMYFUNCTION("""COMPUTED_VALUE"""),0)</f>
        <v>0</v>
      </c>
      <c r="N102" s="202">
        <f ca="1">IFERROR(__xludf.DUMMYFUNCTION("""COMPUTED_VALUE"""),1512)</f>
        <v>1512</v>
      </c>
      <c r="O102" s="202">
        <f ca="1">IFERROR(__xludf.DUMMYFUNCTION("""COMPUTED_VALUE"""),0)</f>
        <v>0</v>
      </c>
      <c r="P102" s="202">
        <f t="shared" ca="1" si="1"/>
        <v>2436</v>
      </c>
    </row>
    <row r="103" spans="1:16" ht="12.75">
      <c r="A103" s="194" t="str">
        <f ca="1">IFERROR(__xludf.DUMMYFUNCTION("""COMPUTED_VALUE"""),"Araguatins")</f>
        <v>Araguatins</v>
      </c>
      <c r="B103" s="194" t="str">
        <f ca="1">IFERROR(__xludf.DUMMYFUNCTION("""COMPUTED_VALUE"""),"Sitio Novo do Tocantins")</f>
        <v>Sitio Novo do Tocantins</v>
      </c>
      <c r="C103" s="195" t="str">
        <f ca="1">IFERROR(__xludf.DUMMYFUNCTION("""COMPUTED_VALUE"""),"A.A. ESC. EST. MANOEL ESTEVAO DE SOUZA")</f>
        <v>A.A. ESC. EST. MANOEL ESTEVAO DE SOUZA</v>
      </c>
      <c r="D103" s="196" t="str">
        <f ca="1">IFERROR(__xludf.DUMMYFUNCTION("""COMPUTED_VALUE"""),"01213534000169")</f>
        <v>01213534000169</v>
      </c>
      <c r="E103" s="197" t="str">
        <f ca="1">IFERROR(__xludf.DUMMYFUNCTION("""COMPUTED_VALUE"""),"001")</f>
        <v>001</v>
      </c>
      <c r="F103" s="197" t="str">
        <f ca="1">IFERROR(__xludf.DUMMYFUNCTION("""COMPUTED_VALUE"""),"1305")</f>
        <v>1305</v>
      </c>
      <c r="G103" s="198" t="str">
        <f ca="1">IFERROR(__xludf.DUMMYFUNCTION("""COMPUTED_VALUE"""),"181048")</f>
        <v>181048</v>
      </c>
      <c r="H103" s="198">
        <f ca="1">IFERROR(__xludf.DUMMYFUNCTION("""COMPUTED_VALUE"""),0)</f>
        <v>0</v>
      </c>
      <c r="I103" s="198">
        <f ca="1">IFERROR(__xludf.DUMMYFUNCTION("""COMPUTED_VALUE"""),0)</f>
        <v>0</v>
      </c>
      <c r="J103" s="198">
        <f ca="1">IFERROR(__xludf.DUMMYFUNCTION("""COMPUTED_VALUE"""),2310)</f>
        <v>2310</v>
      </c>
      <c r="K103" s="198">
        <f ca="1">IFERROR(__xludf.DUMMYFUNCTION("""COMPUTED_VALUE"""),0)</f>
        <v>0</v>
      </c>
      <c r="L103" s="198">
        <f ca="1">IFERROR(__xludf.DUMMYFUNCTION("""COMPUTED_VALUE"""),0)</f>
        <v>0</v>
      </c>
      <c r="M103" s="198">
        <f ca="1">IFERROR(__xludf.DUMMYFUNCTION("""COMPUTED_VALUE"""),336)</f>
        <v>336</v>
      </c>
      <c r="N103" s="198">
        <f ca="1">IFERROR(__xludf.DUMMYFUNCTION("""COMPUTED_VALUE"""),0)</f>
        <v>0</v>
      </c>
      <c r="O103" s="198">
        <f ca="1">IFERROR(__xludf.DUMMYFUNCTION("""COMPUTED_VALUE"""),0)</f>
        <v>0</v>
      </c>
      <c r="P103" s="198">
        <f t="shared" ca="1" si="1"/>
        <v>2646</v>
      </c>
    </row>
    <row r="104" spans="1:16" ht="12.75">
      <c r="A104" s="199" t="str">
        <f ca="1">IFERROR(__xludf.DUMMYFUNCTION("""COMPUTED_VALUE"""),"Araguatins")</f>
        <v>Araguatins</v>
      </c>
      <c r="B104" s="199" t="str">
        <f ca="1">IFERROR(__xludf.DUMMYFUNCTION("""COMPUTED_VALUE"""),"Sitio Novo do Tocantins")</f>
        <v>Sitio Novo do Tocantins</v>
      </c>
      <c r="C104" s="145" t="str">
        <f ca="1">IFERROR(__xludf.DUMMYFUNCTION("""COMPUTED_VALUE"""),"A.A. ESC. EST. RAIMUNDO NONATO LEITE")</f>
        <v>A.A. ESC. EST. RAIMUNDO NONATO LEITE</v>
      </c>
      <c r="D104" s="200" t="str">
        <f ca="1">IFERROR(__xludf.DUMMYFUNCTION("""COMPUTED_VALUE"""),"01230237000121")</f>
        <v>01230237000121</v>
      </c>
      <c r="E104" s="201" t="str">
        <f ca="1">IFERROR(__xludf.DUMMYFUNCTION("""COMPUTED_VALUE"""),"001")</f>
        <v>001</v>
      </c>
      <c r="F104" s="201" t="str">
        <f ca="1">IFERROR(__xludf.DUMMYFUNCTION("""COMPUTED_VALUE"""),"0810")</f>
        <v>0810</v>
      </c>
      <c r="G104" s="202" t="str">
        <f ca="1">IFERROR(__xludf.DUMMYFUNCTION("""COMPUTED_VALUE"""),"217980")</f>
        <v>217980</v>
      </c>
      <c r="H104" s="202">
        <f ca="1">IFERROR(__xludf.DUMMYFUNCTION("""COMPUTED_VALUE"""),0)</f>
        <v>0</v>
      </c>
      <c r="I104" s="202">
        <f ca="1">IFERROR(__xludf.DUMMYFUNCTION("""COMPUTED_VALUE"""),0)</f>
        <v>0</v>
      </c>
      <c r="J104" s="202">
        <f ca="1">IFERROR(__xludf.DUMMYFUNCTION("""COMPUTED_VALUE"""),966)</f>
        <v>966</v>
      </c>
      <c r="K104" s="202">
        <f ca="1">IFERROR(__xludf.DUMMYFUNCTION("""COMPUTED_VALUE"""),0)</f>
        <v>0</v>
      </c>
      <c r="L104" s="202">
        <f ca="1">IFERROR(__xludf.DUMMYFUNCTION("""COMPUTED_VALUE"""),0)</f>
        <v>0</v>
      </c>
      <c r="M104" s="202">
        <f ca="1">IFERROR(__xludf.DUMMYFUNCTION("""COMPUTED_VALUE"""),0)</f>
        <v>0</v>
      </c>
      <c r="N104" s="202">
        <f ca="1">IFERROR(__xludf.DUMMYFUNCTION("""COMPUTED_VALUE"""),1008)</f>
        <v>1008</v>
      </c>
      <c r="O104" s="202">
        <f ca="1">IFERROR(__xludf.DUMMYFUNCTION("""COMPUTED_VALUE"""),0)</f>
        <v>0</v>
      </c>
      <c r="P104" s="202">
        <f t="shared" ca="1" si="1"/>
        <v>1974</v>
      </c>
    </row>
    <row r="105" spans="1:16" ht="12.75">
      <c r="A105" s="194" t="str">
        <f ca="1">IFERROR(__xludf.DUMMYFUNCTION("""COMPUTED_VALUE"""),"Arraias")</f>
        <v>Arraias</v>
      </c>
      <c r="B105" s="194" t="str">
        <f ca="1">IFERROR(__xludf.DUMMYFUNCTION("""COMPUTED_VALUE"""),"Arraias")</f>
        <v>Arraias</v>
      </c>
      <c r="C105" s="195" t="str">
        <f ca="1">IFERROR(__xludf.DUMMYFUNCTION("""COMPUTED_VALUE"""),"A. E. COM.COL EST PROFA. JOANA B. CORDEIRO")</f>
        <v>A. E. COM.COL EST PROFA. JOANA B. CORDEIRO</v>
      </c>
      <c r="D105" s="196" t="str">
        <f ca="1">IFERROR(__xludf.DUMMYFUNCTION("""COMPUTED_VALUE"""),"00922190000102")</f>
        <v>00922190000102</v>
      </c>
      <c r="E105" s="197" t="str">
        <f ca="1">IFERROR(__xludf.DUMMYFUNCTION("""COMPUTED_VALUE"""),"001")</f>
        <v>001</v>
      </c>
      <c r="F105" s="197" t="str">
        <f ca="1">IFERROR(__xludf.DUMMYFUNCTION("""COMPUTED_VALUE"""),"0541")</f>
        <v>0541</v>
      </c>
      <c r="G105" s="198" t="str">
        <f ca="1">IFERROR(__xludf.DUMMYFUNCTION("""COMPUTED_VALUE"""),"231770")</f>
        <v>231770</v>
      </c>
      <c r="H105" s="198">
        <f ca="1">IFERROR(__xludf.DUMMYFUNCTION("""COMPUTED_VALUE"""),0)</f>
        <v>0</v>
      </c>
      <c r="I105" s="198">
        <f ca="1">IFERROR(__xludf.DUMMYFUNCTION("""COMPUTED_VALUE"""),0)</f>
        <v>0</v>
      </c>
      <c r="J105" s="198">
        <f ca="1">IFERROR(__xludf.DUMMYFUNCTION("""COMPUTED_VALUE"""),0)</f>
        <v>0</v>
      </c>
      <c r="K105" s="198">
        <f ca="1">IFERROR(__xludf.DUMMYFUNCTION("""COMPUTED_VALUE"""),0)</f>
        <v>0</v>
      </c>
      <c r="L105" s="198">
        <f ca="1">IFERROR(__xludf.DUMMYFUNCTION("""COMPUTED_VALUE"""),0)</f>
        <v>0</v>
      </c>
      <c r="M105" s="198">
        <f ca="1">IFERROR(__xludf.DUMMYFUNCTION("""COMPUTED_VALUE"""),126)</f>
        <v>126</v>
      </c>
      <c r="N105" s="198">
        <f ca="1">IFERROR(__xludf.DUMMYFUNCTION("""COMPUTED_VALUE"""),0)</f>
        <v>0</v>
      </c>
      <c r="O105" s="198">
        <f ca="1">IFERROR(__xludf.DUMMYFUNCTION("""COMPUTED_VALUE"""),0)</f>
        <v>0</v>
      </c>
      <c r="P105" s="198">
        <f t="shared" ca="1" si="1"/>
        <v>126</v>
      </c>
    </row>
    <row r="106" spans="1:16" ht="12.75">
      <c r="A106" s="199" t="str">
        <f ca="1">IFERROR(__xludf.DUMMYFUNCTION("""COMPUTED_VALUE"""),"Arraias")</f>
        <v>Arraias</v>
      </c>
      <c r="B106" s="199" t="str">
        <f ca="1">IFERROR(__xludf.DUMMYFUNCTION("""COMPUTED_VALUE"""),"Arraias")</f>
        <v>Arraias</v>
      </c>
      <c r="C106" s="145" t="str">
        <f ca="1">IFERROR(__xludf.DUMMYFUNCTION("""COMPUTED_VALUE"""),"ASS. APOIO ESC. EST. JACY ALVES DE BARROS")</f>
        <v>ASS. APOIO ESC. EST. JACY ALVES DE BARROS</v>
      </c>
      <c r="D106" s="200" t="str">
        <f ca="1">IFERROR(__xludf.DUMMYFUNCTION("""COMPUTED_VALUE"""),"01284634000186")</f>
        <v>01284634000186</v>
      </c>
      <c r="E106" s="201" t="str">
        <f ca="1">IFERROR(__xludf.DUMMYFUNCTION("""COMPUTED_VALUE"""),"001")</f>
        <v>001</v>
      </c>
      <c r="F106" s="201" t="str">
        <f ca="1">IFERROR(__xludf.DUMMYFUNCTION("""COMPUTED_VALUE"""),"0541")</f>
        <v>0541</v>
      </c>
      <c r="G106" s="202" t="str">
        <f ca="1">IFERROR(__xludf.DUMMYFUNCTION("""COMPUTED_VALUE"""),"232246")</f>
        <v>232246</v>
      </c>
      <c r="H106" s="202">
        <f ca="1">IFERROR(__xludf.DUMMYFUNCTION("""COMPUTED_VALUE"""),0)</f>
        <v>0</v>
      </c>
      <c r="I106" s="202">
        <f ca="1">IFERROR(__xludf.DUMMYFUNCTION("""COMPUTED_VALUE"""),0)</f>
        <v>0</v>
      </c>
      <c r="J106" s="202">
        <f ca="1">IFERROR(__xludf.DUMMYFUNCTION("""COMPUTED_VALUE"""),4200)</f>
        <v>4200</v>
      </c>
      <c r="K106" s="202">
        <f ca="1">IFERROR(__xludf.DUMMYFUNCTION("""COMPUTED_VALUE"""),0)</f>
        <v>0</v>
      </c>
      <c r="L106" s="202">
        <f ca="1">IFERROR(__xludf.DUMMYFUNCTION("""COMPUTED_VALUE"""),0)</f>
        <v>0</v>
      </c>
      <c r="M106" s="202">
        <f ca="1">IFERROR(__xludf.DUMMYFUNCTION("""COMPUTED_VALUE"""),126)</f>
        <v>126</v>
      </c>
      <c r="N106" s="202">
        <f ca="1">IFERROR(__xludf.DUMMYFUNCTION("""COMPUTED_VALUE"""),0)</f>
        <v>0</v>
      </c>
      <c r="O106" s="202">
        <f ca="1">IFERROR(__xludf.DUMMYFUNCTION("""COMPUTED_VALUE"""),0)</f>
        <v>0</v>
      </c>
      <c r="P106" s="202">
        <f t="shared" ca="1" si="1"/>
        <v>4326</v>
      </c>
    </row>
    <row r="107" spans="1:16" ht="12.75">
      <c r="A107" s="194" t="str">
        <f ca="1">IFERROR(__xludf.DUMMYFUNCTION("""COMPUTED_VALUE"""),"Arraias")</f>
        <v>Arraias</v>
      </c>
      <c r="B107" s="194" t="str">
        <f ca="1">IFERROR(__xludf.DUMMYFUNCTION("""COMPUTED_VALUE"""),"Arraias")</f>
        <v>Arraias</v>
      </c>
      <c r="C107" s="195" t="str">
        <f ca="1">IFERROR(__xludf.DUMMYFUNCTION("""COMPUTED_VALUE"""),"A.A. ESCOLA ESTADUAL CANABRAVA/ZULMIRA MAGALHÃES")</f>
        <v>A.A. ESCOLA ESTADUAL CANABRAVA/ZULMIRA MAGALHÃES</v>
      </c>
      <c r="D107" s="196" t="str">
        <f ca="1">IFERROR(__xludf.DUMMYFUNCTION("""COMPUTED_VALUE"""),"01284633000131")</f>
        <v>01284633000131</v>
      </c>
      <c r="E107" s="197" t="str">
        <f ca="1">IFERROR(__xludf.DUMMYFUNCTION("""COMPUTED_VALUE"""),"001")</f>
        <v>001</v>
      </c>
      <c r="F107" s="197" t="str">
        <f ca="1">IFERROR(__xludf.DUMMYFUNCTION("""COMPUTED_VALUE"""),"0541")</f>
        <v>0541</v>
      </c>
      <c r="G107" s="198" t="str">
        <f ca="1">IFERROR(__xludf.DUMMYFUNCTION("""COMPUTED_VALUE"""),"23219X")</f>
        <v>23219X</v>
      </c>
      <c r="H107" s="198">
        <f ca="1">IFERROR(__xludf.DUMMYFUNCTION("""COMPUTED_VALUE"""),0)</f>
        <v>0</v>
      </c>
      <c r="I107" s="198">
        <f ca="1">IFERROR(__xludf.DUMMYFUNCTION("""COMPUTED_VALUE"""),0)</f>
        <v>0</v>
      </c>
      <c r="J107" s="198">
        <f ca="1">IFERROR(__xludf.DUMMYFUNCTION("""COMPUTED_VALUE"""),2352)</f>
        <v>2352</v>
      </c>
      <c r="K107" s="198">
        <f ca="1">IFERROR(__xludf.DUMMYFUNCTION("""COMPUTED_VALUE"""),0)</f>
        <v>0</v>
      </c>
      <c r="L107" s="198">
        <f ca="1">IFERROR(__xludf.DUMMYFUNCTION("""COMPUTED_VALUE"""),0)</f>
        <v>0</v>
      </c>
      <c r="M107" s="198">
        <f ca="1">IFERROR(__xludf.DUMMYFUNCTION("""COMPUTED_VALUE"""),273)</f>
        <v>273</v>
      </c>
      <c r="N107" s="198">
        <f ca="1">IFERROR(__xludf.DUMMYFUNCTION("""COMPUTED_VALUE"""),1323)</f>
        <v>1323</v>
      </c>
      <c r="O107" s="198">
        <f ca="1">IFERROR(__xludf.DUMMYFUNCTION("""COMPUTED_VALUE"""),0)</f>
        <v>0</v>
      </c>
      <c r="P107" s="198">
        <f t="shared" ca="1" si="1"/>
        <v>3948</v>
      </c>
    </row>
    <row r="108" spans="1:16" ht="12.75">
      <c r="A108" s="199" t="str">
        <f ca="1">IFERROR(__xludf.DUMMYFUNCTION("""COMPUTED_VALUE"""),"Arraias")</f>
        <v>Arraias</v>
      </c>
      <c r="B108" s="199" t="str">
        <f ca="1">IFERROR(__xludf.DUMMYFUNCTION("""COMPUTED_VALUE"""),"Arraias")</f>
        <v>Arraias</v>
      </c>
      <c r="C108" s="145" t="str">
        <f ca="1">IFERROR(__xludf.DUMMYFUNCTION("""COMPUTED_VALUE"""),"A.A. ESCOLAR DA ESC. EST. SILVA DOURADO")</f>
        <v>A.A. ESCOLAR DA ESC. EST. SILVA DOURADO</v>
      </c>
      <c r="D108" s="200" t="str">
        <f ca="1">IFERROR(__xludf.DUMMYFUNCTION("""COMPUTED_VALUE"""),"01301519000172")</f>
        <v>01301519000172</v>
      </c>
      <c r="E108" s="201" t="str">
        <f ca="1">IFERROR(__xludf.DUMMYFUNCTION("""COMPUTED_VALUE"""),"001")</f>
        <v>001</v>
      </c>
      <c r="F108" s="201" t="str">
        <f ca="1">IFERROR(__xludf.DUMMYFUNCTION("""COMPUTED_VALUE"""),"0541")</f>
        <v>0541</v>
      </c>
      <c r="G108" s="202" t="str">
        <f ca="1">IFERROR(__xludf.DUMMYFUNCTION("""COMPUTED_VALUE"""),"232297")</f>
        <v>232297</v>
      </c>
      <c r="H108" s="202">
        <f ca="1">IFERROR(__xludf.DUMMYFUNCTION("""COMPUTED_VALUE"""),0)</f>
        <v>0</v>
      </c>
      <c r="I108" s="202">
        <f ca="1">IFERROR(__xludf.DUMMYFUNCTION("""COMPUTED_VALUE"""),0)</f>
        <v>0</v>
      </c>
      <c r="J108" s="202">
        <f ca="1">IFERROR(__xludf.DUMMYFUNCTION("""COMPUTED_VALUE"""),3507)</f>
        <v>3507</v>
      </c>
      <c r="K108" s="202">
        <f ca="1">IFERROR(__xludf.DUMMYFUNCTION("""COMPUTED_VALUE"""),0)</f>
        <v>0</v>
      </c>
      <c r="L108" s="202">
        <f ca="1">IFERROR(__xludf.DUMMYFUNCTION("""COMPUTED_VALUE"""),0)</f>
        <v>0</v>
      </c>
      <c r="M108" s="202">
        <f ca="1">IFERROR(__xludf.DUMMYFUNCTION("""COMPUTED_VALUE"""),231)</f>
        <v>231</v>
      </c>
      <c r="N108" s="202">
        <f ca="1">IFERROR(__xludf.DUMMYFUNCTION("""COMPUTED_VALUE"""),0)</f>
        <v>0</v>
      </c>
      <c r="O108" s="202">
        <f ca="1">IFERROR(__xludf.DUMMYFUNCTION("""COMPUTED_VALUE"""),1092)</f>
        <v>1092</v>
      </c>
      <c r="P108" s="202">
        <f t="shared" ca="1" si="1"/>
        <v>4830</v>
      </c>
    </row>
    <row r="109" spans="1:16" ht="12.75">
      <c r="A109" s="194" t="str">
        <f ca="1">IFERROR(__xludf.DUMMYFUNCTION("""COMPUTED_VALUE"""),"Arraias")</f>
        <v>Arraias</v>
      </c>
      <c r="B109" s="194" t="str">
        <f ca="1">IFERROR(__xludf.DUMMYFUNCTION("""COMPUTED_VALUE"""),"Aurora do Tocantins")</f>
        <v>Aurora do Tocantins</v>
      </c>
      <c r="C109" s="195" t="str">
        <f ca="1">IFERROR(__xludf.DUMMYFUNCTION("""COMPUTED_VALUE"""),"A.A. A ESCOLA/COL. EST.PROF. RANULFA")</f>
        <v>A.A. A ESCOLA/COL. EST.PROF. RANULFA</v>
      </c>
      <c r="D109" s="196" t="str">
        <f ca="1">IFERROR(__xludf.DUMMYFUNCTION("""COMPUTED_VALUE"""),"01133691000164")</f>
        <v>01133691000164</v>
      </c>
      <c r="E109" s="197" t="str">
        <f ca="1">IFERROR(__xludf.DUMMYFUNCTION("""COMPUTED_VALUE"""),"001")</f>
        <v>001</v>
      </c>
      <c r="F109" s="197" t="str">
        <f ca="1">IFERROR(__xludf.DUMMYFUNCTION("""COMPUTED_VALUE"""),"3977")</f>
        <v>3977</v>
      </c>
      <c r="G109" s="198" t="str">
        <f ca="1">IFERROR(__xludf.DUMMYFUNCTION("""COMPUTED_VALUE"""),"102725")</f>
        <v>102725</v>
      </c>
      <c r="H109" s="198">
        <f ca="1">IFERROR(__xludf.DUMMYFUNCTION("""COMPUTED_VALUE"""),0)</f>
        <v>0</v>
      </c>
      <c r="I109" s="198">
        <f ca="1">IFERROR(__xludf.DUMMYFUNCTION("""COMPUTED_VALUE"""),0)</f>
        <v>0</v>
      </c>
      <c r="J109" s="198">
        <f ca="1">IFERROR(__xludf.DUMMYFUNCTION("""COMPUTED_VALUE"""),588)</f>
        <v>588</v>
      </c>
      <c r="K109" s="198">
        <f ca="1">IFERROR(__xludf.DUMMYFUNCTION("""COMPUTED_VALUE"""),0)</f>
        <v>0</v>
      </c>
      <c r="L109" s="198">
        <f ca="1">IFERROR(__xludf.DUMMYFUNCTION("""COMPUTED_VALUE"""),0)</f>
        <v>0</v>
      </c>
      <c r="M109" s="198">
        <f ca="1">IFERROR(__xludf.DUMMYFUNCTION("""COMPUTED_VALUE"""),168)</f>
        <v>168</v>
      </c>
      <c r="N109" s="198">
        <f ca="1">IFERROR(__xludf.DUMMYFUNCTION("""COMPUTED_VALUE"""),3528)</f>
        <v>3528</v>
      </c>
      <c r="O109" s="198">
        <f ca="1">IFERROR(__xludf.DUMMYFUNCTION("""COMPUTED_VALUE"""),0)</f>
        <v>0</v>
      </c>
      <c r="P109" s="198">
        <f t="shared" ca="1" si="1"/>
        <v>4284</v>
      </c>
    </row>
    <row r="110" spans="1:16" ht="12.75">
      <c r="A110" s="199" t="str">
        <f ca="1">IFERROR(__xludf.DUMMYFUNCTION("""COMPUTED_VALUE"""),"Arraias")</f>
        <v>Arraias</v>
      </c>
      <c r="B110" s="199" t="str">
        <f ca="1">IFERROR(__xludf.DUMMYFUNCTION("""COMPUTED_VALUE"""),"Aurora do Tocantins")</f>
        <v>Aurora do Tocantins</v>
      </c>
      <c r="C110" s="145" t="str">
        <f ca="1">IFERROR(__xludf.DUMMYFUNCTION("""COMPUTED_VALUE"""),"ASS. APOIO ESCOLA ESTADUAL DONA INES")</f>
        <v>ASS. APOIO ESCOLA ESTADUAL DONA INES</v>
      </c>
      <c r="D110" s="200" t="str">
        <f ca="1">IFERROR(__xludf.DUMMYFUNCTION("""COMPUTED_VALUE"""),"01190419000116")</f>
        <v>01190419000116</v>
      </c>
      <c r="E110" s="201" t="str">
        <f ca="1">IFERROR(__xludf.DUMMYFUNCTION("""COMPUTED_VALUE"""),"001")</f>
        <v>001</v>
      </c>
      <c r="F110" s="201" t="str">
        <f ca="1">IFERROR(__xludf.DUMMYFUNCTION("""COMPUTED_VALUE"""),"3977")</f>
        <v>3977</v>
      </c>
      <c r="G110" s="202" t="str">
        <f ca="1">IFERROR(__xludf.DUMMYFUNCTION("""COMPUTED_VALUE"""),"109703")</f>
        <v>109703</v>
      </c>
      <c r="H110" s="202">
        <f ca="1">IFERROR(__xludf.DUMMYFUNCTION("""COMPUTED_VALUE"""),0)</f>
        <v>0</v>
      </c>
      <c r="I110" s="202">
        <f ca="1">IFERROR(__xludf.DUMMYFUNCTION("""COMPUTED_VALUE"""),0)</f>
        <v>0</v>
      </c>
      <c r="J110" s="202">
        <f ca="1">IFERROR(__xludf.DUMMYFUNCTION("""COMPUTED_VALUE"""),2436)</f>
        <v>2436</v>
      </c>
      <c r="K110" s="202">
        <f ca="1">IFERROR(__xludf.DUMMYFUNCTION("""COMPUTED_VALUE"""),0)</f>
        <v>0</v>
      </c>
      <c r="L110" s="202">
        <f ca="1">IFERROR(__xludf.DUMMYFUNCTION("""COMPUTED_VALUE"""),0)</f>
        <v>0</v>
      </c>
      <c r="M110" s="202">
        <f ca="1">IFERROR(__xludf.DUMMYFUNCTION("""COMPUTED_VALUE"""),0)</f>
        <v>0</v>
      </c>
      <c r="N110" s="202">
        <f ca="1">IFERROR(__xludf.DUMMYFUNCTION("""COMPUTED_VALUE"""),0)</f>
        <v>0</v>
      </c>
      <c r="O110" s="202">
        <f ca="1">IFERROR(__xludf.DUMMYFUNCTION("""COMPUTED_VALUE"""),0)</f>
        <v>0</v>
      </c>
      <c r="P110" s="202">
        <f t="shared" ca="1" si="1"/>
        <v>2436</v>
      </c>
    </row>
    <row r="111" spans="1:16" ht="12.75">
      <c r="A111" s="194" t="str">
        <f ca="1">IFERROR(__xludf.DUMMYFUNCTION("""COMPUTED_VALUE"""),"Arraias")</f>
        <v>Arraias</v>
      </c>
      <c r="B111" s="194" t="str">
        <f ca="1">IFERROR(__xludf.DUMMYFUNCTION("""COMPUTED_VALUE"""),"Combinado")</f>
        <v>Combinado</v>
      </c>
      <c r="C111" s="195" t="str">
        <f ca="1">IFERROR(__xludf.DUMMYFUNCTION("""COMPUTED_VALUE"""),"A.A. DO COL. E.JOAQUIM DE SENA E SILVA")</f>
        <v>A.A. DO COL. E.JOAQUIM DE SENA E SILVA</v>
      </c>
      <c r="D111" s="196" t="str">
        <f ca="1">IFERROR(__xludf.DUMMYFUNCTION("""COMPUTED_VALUE"""),"01230223000108")</f>
        <v>01230223000108</v>
      </c>
      <c r="E111" s="197" t="str">
        <f ca="1">IFERROR(__xludf.DUMMYFUNCTION("""COMPUTED_VALUE"""),"001")</f>
        <v>001</v>
      </c>
      <c r="F111" s="197" t="str">
        <f ca="1">IFERROR(__xludf.DUMMYFUNCTION("""COMPUTED_VALUE"""),"3977")</f>
        <v>3977</v>
      </c>
      <c r="G111" s="198" t="str">
        <f ca="1">IFERROR(__xludf.DUMMYFUNCTION("""COMPUTED_VALUE"""),"232106")</f>
        <v>232106</v>
      </c>
      <c r="H111" s="198">
        <f ca="1">IFERROR(__xludf.DUMMYFUNCTION("""COMPUTED_VALUE"""),0)</f>
        <v>0</v>
      </c>
      <c r="I111" s="198">
        <f ca="1">IFERROR(__xludf.DUMMYFUNCTION("""COMPUTED_VALUE"""),0)</f>
        <v>0</v>
      </c>
      <c r="J111" s="198">
        <f ca="1">IFERROR(__xludf.DUMMYFUNCTION("""COMPUTED_VALUE"""),0)</f>
        <v>0</v>
      </c>
      <c r="K111" s="198">
        <f ca="1">IFERROR(__xludf.DUMMYFUNCTION("""COMPUTED_VALUE"""),0)</f>
        <v>0</v>
      </c>
      <c r="L111" s="198">
        <f ca="1">IFERROR(__xludf.DUMMYFUNCTION("""COMPUTED_VALUE"""),0)</f>
        <v>0</v>
      </c>
      <c r="M111" s="198">
        <f ca="1">IFERROR(__xludf.DUMMYFUNCTION("""COMPUTED_VALUE"""),0)</f>
        <v>0</v>
      </c>
      <c r="N111" s="198">
        <f ca="1">IFERROR(__xludf.DUMMYFUNCTION("""COMPUTED_VALUE"""),4515)</f>
        <v>4515</v>
      </c>
      <c r="O111" s="198">
        <f ca="1">IFERROR(__xludf.DUMMYFUNCTION("""COMPUTED_VALUE"""),0)</f>
        <v>0</v>
      </c>
      <c r="P111" s="198">
        <f t="shared" ca="1" si="1"/>
        <v>4515</v>
      </c>
    </row>
    <row r="112" spans="1:16" ht="12.75">
      <c r="A112" s="199" t="str">
        <f ca="1">IFERROR(__xludf.DUMMYFUNCTION("""COMPUTED_VALUE"""),"Arraias")</f>
        <v>Arraias</v>
      </c>
      <c r="B112" s="199" t="str">
        <f ca="1">IFERROR(__xludf.DUMMYFUNCTION("""COMPUTED_VALUE"""),"Combinado")</f>
        <v>Combinado</v>
      </c>
      <c r="C112" s="145" t="str">
        <f ca="1">IFERROR(__xludf.DUMMYFUNCTION("""COMPUTED_VALUE"""),"A.A. ESC. EST. AUGUSTA VAZ DOS S.TEIXEIRA")</f>
        <v>A.A. ESC. EST. AUGUSTA VAZ DOS S.TEIXEIRA</v>
      </c>
      <c r="D112" s="200" t="str">
        <f ca="1">IFERROR(__xludf.DUMMYFUNCTION("""COMPUTED_VALUE"""),"01186458000140")</f>
        <v>01186458000140</v>
      </c>
      <c r="E112" s="201" t="str">
        <f ca="1">IFERROR(__xludf.DUMMYFUNCTION("""COMPUTED_VALUE"""),"001")</f>
        <v>001</v>
      </c>
      <c r="F112" s="201" t="str">
        <f ca="1">IFERROR(__xludf.DUMMYFUNCTION("""COMPUTED_VALUE"""),"3977")</f>
        <v>3977</v>
      </c>
      <c r="G112" s="202" t="str">
        <f ca="1">IFERROR(__xludf.DUMMYFUNCTION("""COMPUTED_VALUE"""),"56855")</f>
        <v>56855</v>
      </c>
      <c r="H112" s="202">
        <f ca="1">IFERROR(__xludf.DUMMYFUNCTION("""COMPUTED_VALUE"""),0)</f>
        <v>0</v>
      </c>
      <c r="I112" s="202">
        <f ca="1">IFERROR(__xludf.DUMMYFUNCTION("""COMPUTED_VALUE"""),0)</f>
        <v>0</v>
      </c>
      <c r="J112" s="202">
        <f ca="1">IFERROR(__xludf.DUMMYFUNCTION("""COMPUTED_VALUE"""),3234)</f>
        <v>3234</v>
      </c>
      <c r="K112" s="202">
        <f ca="1">IFERROR(__xludf.DUMMYFUNCTION("""COMPUTED_VALUE"""),0)</f>
        <v>0</v>
      </c>
      <c r="L112" s="202">
        <f ca="1">IFERROR(__xludf.DUMMYFUNCTION("""COMPUTED_VALUE"""),0)</f>
        <v>0</v>
      </c>
      <c r="M112" s="202">
        <f ca="1">IFERROR(__xludf.DUMMYFUNCTION("""COMPUTED_VALUE"""),336)</f>
        <v>336</v>
      </c>
      <c r="N112" s="202">
        <f ca="1">IFERROR(__xludf.DUMMYFUNCTION("""COMPUTED_VALUE"""),0)</f>
        <v>0</v>
      </c>
      <c r="O112" s="202">
        <f ca="1">IFERROR(__xludf.DUMMYFUNCTION("""COMPUTED_VALUE"""),0)</f>
        <v>0</v>
      </c>
      <c r="P112" s="202">
        <f t="shared" ca="1" si="1"/>
        <v>3570</v>
      </c>
    </row>
    <row r="113" spans="1:16" ht="12.75">
      <c r="A113" s="194" t="str">
        <f ca="1">IFERROR(__xludf.DUMMYFUNCTION("""COMPUTED_VALUE"""),"Arraias")</f>
        <v>Arraias</v>
      </c>
      <c r="B113" s="194" t="str">
        <f ca="1">IFERROR(__xludf.DUMMYFUNCTION("""COMPUTED_VALUE"""),"Lavandeira")</f>
        <v>Lavandeira</v>
      </c>
      <c r="C113" s="195" t="str">
        <f ca="1">IFERROR(__xludf.DUMMYFUNCTION("""COMPUTED_VALUE"""),"ASSOC. DE APOIO ESC. EST. LAVANDEIRA")</f>
        <v>ASSOC. DE APOIO ESC. EST. LAVANDEIRA</v>
      </c>
      <c r="D113" s="196" t="str">
        <f ca="1">IFERROR(__xludf.DUMMYFUNCTION("""COMPUTED_VALUE"""),"01136024000135")</f>
        <v>01136024000135</v>
      </c>
      <c r="E113" s="197" t="str">
        <f ca="1">IFERROR(__xludf.DUMMYFUNCTION("""COMPUTED_VALUE"""),"001")</f>
        <v>001</v>
      </c>
      <c r="F113" s="197" t="str">
        <f ca="1">IFERROR(__xludf.DUMMYFUNCTION("""COMPUTED_VALUE"""),"3977")</f>
        <v>3977</v>
      </c>
      <c r="G113" s="198" t="str">
        <f ca="1">IFERROR(__xludf.DUMMYFUNCTION("""COMPUTED_VALUE"""),"231916")</f>
        <v>231916</v>
      </c>
      <c r="H113" s="198">
        <f ca="1">IFERROR(__xludf.DUMMYFUNCTION("""COMPUTED_VALUE"""),0)</f>
        <v>0</v>
      </c>
      <c r="I113" s="198">
        <f ca="1">IFERROR(__xludf.DUMMYFUNCTION("""COMPUTED_VALUE"""),0)</f>
        <v>0</v>
      </c>
      <c r="J113" s="198">
        <f ca="1">IFERROR(__xludf.DUMMYFUNCTION("""COMPUTED_VALUE"""),2373)</f>
        <v>2373</v>
      </c>
      <c r="K113" s="198">
        <f ca="1">IFERROR(__xludf.DUMMYFUNCTION("""COMPUTED_VALUE"""),0)</f>
        <v>0</v>
      </c>
      <c r="L113" s="198">
        <f ca="1">IFERROR(__xludf.DUMMYFUNCTION("""COMPUTED_VALUE"""),0)</f>
        <v>0</v>
      </c>
      <c r="M113" s="198">
        <f ca="1">IFERROR(__xludf.DUMMYFUNCTION("""COMPUTED_VALUE"""),420)</f>
        <v>420</v>
      </c>
      <c r="N113" s="198">
        <f ca="1">IFERROR(__xludf.DUMMYFUNCTION("""COMPUTED_VALUE"""),1701)</f>
        <v>1701</v>
      </c>
      <c r="O113" s="198">
        <f ca="1">IFERROR(__xludf.DUMMYFUNCTION("""COMPUTED_VALUE"""),0)</f>
        <v>0</v>
      </c>
      <c r="P113" s="198">
        <f t="shared" ca="1" si="1"/>
        <v>4494</v>
      </c>
    </row>
    <row r="114" spans="1:16" ht="12.75">
      <c r="A114" s="199" t="str">
        <f ca="1">IFERROR(__xludf.DUMMYFUNCTION("""COMPUTED_VALUE"""),"Arraias")</f>
        <v>Arraias</v>
      </c>
      <c r="B114" s="199" t="str">
        <f ca="1">IFERROR(__xludf.DUMMYFUNCTION("""COMPUTED_VALUE"""),"Novo Alegre")</f>
        <v>Novo Alegre</v>
      </c>
      <c r="C114" s="145" t="str">
        <f ca="1">IFERROR(__xludf.DUMMYFUNCTION("""COMPUTED_VALUE"""),"ASSOC. DE APOIO COL. EST. DR.JOAO D`ABREU")</f>
        <v>ASSOC. DE APOIO COL. EST. DR.JOAO D`ABREU</v>
      </c>
      <c r="D114" s="200" t="str">
        <f ca="1">IFERROR(__xludf.DUMMYFUNCTION("""COMPUTED_VALUE"""),"01146115000151")</f>
        <v>01146115000151</v>
      </c>
      <c r="E114" s="201" t="str">
        <f ca="1">IFERROR(__xludf.DUMMYFUNCTION("""COMPUTED_VALUE"""),"001")</f>
        <v>001</v>
      </c>
      <c r="F114" s="201" t="str">
        <f ca="1">IFERROR(__xludf.DUMMYFUNCTION("""COMPUTED_VALUE"""),"3977")</f>
        <v>3977</v>
      </c>
      <c r="G114" s="202" t="str">
        <f ca="1">IFERROR(__xludf.DUMMYFUNCTION("""COMPUTED_VALUE"""),"178845")</f>
        <v>178845</v>
      </c>
      <c r="H114" s="202">
        <f ca="1">IFERROR(__xludf.DUMMYFUNCTION("""COMPUTED_VALUE"""),0)</f>
        <v>0</v>
      </c>
      <c r="I114" s="202">
        <f ca="1">IFERROR(__xludf.DUMMYFUNCTION("""COMPUTED_VALUE"""),0)</f>
        <v>0</v>
      </c>
      <c r="J114" s="202">
        <f ca="1">IFERROR(__xludf.DUMMYFUNCTION("""COMPUTED_VALUE"""),4200)</f>
        <v>4200</v>
      </c>
      <c r="K114" s="202">
        <f ca="1">IFERROR(__xludf.DUMMYFUNCTION("""COMPUTED_VALUE"""),0)</f>
        <v>0</v>
      </c>
      <c r="L114" s="202">
        <f ca="1">IFERROR(__xludf.DUMMYFUNCTION("""COMPUTED_VALUE"""),0)</f>
        <v>0</v>
      </c>
      <c r="M114" s="202">
        <f ca="1">IFERROR(__xludf.DUMMYFUNCTION("""COMPUTED_VALUE"""),399)</f>
        <v>399</v>
      </c>
      <c r="N114" s="202">
        <f ca="1">IFERROR(__xludf.DUMMYFUNCTION("""COMPUTED_VALUE"""),1491)</f>
        <v>1491</v>
      </c>
      <c r="O114" s="202">
        <f ca="1">IFERROR(__xludf.DUMMYFUNCTION("""COMPUTED_VALUE"""),0)</f>
        <v>0</v>
      </c>
      <c r="P114" s="202">
        <f t="shared" ca="1" si="1"/>
        <v>6090</v>
      </c>
    </row>
    <row r="115" spans="1:16" ht="12.75">
      <c r="A115" s="194" t="str">
        <f ca="1">IFERROR(__xludf.DUMMYFUNCTION("""COMPUTED_VALUE"""),"Arraias")</f>
        <v>Arraias</v>
      </c>
      <c r="B115" s="194" t="str">
        <f ca="1">IFERROR(__xludf.DUMMYFUNCTION("""COMPUTED_VALUE"""),"Parana")</f>
        <v>Parana</v>
      </c>
      <c r="C115" s="195" t="str">
        <f ca="1">IFERROR(__xludf.DUMMYFUNCTION("""COMPUTED_VALUE"""),"A.A. DO COL. EST. DES.VIRGILIO DE M.FRANCO")</f>
        <v>A.A. DO COL. EST. DES.VIRGILIO DE M.FRANCO</v>
      </c>
      <c r="D115" s="196" t="str">
        <f ca="1">IFERROR(__xludf.DUMMYFUNCTION("""COMPUTED_VALUE"""),"01284635000120")</f>
        <v>01284635000120</v>
      </c>
      <c r="E115" s="197" t="str">
        <f ca="1">IFERROR(__xludf.DUMMYFUNCTION("""COMPUTED_VALUE"""),"001")</f>
        <v>001</v>
      </c>
      <c r="F115" s="197" t="str">
        <f ca="1">IFERROR(__xludf.DUMMYFUNCTION("""COMPUTED_VALUE"""),"4790")</f>
        <v>4790</v>
      </c>
      <c r="G115" s="198" t="str">
        <f ca="1">IFERROR(__xludf.DUMMYFUNCTION("""COMPUTED_VALUE"""),"232327")</f>
        <v>232327</v>
      </c>
      <c r="H115" s="198">
        <f ca="1">IFERROR(__xludf.DUMMYFUNCTION("""COMPUTED_VALUE"""),0)</f>
        <v>0</v>
      </c>
      <c r="I115" s="198">
        <f ca="1">IFERROR(__xludf.DUMMYFUNCTION("""COMPUTED_VALUE"""),0)</f>
        <v>0</v>
      </c>
      <c r="J115" s="198">
        <f ca="1">IFERROR(__xludf.DUMMYFUNCTION("""COMPUTED_VALUE"""),0)</f>
        <v>0</v>
      </c>
      <c r="K115" s="198">
        <f ca="1">IFERROR(__xludf.DUMMYFUNCTION("""COMPUTED_VALUE"""),0)</f>
        <v>0</v>
      </c>
      <c r="L115" s="198">
        <f ca="1">IFERROR(__xludf.DUMMYFUNCTION("""COMPUTED_VALUE"""),0)</f>
        <v>0</v>
      </c>
      <c r="M115" s="198">
        <f ca="1">IFERROR(__xludf.DUMMYFUNCTION("""COMPUTED_VALUE"""),0)</f>
        <v>0</v>
      </c>
      <c r="N115" s="198">
        <f ca="1">IFERROR(__xludf.DUMMYFUNCTION("""COMPUTED_VALUE"""),6699)</f>
        <v>6699</v>
      </c>
      <c r="O115" s="198">
        <f ca="1">IFERROR(__xludf.DUMMYFUNCTION("""COMPUTED_VALUE"""),903)</f>
        <v>903</v>
      </c>
      <c r="P115" s="198">
        <f t="shared" ca="1" si="1"/>
        <v>7602</v>
      </c>
    </row>
    <row r="116" spans="1:16" ht="12.75">
      <c r="A116" s="199" t="str">
        <f ca="1">IFERROR(__xludf.DUMMYFUNCTION("""COMPUTED_VALUE"""),"Arraias")</f>
        <v>Arraias</v>
      </c>
      <c r="B116" s="199" t="str">
        <f ca="1">IFERROR(__xludf.DUMMYFUNCTION("""COMPUTED_VALUE"""),"Parana")</f>
        <v>Parana</v>
      </c>
      <c r="C116" s="145" t="str">
        <f ca="1">IFERROR(__xludf.DUMMYFUNCTION("""COMPUTED_VALUE"""),"A.A. DA ESC. EST.EUCLIDES BEZERRA GERAIS")</f>
        <v>A.A. DA ESC. EST.EUCLIDES BEZERRA GERAIS</v>
      </c>
      <c r="D116" s="200" t="str">
        <f ca="1">IFERROR(__xludf.DUMMYFUNCTION("""COMPUTED_VALUE"""),"01401950000190")</f>
        <v>01401950000190</v>
      </c>
      <c r="E116" s="201" t="str">
        <f ca="1">IFERROR(__xludf.DUMMYFUNCTION("""COMPUTED_VALUE"""),"001")</f>
        <v>001</v>
      </c>
      <c r="F116" s="201" t="str">
        <f ca="1">IFERROR(__xludf.DUMMYFUNCTION("""COMPUTED_VALUE"""),"0541")</f>
        <v>0541</v>
      </c>
      <c r="G116" s="202" t="str">
        <f ca="1">IFERROR(__xludf.DUMMYFUNCTION("""COMPUTED_VALUE"""),"232483")</f>
        <v>232483</v>
      </c>
      <c r="H116" s="202">
        <f ca="1">IFERROR(__xludf.DUMMYFUNCTION("""COMPUTED_VALUE"""),0)</f>
        <v>0</v>
      </c>
      <c r="I116" s="202">
        <f ca="1">IFERROR(__xludf.DUMMYFUNCTION("""COMPUTED_VALUE"""),0)</f>
        <v>0</v>
      </c>
      <c r="J116" s="202">
        <f ca="1">IFERROR(__xludf.DUMMYFUNCTION("""COMPUTED_VALUE"""),9198)</f>
        <v>9198</v>
      </c>
      <c r="K116" s="202">
        <f ca="1">IFERROR(__xludf.DUMMYFUNCTION("""COMPUTED_VALUE"""),0)</f>
        <v>0</v>
      </c>
      <c r="L116" s="202">
        <f ca="1">IFERROR(__xludf.DUMMYFUNCTION("""COMPUTED_VALUE"""),0)</f>
        <v>0</v>
      </c>
      <c r="M116" s="202">
        <f ca="1">IFERROR(__xludf.DUMMYFUNCTION("""COMPUTED_VALUE"""),399)</f>
        <v>399</v>
      </c>
      <c r="N116" s="202">
        <f ca="1">IFERROR(__xludf.DUMMYFUNCTION("""COMPUTED_VALUE"""),0)</f>
        <v>0</v>
      </c>
      <c r="O116" s="202">
        <f ca="1">IFERROR(__xludf.DUMMYFUNCTION("""COMPUTED_VALUE"""),0)</f>
        <v>0</v>
      </c>
      <c r="P116" s="202">
        <f t="shared" ca="1" si="1"/>
        <v>9597</v>
      </c>
    </row>
    <row r="117" spans="1:16" ht="12.75">
      <c r="A117" s="194" t="str">
        <f ca="1">IFERROR(__xludf.DUMMYFUNCTION("""COMPUTED_VALUE"""),"Arraias")</f>
        <v>Arraias</v>
      </c>
      <c r="B117" s="194" t="str">
        <f ca="1">IFERROR(__xludf.DUMMYFUNCTION("""COMPUTED_VALUE"""),"Parana")</f>
        <v>Parana</v>
      </c>
      <c r="C117" s="195" t="str">
        <f ca="1">IFERROR(__xludf.DUMMYFUNCTION("""COMPUTED_VALUE"""),"ASSOC. DE APOIO A ESC. EST. REUNIDA FLORESTA")</f>
        <v>ASSOC. DE APOIO A ESC. EST. REUNIDA FLORESTA</v>
      </c>
      <c r="D117" s="196" t="str">
        <f ca="1">IFERROR(__xludf.DUMMYFUNCTION("""COMPUTED_VALUE"""),"03834797000110")</f>
        <v>03834797000110</v>
      </c>
      <c r="E117" s="197" t="str">
        <f ca="1">IFERROR(__xludf.DUMMYFUNCTION("""COMPUTED_VALUE"""),"001")</f>
        <v>001</v>
      </c>
      <c r="F117" s="197" t="str">
        <f ca="1">IFERROR(__xludf.DUMMYFUNCTION("""COMPUTED_VALUE"""),"0541")</f>
        <v>0541</v>
      </c>
      <c r="G117" s="198" t="str">
        <f ca="1">IFERROR(__xludf.DUMMYFUNCTION("""COMPUTED_VALUE"""),"113247")</f>
        <v>113247</v>
      </c>
      <c r="H117" s="198">
        <f ca="1">IFERROR(__xludf.DUMMYFUNCTION("""COMPUTED_VALUE"""),0)</f>
        <v>0</v>
      </c>
      <c r="I117" s="198">
        <f ca="1">IFERROR(__xludf.DUMMYFUNCTION("""COMPUTED_VALUE"""),0)</f>
        <v>0</v>
      </c>
      <c r="J117" s="198">
        <f ca="1">IFERROR(__xludf.DUMMYFUNCTION("""COMPUTED_VALUE"""),1008)</f>
        <v>1008</v>
      </c>
      <c r="K117" s="198">
        <f ca="1">IFERROR(__xludf.DUMMYFUNCTION("""COMPUTED_VALUE"""),0)</f>
        <v>0</v>
      </c>
      <c r="L117" s="198">
        <f ca="1">IFERROR(__xludf.DUMMYFUNCTION("""COMPUTED_VALUE"""),0)</f>
        <v>0</v>
      </c>
      <c r="M117" s="198">
        <f ca="1">IFERROR(__xludf.DUMMYFUNCTION("""COMPUTED_VALUE"""),105)</f>
        <v>105</v>
      </c>
      <c r="N117" s="198">
        <f ca="1">IFERROR(__xludf.DUMMYFUNCTION("""COMPUTED_VALUE"""),651)</f>
        <v>651</v>
      </c>
      <c r="O117" s="198">
        <f ca="1">IFERROR(__xludf.DUMMYFUNCTION("""COMPUTED_VALUE"""),0)</f>
        <v>0</v>
      </c>
      <c r="P117" s="198">
        <f t="shared" ca="1" si="1"/>
        <v>1764</v>
      </c>
    </row>
    <row r="118" spans="1:16" ht="12.75">
      <c r="A118" s="199" t="str">
        <f ca="1">IFERROR(__xludf.DUMMYFUNCTION("""COMPUTED_VALUE"""),"Arraias")</f>
        <v>Arraias</v>
      </c>
      <c r="B118" s="199" t="str">
        <f ca="1">IFERROR(__xludf.DUMMYFUNCTION("""COMPUTED_VALUE"""),"Parana")</f>
        <v>Parana</v>
      </c>
      <c r="C118" s="145" t="str">
        <f ca="1">IFERROR(__xludf.DUMMYFUNCTION("""COMPUTED_VALUE"""),"A.A. A ESC. EST. REUNIDA SANTA RITA DO RIO PALMA")</f>
        <v>A.A. A ESC. EST. REUNIDA SANTA RITA DO RIO PALMA</v>
      </c>
      <c r="D118" s="200" t="str">
        <f ca="1">IFERROR(__xludf.DUMMYFUNCTION("""COMPUTED_VALUE"""),"03834784000141")</f>
        <v>03834784000141</v>
      </c>
      <c r="E118" s="201" t="str">
        <f ca="1">IFERROR(__xludf.DUMMYFUNCTION("""COMPUTED_VALUE"""),"001")</f>
        <v>001</v>
      </c>
      <c r="F118" s="201" t="str">
        <f ca="1">IFERROR(__xludf.DUMMYFUNCTION("""COMPUTED_VALUE"""),"0541")</f>
        <v>0541</v>
      </c>
      <c r="G118" s="202" t="str">
        <f ca="1">IFERROR(__xludf.DUMMYFUNCTION("""COMPUTED_VALUE"""),"113638")</f>
        <v>113638</v>
      </c>
      <c r="H118" s="202">
        <f ca="1">IFERROR(__xludf.DUMMYFUNCTION("""COMPUTED_VALUE"""),0)</f>
        <v>0</v>
      </c>
      <c r="I118" s="202">
        <f ca="1">IFERROR(__xludf.DUMMYFUNCTION("""COMPUTED_VALUE"""),0)</f>
        <v>0</v>
      </c>
      <c r="J118" s="202">
        <f ca="1">IFERROR(__xludf.DUMMYFUNCTION("""COMPUTED_VALUE"""),1260)</f>
        <v>1260</v>
      </c>
      <c r="K118" s="202">
        <f ca="1">IFERROR(__xludf.DUMMYFUNCTION("""COMPUTED_VALUE"""),0)</f>
        <v>0</v>
      </c>
      <c r="L118" s="202">
        <f ca="1">IFERROR(__xludf.DUMMYFUNCTION("""COMPUTED_VALUE"""),0)</f>
        <v>0</v>
      </c>
      <c r="M118" s="202">
        <f ca="1">IFERROR(__xludf.DUMMYFUNCTION("""COMPUTED_VALUE"""),0)</f>
        <v>0</v>
      </c>
      <c r="N118" s="202">
        <f ca="1">IFERROR(__xludf.DUMMYFUNCTION("""COMPUTED_VALUE"""),966)</f>
        <v>966</v>
      </c>
      <c r="O118" s="202">
        <f ca="1">IFERROR(__xludf.DUMMYFUNCTION("""COMPUTED_VALUE"""),0)</f>
        <v>0</v>
      </c>
      <c r="P118" s="202">
        <f t="shared" ca="1" si="1"/>
        <v>2226</v>
      </c>
    </row>
    <row r="119" spans="1:16" ht="12.75">
      <c r="A119" s="194" t="str">
        <f ca="1">IFERROR(__xludf.DUMMYFUNCTION("""COMPUTED_VALUE"""),"Colinas")</f>
        <v>Colinas</v>
      </c>
      <c r="B119" s="194" t="str">
        <f ca="1">IFERROR(__xludf.DUMMYFUNCTION("""COMPUTED_VALUE"""),"Arapoema")</f>
        <v>Arapoema</v>
      </c>
      <c r="C119" s="195" t="str">
        <f ca="1">IFERROR(__xludf.DUMMYFUNCTION("""COMPUTED_VALUE"""),"A.AP. COL. EST.RUILON DIAS CARNEIRO")</f>
        <v>A.AP. COL. EST.RUILON DIAS CARNEIRO</v>
      </c>
      <c r="D119" s="196" t="str">
        <f ca="1">IFERROR(__xludf.DUMMYFUNCTION("""COMPUTED_VALUE"""),"01133714000130")</f>
        <v>01133714000130</v>
      </c>
      <c r="E119" s="197" t="str">
        <f ca="1">IFERROR(__xludf.DUMMYFUNCTION("""COMPUTED_VALUE"""),"001")</f>
        <v>001</v>
      </c>
      <c r="F119" s="197" t="str">
        <f ca="1">IFERROR(__xludf.DUMMYFUNCTION("""COMPUTED_VALUE"""),"3974")</f>
        <v>3974</v>
      </c>
      <c r="G119" s="198" t="str">
        <f ca="1">IFERROR(__xludf.DUMMYFUNCTION("""COMPUTED_VALUE"""),"2290X")</f>
        <v>2290X</v>
      </c>
      <c r="H119" s="198">
        <f ca="1">IFERROR(__xludf.DUMMYFUNCTION("""COMPUTED_VALUE"""),0)</f>
        <v>0</v>
      </c>
      <c r="I119" s="198">
        <f ca="1">IFERROR(__xludf.DUMMYFUNCTION("""COMPUTED_VALUE"""),0)</f>
        <v>0</v>
      </c>
      <c r="J119" s="198">
        <f ca="1">IFERROR(__xludf.DUMMYFUNCTION("""COMPUTED_VALUE"""),0)</f>
        <v>0</v>
      </c>
      <c r="K119" s="198">
        <f ca="1">IFERROR(__xludf.DUMMYFUNCTION("""COMPUTED_VALUE"""),0)</f>
        <v>0</v>
      </c>
      <c r="L119" s="198">
        <f ca="1">IFERROR(__xludf.DUMMYFUNCTION("""COMPUTED_VALUE"""),0)</f>
        <v>0</v>
      </c>
      <c r="M119" s="198">
        <f ca="1">IFERROR(__xludf.DUMMYFUNCTION("""COMPUTED_VALUE"""),0)</f>
        <v>0</v>
      </c>
      <c r="N119" s="198">
        <f ca="1">IFERROR(__xludf.DUMMYFUNCTION("""COMPUTED_VALUE"""),5082)</f>
        <v>5082</v>
      </c>
      <c r="O119" s="198">
        <f ca="1">IFERROR(__xludf.DUMMYFUNCTION("""COMPUTED_VALUE"""),0)</f>
        <v>0</v>
      </c>
      <c r="P119" s="198">
        <f t="shared" ca="1" si="1"/>
        <v>5082</v>
      </c>
    </row>
    <row r="120" spans="1:16" ht="12.75">
      <c r="A120" s="199" t="str">
        <f ca="1">IFERROR(__xludf.DUMMYFUNCTION("""COMPUTED_VALUE"""),"Colinas")</f>
        <v>Colinas</v>
      </c>
      <c r="B120" s="199" t="str">
        <f ca="1">IFERROR(__xludf.DUMMYFUNCTION("""COMPUTED_VALUE"""),"Arapoema")</f>
        <v>Arapoema</v>
      </c>
      <c r="C120" s="145" t="str">
        <f ca="1">IFERROR(__xludf.DUMMYFUNCTION("""COMPUTED_VALUE"""),"A.A. E. EST. ANTONIO DELFINO GUIMARAES")</f>
        <v>A.A. E. EST. ANTONIO DELFINO GUIMARAES</v>
      </c>
      <c r="D120" s="200" t="str">
        <f ca="1">IFERROR(__xludf.DUMMYFUNCTION("""COMPUTED_VALUE"""),"01135998000102")</f>
        <v>01135998000102</v>
      </c>
      <c r="E120" s="201" t="str">
        <f ca="1">IFERROR(__xludf.DUMMYFUNCTION("""COMPUTED_VALUE"""),"001")</f>
        <v>001</v>
      </c>
      <c r="F120" s="201" t="str">
        <f ca="1">IFERROR(__xludf.DUMMYFUNCTION("""COMPUTED_VALUE"""),"3974")</f>
        <v>3974</v>
      </c>
      <c r="G120" s="202" t="str">
        <f ca="1">IFERROR(__xludf.DUMMYFUNCTION("""COMPUTED_VALUE"""),"2287X")</f>
        <v>2287X</v>
      </c>
      <c r="H120" s="202">
        <f ca="1">IFERROR(__xludf.DUMMYFUNCTION("""COMPUTED_VALUE"""),0)</f>
        <v>0</v>
      </c>
      <c r="I120" s="202">
        <f ca="1">IFERROR(__xludf.DUMMYFUNCTION("""COMPUTED_VALUE"""),0)</f>
        <v>0</v>
      </c>
      <c r="J120" s="202">
        <f ca="1">IFERROR(__xludf.DUMMYFUNCTION("""COMPUTED_VALUE"""),6804)</f>
        <v>6804</v>
      </c>
      <c r="K120" s="202">
        <f ca="1">IFERROR(__xludf.DUMMYFUNCTION("""COMPUTED_VALUE"""),0)</f>
        <v>0</v>
      </c>
      <c r="L120" s="202">
        <f ca="1">IFERROR(__xludf.DUMMYFUNCTION("""COMPUTED_VALUE"""),0)</f>
        <v>0</v>
      </c>
      <c r="M120" s="202">
        <f ca="1">IFERROR(__xludf.DUMMYFUNCTION("""COMPUTED_VALUE"""),525)</f>
        <v>525</v>
      </c>
      <c r="N120" s="202">
        <f ca="1">IFERROR(__xludf.DUMMYFUNCTION("""COMPUTED_VALUE"""),0)</f>
        <v>0</v>
      </c>
      <c r="O120" s="202">
        <f ca="1">IFERROR(__xludf.DUMMYFUNCTION("""COMPUTED_VALUE"""),0)</f>
        <v>0</v>
      </c>
      <c r="P120" s="202">
        <f t="shared" ca="1" si="1"/>
        <v>7329</v>
      </c>
    </row>
    <row r="121" spans="1:16" ht="12.75">
      <c r="A121" s="194" t="str">
        <f ca="1">IFERROR(__xludf.DUMMYFUNCTION("""COMPUTED_VALUE"""),"Colinas")</f>
        <v>Colinas</v>
      </c>
      <c r="B121" s="194" t="str">
        <f ca="1">IFERROR(__xludf.DUMMYFUNCTION("""COMPUTED_VALUE"""),"Bandeirantes do Tocantins")</f>
        <v>Bandeirantes do Tocantins</v>
      </c>
      <c r="C121" s="195" t="str">
        <f ca="1">IFERROR(__xludf.DUMMYFUNCTION("""COMPUTED_VALUE"""),"A.A. E. E. ARCELINO F. DO NASCIMENTO")</f>
        <v>A.A. E. E. ARCELINO F. DO NASCIMENTO</v>
      </c>
      <c r="D121" s="196" t="str">
        <f ca="1">IFERROR(__xludf.DUMMYFUNCTION("""COMPUTED_VALUE"""),"01181179000193")</f>
        <v>01181179000193</v>
      </c>
      <c r="E121" s="197" t="str">
        <f ca="1">IFERROR(__xludf.DUMMYFUNCTION("""COMPUTED_VALUE"""),"001")</f>
        <v>001</v>
      </c>
      <c r="F121" s="197" t="str">
        <f ca="1">IFERROR(__xludf.DUMMYFUNCTION("""COMPUTED_VALUE"""),"0911")</f>
        <v>0911</v>
      </c>
      <c r="G121" s="198" t="str">
        <f ca="1">IFERROR(__xludf.DUMMYFUNCTION("""COMPUTED_VALUE"""),"46578X")</f>
        <v>46578X</v>
      </c>
      <c r="H121" s="198">
        <f ca="1">IFERROR(__xludf.DUMMYFUNCTION("""COMPUTED_VALUE"""),0)</f>
        <v>0</v>
      </c>
      <c r="I121" s="198">
        <f ca="1">IFERROR(__xludf.DUMMYFUNCTION("""COMPUTED_VALUE"""),0)</f>
        <v>0</v>
      </c>
      <c r="J121" s="198">
        <f ca="1">IFERROR(__xludf.DUMMYFUNCTION("""COMPUTED_VALUE"""),1512)</f>
        <v>1512</v>
      </c>
      <c r="K121" s="198">
        <f ca="1">IFERROR(__xludf.DUMMYFUNCTION("""COMPUTED_VALUE"""),0)</f>
        <v>0</v>
      </c>
      <c r="L121" s="198">
        <f ca="1">IFERROR(__xludf.DUMMYFUNCTION("""COMPUTED_VALUE"""),0)</f>
        <v>0</v>
      </c>
      <c r="M121" s="198">
        <f ca="1">IFERROR(__xludf.DUMMYFUNCTION("""COMPUTED_VALUE"""),105)</f>
        <v>105</v>
      </c>
      <c r="N121" s="198">
        <f ca="1">IFERROR(__xludf.DUMMYFUNCTION("""COMPUTED_VALUE"""),2856)</f>
        <v>2856</v>
      </c>
      <c r="O121" s="198">
        <f ca="1">IFERROR(__xludf.DUMMYFUNCTION("""COMPUTED_VALUE"""),0)</f>
        <v>0</v>
      </c>
      <c r="P121" s="198">
        <f t="shared" ca="1" si="1"/>
        <v>4473</v>
      </c>
    </row>
    <row r="122" spans="1:16" ht="12.75">
      <c r="A122" s="199" t="str">
        <f ca="1">IFERROR(__xludf.DUMMYFUNCTION("""COMPUTED_VALUE"""),"Colinas")</f>
        <v>Colinas</v>
      </c>
      <c r="B122" s="199" t="str">
        <f ca="1">IFERROR(__xludf.DUMMYFUNCTION("""COMPUTED_VALUE"""),"Bernardo Sayao")</f>
        <v>Bernardo Sayao</v>
      </c>
      <c r="C122" s="145" t="str">
        <f ca="1">IFERROR(__xludf.DUMMYFUNCTION("""COMPUTED_VALUE"""),"A.A. COL. EST. BERNARDO SAYAO")</f>
        <v>A.A. COL. EST. BERNARDO SAYAO</v>
      </c>
      <c r="D122" s="200" t="str">
        <f ca="1">IFERROR(__xludf.DUMMYFUNCTION("""COMPUTED_VALUE"""),"01190188000140")</f>
        <v>01190188000140</v>
      </c>
      <c r="E122" s="201" t="str">
        <f ca="1">IFERROR(__xludf.DUMMYFUNCTION("""COMPUTED_VALUE"""),"001")</f>
        <v>001</v>
      </c>
      <c r="F122" s="201" t="str">
        <f ca="1">IFERROR(__xludf.DUMMYFUNCTION("""COMPUTED_VALUE"""),"0911")</f>
        <v>0911</v>
      </c>
      <c r="G122" s="202" t="str">
        <f ca="1">IFERROR(__xludf.DUMMYFUNCTION("""COMPUTED_VALUE"""),"369403")</f>
        <v>369403</v>
      </c>
      <c r="H122" s="202">
        <f ca="1">IFERROR(__xludf.DUMMYFUNCTION("""COMPUTED_VALUE"""),0)</f>
        <v>0</v>
      </c>
      <c r="I122" s="202">
        <f ca="1">IFERROR(__xludf.DUMMYFUNCTION("""COMPUTED_VALUE"""),0)</f>
        <v>0</v>
      </c>
      <c r="J122" s="202">
        <f ca="1">IFERROR(__xludf.DUMMYFUNCTION("""COMPUTED_VALUE"""),1386)</f>
        <v>1386</v>
      </c>
      <c r="K122" s="202">
        <f ca="1">IFERROR(__xludf.DUMMYFUNCTION("""COMPUTED_VALUE"""),0)</f>
        <v>0</v>
      </c>
      <c r="L122" s="202">
        <f ca="1">IFERROR(__xludf.DUMMYFUNCTION("""COMPUTED_VALUE"""),0)</f>
        <v>0</v>
      </c>
      <c r="M122" s="202">
        <f ca="1">IFERROR(__xludf.DUMMYFUNCTION("""COMPUTED_VALUE"""),147)</f>
        <v>147</v>
      </c>
      <c r="N122" s="202">
        <f ca="1">IFERROR(__xludf.DUMMYFUNCTION("""COMPUTED_VALUE"""),3297)</f>
        <v>3297</v>
      </c>
      <c r="O122" s="202">
        <f ca="1">IFERROR(__xludf.DUMMYFUNCTION("""COMPUTED_VALUE"""),735)</f>
        <v>735</v>
      </c>
      <c r="P122" s="202">
        <f t="shared" ca="1" si="1"/>
        <v>5565</v>
      </c>
    </row>
    <row r="123" spans="1:16" ht="12.75">
      <c r="A123" s="194" t="str">
        <f ca="1">IFERROR(__xludf.DUMMYFUNCTION("""COMPUTED_VALUE"""),"Colinas")</f>
        <v>Colinas</v>
      </c>
      <c r="B123" s="194" t="str">
        <f ca="1">IFERROR(__xludf.DUMMYFUNCTION("""COMPUTED_VALUE"""),"Brasilandia do Tocantins")</f>
        <v>Brasilandia do Tocantins</v>
      </c>
      <c r="C123" s="195" t="str">
        <f ca="1">IFERROR(__xludf.DUMMYFUNCTION("""COMPUTED_VALUE"""),"A.A. COL. EST. SEBASTIAO RODRIGUES SALES")</f>
        <v>A.A. COL. EST. SEBASTIAO RODRIGUES SALES</v>
      </c>
      <c r="D123" s="196" t="str">
        <f ca="1">IFERROR(__xludf.DUMMYFUNCTION("""COMPUTED_VALUE"""),"01138333000144")</f>
        <v>01138333000144</v>
      </c>
      <c r="E123" s="197" t="str">
        <f ca="1">IFERROR(__xludf.DUMMYFUNCTION("""COMPUTED_VALUE"""),"001")</f>
        <v>001</v>
      </c>
      <c r="F123" s="197" t="str">
        <f ca="1">IFERROR(__xludf.DUMMYFUNCTION("""COMPUTED_VALUE"""),"0911")</f>
        <v>0911</v>
      </c>
      <c r="G123" s="198" t="str">
        <f ca="1">IFERROR(__xludf.DUMMYFUNCTION("""COMPUTED_VALUE"""),"369365")</f>
        <v>369365</v>
      </c>
      <c r="H123" s="198">
        <f ca="1">IFERROR(__xludf.DUMMYFUNCTION("""COMPUTED_VALUE"""),0)</f>
        <v>0</v>
      </c>
      <c r="I123" s="198">
        <f ca="1">IFERROR(__xludf.DUMMYFUNCTION("""COMPUTED_VALUE"""),0)</f>
        <v>0</v>
      </c>
      <c r="J123" s="198">
        <f ca="1">IFERROR(__xludf.DUMMYFUNCTION("""COMPUTED_VALUE"""),3066)</f>
        <v>3066</v>
      </c>
      <c r="K123" s="198">
        <f ca="1">IFERROR(__xludf.DUMMYFUNCTION("""COMPUTED_VALUE"""),0)</f>
        <v>0</v>
      </c>
      <c r="L123" s="198">
        <f ca="1">IFERROR(__xludf.DUMMYFUNCTION("""COMPUTED_VALUE"""),0)</f>
        <v>0</v>
      </c>
      <c r="M123" s="198">
        <f ca="1">IFERROR(__xludf.DUMMYFUNCTION("""COMPUTED_VALUE"""),0)</f>
        <v>0</v>
      </c>
      <c r="N123" s="198">
        <f ca="1">IFERROR(__xludf.DUMMYFUNCTION("""COMPUTED_VALUE"""),1260)</f>
        <v>1260</v>
      </c>
      <c r="O123" s="198">
        <f ca="1">IFERROR(__xludf.DUMMYFUNCTION("""COMPUTED_VALUE"""),0)</f>
        <v>0</v>
      </c>
      <c r="P123" s="198">
        <f t="shared" ca="1" si="1"/>
        <v>4326</v>
      </c>
    </row>
    <row r="124" spans="1:16" ht="12.75">
      <c r="A124" s="199" t="str">
        <f ca="1">IFERROR(__xludf.DUMMYFUNCTION("""COMPUTED_VALUE"""),"Colinas")</f>
        <v>Colinas</v>
      </c>
      <c r="B124" s="199" t="str">
        <f ca="1">IFERROR(__xludf.DUMMYFUNCTION("""COMPUTED_VALUE"""),"Colinas do Tocantins")</f>
        <v>Colinas do Tocantins</v>
      </c>
      <c r="C124" s="145" t="str">
        <f ca="1">IFERROR(__xludf.DUMMYFUNCTION("""COMPUTED_VALUE"""),"ASSOC. DE APOIO DO COL. EST. CASTELO BRANCO")</f>
        <v>ASSOC. DE APOIO DO COL. EST. CASTELO BRANCO</v>
      </c>
      <c r="D124" s="200" t="str">
        <f ca="1">IFERROR(__xludf.DUMMYFUNCTION("""COMPUTED_VALUE"""),"01071413000120")</f>
        <v>01071413000120</v>
      </c>
      <c r="E124" s="201" t="str">
        <f ca="1">IFERROR(__xludf.DUMMYFUNCTION("""COMPUTED_VALUE"""),"001")</f>
        <v>001</v>
      </c>
      <c r="F124" s="201" t="str">
        <f ca="1">IFERROR(__xludf.DUMMYFUNCTION("""COMPUTED_VALUE"""),"0911")</f>
        <v>0911</v>
      </c>
      <c r="G124" s="202" t="str">
        <f ca="1">IFERROR(__xludf.DUMMYFUNCTION("""COMPUTED_VALUE"""),"187275")</f>
        <v>187275</v>
      </c>
      <c r="H124" s="202">
        <f ca="1">IFERROR(__xludf.DUMMYFUNCTION("""COMPUTED_VALUE"""),0)</f>
        <v>0</v>
      </c>
      <c r="I124" s="202">
        <f ca="1">IFERROR(__xludf.DUMMYFUNCTION("""COMPUTED_VALUE"""),0)</f>
        <v>0</v>
      </c>
      <c r="J124" s="202">
        <f ca="1">IFERROR(__xludf.DUMMYFUNCTION("""COMPUTED_VALUE"""),0)</f>
        <v>0</v>
      </c>
      <c r="K124" s="202">
        <f ca="1">IFERROR(__xludf.DUMMYFUNCTION("""COMPUTED_VALUE"""),0)</f>
        <v>0</v>
      </c>
      <c r="L124" s="202">
        <f ca="1">IFERROR(__xludf.DUMMYFUNCTION("""COMPUTED_VALUE"""),0)</f>
        <v>0</v>
      </c>
      <c r="M124" s="202">
        <f ca="1">IFERROR(__xludf.DUMMYFUNCTION("""COMPUTED_VALUE"""),273)</f>
        <v>273</v>
      </c>
      <c r="N124" s="202">
        <f ca="1">IFERROR(__xludf.DUMMYFUNCTION("""COMPUTED_VALUE"""),0)</f>
        <v>0</v>
      </c>
      <c r="O124" s="202">
        <f ca="1">IFERROR(__xludf.DUMMYFUNCTION("""COMPUTED_VALUE"""),1596)</f>
        <v>1596</v>
      </c>
      <c r="P124" s="202">
        <f t="shared" ca="1" si="1"/>
        <v>1869</v>
      </c>
    </row>
    <row r="125" spans="1:16" ht="12.75">
      <c r="A125" s="194" t="str">
        <f ca="1">IFERROR(__xludf.DUMMYFUNCTION("""COMPUTED_VALUE"""),"Colinas")</f>
        <v>Colinas</v>
      </c>
      <c r="B125" s="194" t="str">
        <f ca="1">IFERROR(__xludf.DUMMYFUNCTION("""COMPUTED_VALUE"""),"Colinas do Tocantins")</f>
        <v>Colinas do Tocantins</v>
      </c>
      <c r="C125" s="195" t="str">
        <f ca="1">IFERROR(__xludf.DUMMYFUNCTION("""COMPUTED_VALUE"""),"A.A. ESCOLA ESTADUAL ERNESTO BARROS")</f>
        <v>A.A. ESCOLA ESTADUAL ERNESTO BARROS</v>
      </c>
      <c r="D125" s="196" t="str">
        <f ca="1">IFERROR(__xludf.DUMMYFUNCTION("""COMPUTED_VALUE"""),"01064857000138")</f>
        <v>01064857000138</v>
      </c>
      <c r="E125" s="197" t="str">
        <f ca="1">IFERROR(__xludf.DUMMYFUNCTION("""COMPUTED_VALUE"""),"001")</f>
        <v>001</v>
      </c>
      <c r="F125" s="197" t="str">
        <f ca="1">IFERROR(__xludf.DUMMYFUNCTION("""COMPUTED_VALUE"""),"0911")</f>
        <v>0911</v>
      </c>
      <c r="G125" s="198" t="str">
        <f ca="1">IFERROR(__xludf.DUMMYFUNCTION("""COMPUTED_VALUE"""),"0368571")</f>
        <v>0368571</v>
      </c>
      <c r="H125" s="198">
        <f ca="1">IFERROR(__xludf.DUMMYFUNCTION("""COMPUTED_VALUE"""),0)</f>
        <v>0</v>
      </c>
      <c r="I125" s="198">
        <f ca="1">IFERROR(__xludf.DUMMYFUNCTION("""COMPUTED_VALUE"""),0)</f>
        <v>0</v>
      </c>
      <c r="J125" s="198">
        <f ca="1">IFERROR(__xludf.DUMMYFUNCTION("""COMPUTED_VALUE"""),0)</f>
        <v>0</v>
      </c>
      <c r="K125" s="198">
        <f ca="1">IFERROR(__xludf.DUMMYFUNCTION("""COMPUTED_VALUE"""),0)</f>
        <v>0</v>
      </c>
      <c r="L125" s="198">
        <f ca="1">IFERROR(__xludf.DUMMYFUNCTION("""COMPUTED_VALUE"""),0)</f>
        <v>0</v>
      </c>
      <c r="M125" s="198">
        <f ca="1">IFERROR(__xludf.DUMMYFUNCTION("""COMPUTED_VALUE"""),273)</f>
        <v>273</v>
      </c>
      <c r="N125" s="198">
        <f ca="1">IFERROR(__xludf.DUMMYFUNCTION("""COMPUTED_VALUE"""),0)</f>
        <v>0</v>
      </c>
      <c r="O125" s="198">
        <f ca="1">IFERROR(__xludf.DUMMYFUNCTION("""COMPUTED_VALUE"""),0)</f>
        <v>0</v>
      </c>
      <c r="P125" s="198">
        <f t="shared" ca="1" si="1"/>
        <v>273</v>
      </c>
    </row>
    <row r="126" spans="1:16" ht="12.75">
      <c r="A126" s="199" t="str">
        <f ca="1">IFERROR(__xludf.DUMMYFUNCTION("""COMPUTED_VALUE"""),"Colinas")</f>
        <v>Colinas</v>
      </c>
      <c r="B126" s="199" t="str">
        <f ca="1">IFERROR(__xludf.DUMMYFUNCTION("""COMPUTED_VALUE"""),"Colinas do Tocantins")</f>
        <v>Colinas do Tocantins</v>
      </c>
      <c r="C126" s="145" t="str">
        <f ca="1">IFERROR(__xludf.DUMMYFUNCTION("""COMPUTED_VALUE"""),"A.A.  COLEGIO JOAO XXIII")</f>
        <v>A.A.  COLEGIO JOAO XXIII</v>
      </c>
      <c r="D126" s="200" t="str">
        <f ca="1">IFERROR(__xludf.DUMMYFUNCTION("""COMPUTED_VALUE"""),"01064859000127")</f>
        <v>01064859000127</v>
      </c>
      <c r="E126" s="201" t="str">
        <f ca="1">IFERROR(__xludf.DUMMYFUNCTION("""COMPUTED_VALUE"""),"001")</f>
        <v>001</v>
      </c>
      <c r="F126" s="201" t="str">
        <f ca="1">IFERROR(__xludf.DUMMYFUNCTION("""COMPUTED_VALUE"""),"0911")</f>
        <v>0911</v>
      </c>
      <c r="G126" s="202" t="str">
        <f ca="1">IFERROR(__xludf.DUMMYFUNCTION("""COMPUTED_VALUE"""),"368555")</f>
        <v>368555</v>
      </c>
      <c r="H126" s="202">
        <f ca="1">IFERROR(__xludf.DUMMYFUNCTION("""COMPUTED_VALUE"""),0)</f>
        <v>0</v>
      </c>
      <c r="I126" s="202">
        <f ca="1">IFERROR(__xludf.DUMMYFUNCTION("""COMPUTED_VALUE"""),0)</f>
        <v>0</v>
      </c>
      <c r="J126" s="202">
        <f ca="1">IFERROR(__xludf.DUMMYFUNCTION("""COMPUTED_VALUE"""),9051)</f>
        <v>9051</v>
      </c>
      <c r="K126" s="202">
        <f ca="1">IFERROR(__xludf.DUMMYFUNCTION("""COMPUTED_VALUE"""),0)</f>
        <v>0</v>
      </c>
      <c r="L126" s="202">
        <f ca="1">IFERROR(__xludf.DUMMYFUNCTION("""COMPUTED_VALUE"""),0)</f>
        <v>0</v>
      </c>
      <c r="M126" s="202">
        <f ca="1">IFERROR(__xludf.DUMMYFUNCTION("""COMPUTED_VALUE"""),378)</f>
        <v>378</v>
      </c>
      <c r="N126" s="202">
        <f ca="1">IFERROR(__xludf.DUMMYFUNCTION("""COMPUTED_VALUE"""),6972)</f>
        <v>6972</v>
      </c>
      <c r="O126" s="202">
        <f ca="1">IFERROR(__xludf.DUMMYFUNCTION("""COMPUTED_VALUE"""),0)</f>
        <v>0</v>
      </c>
      <c r="P126" s="202">
        <f t="shared" ca="1" si="1"/>
        <v>16401</v>
      </c>
    </row>
    <row r="127" spans="1:16" ht="12.75">
      <c r="A127" s="194" t="str">
        <f ca="1">IFERROR(__xludf.DUMMYFUNCTION("""COMPUTED_VALUE"""),"Colinas")</f>
        <v>Colinas</v>
      </c>
      <c r="B127" s="194" t="str">
        <f ca="1">IFERROR(__xludf.DUMMYFUNCTION("""COMPUTED_VALUE"""),"Colinas do Tocantins")</f>
        <v>Colinas do Tocantins</v>
      </c>
      <c r="C127" s="195" t="str">
        <f ca="1">IFERROR(__xludf.DUMMYFUNCTION("""COMPUTED_VALUE"""),"AAE ESPECIAL GOTA DE ESPERANÇA")</f>
        <v>AAE ESPECIAL GOTA DE ESPERANÇA</v>
      </c>
      <c r="D127" s="196" t="str">
        <f ca="1">IFERROR(__xludf.DUMMYFUNCTION("""COMPUTED_VALUE"""),"07944635000196")</f>
        <v>07944635000196</v>
      </c>
      <c r="E127" s="197" t="str">
        <f ca="1">IFERROR(__xludf.DUMMYFUNCTION("""COMPUTED_VALUE"""),"001")</f>
        <v>001</v>
      </c>
      <c r="F127" s="197" t="str">
        <f ca="1">IFERROR(__xludf.DUMMYFUNCTION("""COMPUTED_VALUE"""),"0911")</f>
        <v>0911</v>
      </c>
      <c r="G127" s="198" t="str">
        <f ca="1">IFERROR(__xludf.DUMMYFUNCTION("""COMPUTED_VALUE"""),"184861")</f>
        <v>184861</v>
      </c>
      <c r="H127" s="198">
        <f ca="1">IFERROR(__xludf.DUMMYFUNCTION("""COMPUTED_VALUE"""),0)</f>
        <v>0</v>
      </c>
      <c r="I127" s="198">
        <f ca="1">IFERROR(__xludf.DUMMYFUNCTION("""COMPUTED_VALUE"""),0)</f>
        <v>0</v>
      </c>
      <c r="J127" s="198">
        <f ca="1">IFERROR(__xludf.DUMMYFUNCTION("""COMPUTED_VALUE"""),651)</f>
        <v>651</v>
      </c>
      <c r="K127" s="198">
        <f ca="1">IFERROR(__xludf.DUMMYFUNCTION("""COMPUTED_VALUE"""),0)</f>
        <v>0</v>
      </c>
      <c r="L127" s="198">
        <f ca="1">IFERROR(__xludf.DUMMYFUNCTION("""COMPUTED_VALUE"""),0)</f>
        <v>0</v>
      </c>
      <c r="M127" s="198">
        <f ca="1">IFERROR(__xludf.DUMMYFUNCTION("""COMPUTED_VALUE"""),2541)</f>
        <v>2541</v>
      </c>
      <c r="N127" s="198">
        <f ca="1">IFERROR(__xludf.DUMMYFUNCTION("""COMPUTED_VALUE"""),0)</f>
        <v>0</v>
      </c>
      <c r="O127" s="198">
        <f ca="1">IFERROR(__xludf.DUMMYFUNCTION("""COMPUTED_VALUE"""),1890)</f>
        <v>1890</v>
      </c>
      <c r="P127" s="198">
        <f t="shared" ca="1" si="1"/>
        <v>5082</v>
      </c>
    </row>
    <row r="128" spans="1:16" ht="12.75">
      <c r="A128" s="199" t="str">
        <f ca="1">IFERROR(__xludf.DUMMYFUNCTION("""COMPUTED_VALUE"""),"Colinas")</f>
        <v>Colinas</v>
      </c>
      <c r="B128" s="199" t="str">
        <f ca="1">IFERROR(__xludf.DUMMYFUNCTION("""COMPUTED_VALUE"""),"Colinas do Tocantins")</f>
        <v>Colinas do Tocantins</v>
      </c>
      <c r="C128" s="145" t="str">
        <f ca="1">IFERROR(__xludf.DUMMYFUNCTION("""COMPUTED_VALUE"""),"A.A. E. E. FRANCISCO PEREIRA FELICIO")</f>
        <v>A.A. E. E. FRANCISCO PEREIRA FELICIO</v>
      </c>
      <c r="D128" s="200" t="str">
        <f ca="1">IFERROR(__xludf.DUMMYFUNCTION("""COMPUTED_VALUE"""),"01086969000190")</f>
        <v>01086969000190</v>
      </c>
      <c r="E128" s="201" t="str">
        <f ca="1">IFERROR(__xludf.DUMMYFUNCTION("""COMPUTED_VALUE"""),"001")</f>
        <v>001</v>
      </c>
      <c r="F128" s="201" t="str">
        <f ca="1">IFERROR(__xludf.DUMMYFUNCTION("""COMPUTED_VALUE"""),"0911")</f>
        <v>0911</v>
      </c>
      <c r="G128" s="202" t="str">
        <f ca="1">IFERROR(__xludf.DUMMYFUNCTION("""COMPUTED_VALUE"""),"368814")</f>
        <v>368814</v>
      </c>
      <c r="H128" s="202">
        <f ca="1">IFERROR(__xludf.DUMMYFUNCTION("""COMPUTED_VALUE"""),0)</f>
        <v>0</v>
      </c>
      <c r="I128" s="202">
        <f ca="1">IFERROR(__xludf.DUMMYFUNCTION("""COMPUTED_VALUE"""),0)</f>
        <v>0</v>
      </c>
      <c r="J128" s="202">
        <f ca="1">IFERROR(__xludf.DUMMYFUNCTION("""COMPUTED_VALUE"""),2856)</f>
        <v>2856</v>
      </c>
      <c r="K128" s="202">
        <f ca="1">IFERROR(__xludf.DUMMYFUNCTION("""COMPUTED_VALUE"""),0)</f>
        <v>0</v>
      </c>
      <c r="L128" s="202">
        <f ca="1">IFERROR(__xludf.DUMMYFUNCTION("""COMPUTED_VALUE"""),0)</f>
        <v>0</v>
      </c>
      <c r="M128" s="202">
        <f ca="1">IFERROR(__xludf.DUMMYFUNCTION("""COMPUTED_VALUE"""),588)</f>
        <v>588</v>
      </c>
      <c r="N128" s="202">
        <f ca="1">IFERROR(__xludf.DUMMYFUNCTION("""COMPUTED_VALUE"""),9093)</f>
        <v>9093</v>
      </c>
      <c r="O128" s="202">
        <f ca="1">IFERROR(__xludf.DUMMYFUNCTION("""COMPUTED_VALUE"""),1680)</f>
        <v>1680</v>
      </c>
      <c r="P128" s="202">
        <f t="shared" ca="1" si="1"/>
        <v>14217</v>
      </c>
    </row>
    <row r="129" spans="1:16" ht="12.75">
      <c r="A129" s="194" t="str">
        <f ca="1">IFERROR(__xludf.DUMMYFUNCTION("""COMPUTED_VALUE"""),"Colinas")</f>
        <v>Colinas</v>
      </c>
      <c r="B129" s="194" t="str">
        <f ca="1">IFERROR(__xludf.DUMMYFUNCTION("""COMPUTED_VALUE"""),"Colinas do Tocantins")</f>
        <v>Colinas do Tocantins</v>
      </c>
      <c r="C129" s="195" t="str">
        <f ca="1">IFERROR(__xludf.DUMMYFUNCTION("""COMPUTED_VALUE"""),"A.A. E. E. LACERDINO OLIVEIRA CAMPOS")</f>
        <v>A.A. E. E. LACERDINO OLIVEIRA CAMPOS</v>
      </c>
      <c r="D129" s="196" t="str">
        <f ca="1">IFERROR(__xludf.DUMMYFUNCTION("""COMPUTED_VALUE"""),"01077439000185")</f>
        <v>01077439000185</v>
      </c>
      <c r="E129" s="197" t="str">
        <f ca="1">IFERROR(__xludf.DUMMYFUNCTION("""COMPUTED_VALUE"""),"001")</f>
        <v>001</v>
      </c>
      <c r="F129" s="197" t="str">
        <f ca="1">IFERROR(__xludf.DUMMYFUNCTION("""COMPUTED_VALUE"""),"0911")</f>
        <v>0911</v>
      </c>
      <c r="G129" s="198" t="str">
        <f ca="1">IFERROR(__xludf.DUMMYFUNCTION("""COMPUTED_VALUE"""),"368741")</f>
        <v>368741</v>
      </c>
      <c r="H129" s="198">
        <f ca="1">IFERROR(__xludf.DUMMYFUNCTION("""COMPUTED_VALUE"""),0)</f>
        <v>0</v>
      </c>
      <c r="I129" s="198">
        <f ca="1">IFERROR(__xludf.DUMMYFUNCTION("""COMPUTED_VALUE"""),0)</f>
        <v>0</v>
      </c>
      <c r="J129" s="198">
        <f ca="1">IFERROR(__xludf.DUMMYFUNCTION("""COMPUTED_VALUE"""),0)</f>
        <v>0</v>
      </c>
      <c r="K129" s="198">
        <f ca="1">IFERROR(__xludf.DUMMYFUNCTION("""COMPUTED_VALUE"""),0)</f>
        <v>0</v>
      </c>
      <c r="L129" s="198">
        <f ca="1">IFERROR(__xludf.DUMMYFUNCTION("""COMPUTED_VALUE"""),0)</f>
        <v>0</v>
      </c>
      <c r="M129" s="198">
        <f ca="1">IFERROR(__xludf.DUMMYFUNCTION("""COMPUTED_VALUE"""),441)</f>
        <v>441</v>
      </c>
      <c r="N129" s="198">
        <f ca="1">IFERROR(__xludf.DUMMYFUNCTION("""COMPUTED_VALUE"""),3927)</f>
        <v>3927</v>
      </c>
      <c r="O129" s="198">
        <f ca="1">IFERROR(__xludf.DUMMYFUNCTION("""COMPUTED_VALUE"""),0)</f>
        <v>0</v>
      </c>
      <c r="P129" s="198">
        <f t="shared" ca="1" si="1"/>
        <v>4368</v>
      </c>
    </row>
    <row r="130" spans="1:16" ht="12.75">
      <c r="A130" s="199" t="str">
        <f ca="1">IFERROR(__xludf.DUMMYFUNCTION("""COMPUTED_VALUE"""),"Colinas")</f>
        <v>Colinas</v>
      </c>
      <c r="B130" s="199" t="str">
        <f ca="1">IFERROR(__xludf.DUMMYFUNCTION("""COMPUTED_VALUE"""),"Colinas do Tocantins")</f>
        <v>Colinas do Tocantins</v>
      </c>
      <c r="C130" s="145" t="str">
        <f ca="1">IFERROR(__xludf.DUMMYFUNCTION("""COMPUTED_VALUE"""),"ASSOC. APOIO AO INSTITUTO EDUC. GUNNAR VINGREN")</f>
        <v>ASSOC. APOIO AO INSTITUTO EDUC. GUNNAR VINGREN</v>
      </c>
      <c r="D130" s="200" t="str">
        <f ca="1">IFERROR(__xludf.DUMMYFUNCTION("""COMPUTED_VALUE"""),"05537107000197")</f>
        <v>05537107000197</v>
      </c>
      <c r="E130" s="201" t="str">
        <f ca="1">IFERROR(__xludf.DUMMYFUNCTION("""COMPUTED_VALUE"""),"001")</f>
        <v>001</v>
      </c>
      <c r="F130" s="201" t="str">
        <f ca="1">IFERROR(__xludf.DUMMYFUNCTION("""COMPUTED_VALUE"""),"0911")</f>
        <v>0911</v>
      </c>
      <c r="G130" s="202" t="str">
        <f ca="1">IFERROR(__xludf.DUMMYFUNCTION("""COMPUTED_VALUE"""),"172286")</f>
        <v>172286</v>
      </c>
      <c r="H130" s="202">
        <f ca="1">IFERROR(__xludf.DUMMYFUNCTION("""COMPUTED_VALUE"""),0)</f>
        <v>0</v>
      </c>
      <c r="I130" s="202">
        <f ca="1">IFERROR(__xludf.DUMMYFUNCTION("""COMPUTED_VALUE"""),0)</f>
        <v>0</v>
      </c>
      <c r="J130" s="202">
        <f ca="1">IFERROR(__xludf.DUMMYFUNCTION("""COMPUTED_VALUE"""),1974)</f>
        <v>1974</v>
      </c>
      <c r="K130" s="202">
        <f ca="1">IFERROR(__xludf.DUMMYFUNCTION("""COMPUTED_VALUE"""),0)</f>
        <v>0</v>
      </c>
      <c r="L130" s="202">
        <f ca="1">IFERROR(__xludf.DUMMYFUNCTION("""COMPUTED_VALUE"""),0)</f>
        <v>0</v>
      </c>
      <c r="M130" s="202">
        <f ca="1">IFERROR(__xludf.DUMMYFUNCTION("""COMPUTED_VALUE"""),231)</f>
        <v>231</v>
      </c>
      <c r="N130" s="202">
        <f ca="1">IFERROR(__xludf.DUMMYFUNCTION("""COMPUTED_VALUE"""),441)</f>
        <v>441</v>
      </c>
      <c r="O130" s="202">
        <f ca="1">IFERROR(__xludf.DUMMYFUNCTION("""COMPUTED_VALUE"""),0)</f>
        <v>0</v>
      </c>
      <c r="P130" s="202">
        <f t="shared" ca="1" si="1"/>
        <v>2646</v>
      </c>
    </row>
    <row r="131" spans="1:16" ht="12.75">
      <c r="A131" s="194" t="str">
        <f ca="1">IFERROR(__xludf.DUMMYFUNCTION("""COMPUTED_VALUE"""),"Colinas")</f>
        <v>Colinas</v>
      </c>
      <c r="B131" s="194" t="str">
        <f ca="1">IFERROR(__xludf.DUMMYFUNCTION("""COMPUTED_VALUE"""),"Itapiratins")</f>
        <v>Itapiratins</v>
      </c>
      <c r="C131" s="195" t="str">
        <f ca="1">IFERROR(__xludf.DUMMYFUNCTION("""COMPUTED_VALUE"""),"A.A. ESCOLA ESTADUAL REZENDE DE ALMEIDA")</f>
        <v>A.A. ESCOLA ESTADUAL REZENDE DE ALMEIDA</v>
      </c>
      <c r="D131" s="196" t="str">
        <f ca="1">IFERROR(__xludf.DUMMYFUNCTION("""COMPUTED_VALUE"""),"01643863000140")</f>
        <v>01643863000140</v>
      </c>
      <c r="E131" s="197" t="str">
        <f ca="1">IFERROR(__xludf.DUMMYFUNCTION("""COMPUTED_VALUE"""),"001")</f>
        <v>001</v>
      </c>
      <c r="F131" s="197" t="str">
        <f ca="1">IFERROR(__xludf.DUMMYFUNCTION("""COMPUTED_VALUE"""),"2094")</f>
        <v>2094</v>
      </c>
      <c r="G131" s="198" t="str">
        <f ca="1">IFERROR(__xludf.DUMMYFUNCTION("""COMPUTED_VALUE"""),"27278")</f>
        <v>27278</v>
      </c>
      <c r="H131" s="198">
        <f ca="1">IFERROR(__xludf.DUMMYFUNCTION("""COMPUTED_VALUE"""),0)</f>
        <v>0</v>
      </c>
      <c r="I131" s="198">
        <f ca="1">IFERROR(__xludf.DUMMYFUNCTION("""COMPUTED_VALUE"""),0)</f>
        <v>0</v>
      </c>
      <c r="J131" s="198">
        <f ca="1">IFERROR(__xludf.DUMMYFUNCTION("""COMPUTED_VALUE"""),5733)</f>
        <v>5733</v>
      </c>
      <c r="K131" s="198">
        <f ca="1">IFERROR(__xludf.DUMMYFUNCTION("""COMPUTED_VALUE"""),0)</f>
        <v>0</v>
      </c>
      <c r="L131" s="198">
        <f ca="1">IFERROR(__xludf.DUMMYFUNCTION("""COMPUTED_VALUE"""),0)</f>
        <v>0</v>
      </c>
      <c r="M131" s="198">
        <f ca="1">IFERROR(__xludf.DUMMYFUNCTION("""COMPUTED_VALUE"""),0)</f>
        <v>0</v>
      </c>
      <c r="N131" s="198">
        <f ca="1">IFERROR(__xludf.DUMMYFUNCTION("""COMPUTED_VALUE"""),4515)</f>
        <v>4515</v>
      </c>
      <c r="O131" s="198">
        <f ca="1">IFERROR(__xludf.DUMMYFUNCTION("""COMPUTED_VALUE"""),210)</f>
        <v>210</v>
      </c>
      <c r="P131" s="198">
        <f t="shared" ca="1" si="1"/>
        <v>10458</v>
      </c>
    </row>
    <row r="132" spans="1:16" ht="12.75">
      <c r="A132" s="199" t="str">
        <f ca="1">IFERROR(__xludf.DUMMYFUNCTION("""COMPUTED_VALUE"""),"Colinas")</f>
        <v>Colinas</v>
      </c>
      <c r="B132" s="199" t="str">
        <f ca="1">IFERROR(__xludf.DUMMYFUNCTION("""COMPUTED_VALUE"""),"Juarina")</f>
        <v>Juarina</v>
      </c>
      <c r="C132" s="145" t="str">
        <f ca="1">IFERROR(__xludf.DUMMYFUNCTION("""COMPUTED_VALUE"""),"A.A. ESCOLA ESTADUAL ZICO DORNELAS")</f>
        <v>A.A. ESCOLA ESTADUAL ZICO DORNELAS</v>
      </c>
      <c r="D132" s="200" t="str">
        <f ca="1">IFERROR(__xludf.DUMMYFUNCTION("""COMPUTED_VALUE"""),"01136018000188")</f>
        <v>01136018000188</v>
      </c>
      <c r="E132" s="201" t="str">
        <f ca="1">IFERROR(__xludf.DUMMYFUNCTION("""COMPUTED_VALUE"""),"001")</f>
        <v>001</v>
      </c>
      <c r="F132" s="201" t="str">
        <f ca="1">IFERROR(__xludf.DUMMYFUNCTION("""COMPUTED_VALUE"""),"0911")</f>
        <v>0911</v>
      </c>
      <c r="G132" s="202" t="str">
        <f ca="1">IFERROR(__xludf.DUMMYFUNCTION("""COMPUTED_VALUE"""),"369349")</f>
        <v>369349</v>
      </c>
      <c r="H132" s="202">
        <f ca="1">IFERROR(__xludf.DUMMYFUNCTION("""COMPUTED_VALUE"""),0)</f>
        <v>0</v>
      </c>
      <c r="I132" s="202">
        <f ca="1">IFERROR(__xludf.DUMMYFUNCTION("""COMPUTED_VALUE"""),0)</f>
        <v>0</v>
      </c>
      <c r="J132" s="202">
        <f ca="1">IFERROR(__xludf.DUMMYFUNCTION("""COMPUTED_VALUE"""),1743)</f>
        <v>1743</v>
      </c>
      <c r="K132" s="202">
        <f ca="1">IFERROR(__xludf.DUMMYFUNCTION("""COMPUTED_VALUE"""),0)</f>
        <v>0</v>
      </c>
      <c r="L132" s="202">
        <f ca="1">IFERROR(__xludf.DUMMYFUNCTION("""COMPUTED_VALUE"""),0)</f>
        <v>0</v>
      </c>
      <c r="M132" s="202">
        <f ca="1">IFERROR(__xludf.DUMMYFUNCTION("""COMPUTED_VALUE"""),168)</f>
        <v>168</v>
      </c>
      <c r="N132" s="202">
        <f ca="1">IFERROR(__xludf.DUMMYFUNCTION("""COMPUTED_VALUE"""),2247)</f>
        <v>2247</v>
      </c>
      <c r="O132" s="202">
        <f ca="1">IFERROR(__xludf.DUMMYFUNCTION("""COMPUTED_VALUE"""),0)</f>
        <v>0</v>
      </c>
      <c r="P132" s="202">
        <f t="shared" ca="1" si="1"/>
        <v>4158</v>
      </c>
    </row>
    <row r="133" spans="1:16" ht="12.75">
      <c r="A133" s="194" t="str">
        <f ca="1">IFERROR(__xludf.DUMMYFUNCTION("""COMPUTED_VALUE"""),"Colinas")</f>
        <v>Colinas</v>
      </c>
      <c r="B133" s="194" t="str">
        <f ca="1">IFERROR(__xludf.DUMMYFUNCTION("""COMPUTED_VALUE"""),"Palmeirante")</f>
        <v>Palmeirante</v>
      </c>
      <c r="C133" s="195" t="str">
        <f ca="1">IFERROR(__xludf.DUMMYFUNCTION("""COMPUTED_VALUE"""),"ASS. COM. ESC. EST JOAO AIRES GABRIEL")</f>
        <v>ASS. COM. ESC. EST JOAO AIRES GABRIEL</v>
      </c>
      <c r="D133" s="196" t="str">
        <f ca="1">IFERROR(__xludf.DUMMYFUNCTION("""COMPUTED_VALUE"""),"01465793000187")</f>
        <v>01465793000187</v>
      </c>
      <c r="E133" s="197" t="str">
        <f ca="1">IFERROR(__xludf.DUMMYFUNCTION("""COMPUTED_VALUE"""),"001")</f>
        <v>001</v>
      </c>
      <c r="F133" s="197" t="str">
        <f ca="1">IFERROR(__xludf.DUMMYFUNCTION("""COMPUTED_VALUE"""),"0911")</f>
        <v>0911</v>
      </c>
      <c r="G133" s="198" t="str">
        <f ca="1">IFERROR(__xludf.DUMMYFUNCTION("""COMPUTED_VALUE"""),"342246")</f>
        <v>342246</v>
      </c>
      <c r="H133" s="198">
        <f ca="1">IFERROR(__xludf.DUMMYFUNCTION("""COMPUTED_VALUE"""),0)</f>
        <v>0</v>
      </c>
      <c r="I133" s="198">
        <f ca="1">IFERROR(__xludf.DUMMYFUNCTION("""COMPUTED_VALUE"""),0)</f>
        <v>0</v>
      </c>
      <c r="J133" s="198">
        <f ca="1">IFERROR(__xludf.DUMMYFUNCTION("""COMPUTED_VALUE"""),3654)</f>
        <v>3654</v>
      </c>
      <c r="K133" s="198">
        <f ca="1">IFERROR(__xludf.DUMMYFUNCTION("""COMPUTED_VALUE"""),0)</f>
        <v>0</v>
      </c>
      <c r="L133" s="198">
        <f ca="1">IFERROR(__xludf.DUMMYFUNCTION("""COMPUTED_VALUE"""),0)</f>
        <v>0</v>
      </c>
      <c r="M133" s="198">
        <f ca="1">IFERROR(__xludf.DUMMYFUNCTION("""COMPUTED_VALUE"""),315)</f>
        <v>315</v>
      </c>
      <c r="N133" s="198">
        <f ca="1">IFERROR(__xludf.DUMMYFUNCTION("""COMPUTED_VALUE"""),4473)</f>
        <v>4473</v>
      </c>
      <c r="O133" s="198">
        <f ca="1">IFERROR(__xludf.DUMMYFUNCTION("""COMPUTED_VALUE"""),0)</f>
        <v>0</v>
      </c>
      <c r="P133" s="198">
        <f t="shared" ca="1" si="1"/>
        <v>8442</v>
      </c>
    </row>
    <row r="134" spans="1:16" ht="12.75">
      <c r="A134" s="199" t="str">
        <f ca="1">IFERROR(__xludf.DUMMYFUNCTION("""COMPUTED_VALUE"""),"Colinas")</f>
        <v>Colinas</v>
      </c>
      <c r="B134" s="199" t="str">
        <f ca="1">IFERROR(__xludf.DUMMYFUNCTION("""COMPUTED_VALUE"""),"Pau D'arco")</f>
        <v>Pau D'arco</v>
      </c>
      <c r="C134" s="145" t="str">
        <f ca="1">IFERROR(__xludf.DUMMYFUNCTION("""COMPUTED_VALUE"""),"A.COM. ESCOLA EST. ULISSES GUIMARAES")</f>
        <v>A.COM. ESCOLA EST. ULISSES GUIMARAES</v>
      </c>
      <c r="D134" s="200" t="str">
        <f ca="1">IFERROR(__xludf.DUMMYFUNCTION("""COMPUTED_VALUE"""),"01181178000149")</f>
        <v>01181178000149</v>
      </c>
      <c r="E134" s="201" t="str">
        <f ca="1">IFERROR(__xludf.DUMMYFUNCTION("""COMPUTED_VALUE"""),"001")</f>
        <v>001</v>
      </c>
      <c r="F134" s="201" t="str">
        <f ca="1">IFERROR(__xludf.DUMMYFUNCTION("""COMPUTED_VALUE"""),"0911")</f>
        <v>0911</v>
      </c>
      <c r="G134" s="202" t="str">
        <f ca="1">IFERROR(__xludf.DUMMYFUNCTION("""COMPUTED_VALUE"""),"23485")</f>
        <v>23485</v>
      </c>
      <c r="H134" s="202">
        <f ca="1">IFERROR(__xludf.DUMMYFUNCTION("""COMPUTED_VALUE"""),0)</f>
        <v>0</v>
      </c>
      <c r="I134" s="202">
        <f ca="1">IFERROR(__xludf.DUMMYFUNCTION("""COMPUTED_VALUE"""),0)</f>
        <v>0</v>
      </c>
      <c r="J134" s="202">
        <f ca="1">IFERROR(__xludf.DUMMYFUNCTION("""COMPUTED_VALUE"""),6006)</f>
        <v>6006</v>
      </c>
      <c r="K134" s="202">
        <f ca="1">IFERROR(__xludf.DUMMYFUNCTION("""COMPUTED_VALUE"""),0)</f>
        <v>0</v>
      </c>
      <c r="L134" s="202">
        <f ca="1">IFERROR(__xludf.DUMMYFUNCTION("""COMPUTED_VALUE"""),0)</f>
        <v>0</v>
      </c>
      <c r="M134" s="202">
        <f ca="1">IFERROR(__xludf.DUMMYFUNCTION("""COMPUTED_VALUE"""),546)</f>
        <v>546</v>
      </c>
      <c r="N134" s="202">
        <f ca="1">IFERROR(__xludf.DUMMYFUNCTION("""COMPUTED_VALUE"""),3444)</f>
        <v>3444</v>
      </c>
      <c r="O134" s="202">
        <f ca="1">IFERROR(__xludf.DUMMYFUNCTION("""COMPUTED_VALUE"""),0)</f>
        <v>0</v>
      </c>
      <c r="P134" s="202">
        <f t="shared" ca="1" si="1"/>
        <v>9996</v>
      </c>
    </row>
    <row r="135" spans="1:16" ht="12.75">
      <c r="A135" s="194" t="str">
        <f ca="1">IFERROR(__xludf.DUMMYFUNCTION("""COMPUTED_VALUE"""),"Colinas")</f>
        <v>Colinas</v>
      </c>
      <c r="B135" s="194" t="str">
        <f ca="1">IFERROR(__xludf.DUMMYFUNCTION("""COMPUTED_VALUE"""),"Tupiratins")</f>
        <v>Tupiratins</v>
      </c>
      <c r="C135" s="195" t="str">
        <f ca="1">IFERROR(__xludf.DUMMYFUNCTION("""COMPUTED_VALUE"""),"A. DE AP. DA ESC. EST. SAO TOMAS DE AQUINO")</f>
        <v>A. DE AP. DA ESC. EST. SAO TOMAS DE AQUINO</v>
      </c>
      <c r="D135" s="196" t="str">
        <f ca="1">IFERROR(__xludf.DUMMYFUNCTION("""COMPUTED_VALUE"""),"01334791000159")</f>
        <v>01334791000159</v>
      </c>
      <c r="E135" s="197" t="str">
        <f ca="1">IFERROR(__xludf.DUMMYFUNCTION("""COMPUTED_VALUE"""),"001")</f>
        <v>001</v>
      </c>
      <c r="F135" s="197" t="str">
        <f ca="1">IFERROR(__xludf.DUMMYFUNCTION("""COMPUTED_VALUE"""),"0911")</f>
        <v>0911</v>
      </c>
      <c r="G135" s="198" t="str">
        <f ca="1">IFERROR(__xludf.DUMMYFUNCTION("""COMPUTED_VALUE"""),"370045")</f>
        <v>370045</v>
      </c>
      <c r="H135" s="198">
        <f ca="1">IFERROR(__xludf.DUMMYFUNCTION("""COMPUTED_VALUE"""),0)</f>
        <v>0</v>
      </c>
      <c r="I135" s="198">
        <f ca="1">IFERROR(__xludf.DUMMYFUNCTION("""COMPUTED_VALUE"""),0)</f>
        <v>0</v>
      </c>
      <c r="J135" s="198">
        <f ca="1">IFERROR(__xludf.DUMMYFUNCTION("""COMPUTED_VALUE"""),3108)</f>
        <v>3108</v>
      </c>
      <c r="K135" s="198">
        <f ca="1">IFERROR(__xludf.DUMMYFUNCTION("""COMPUTED_VALUE"""),0)</f>
        <v>0</v>
      </c>
      <c r="L135" s="198">
        <f ca="1">IFERROR(__xludf.DUMMYFUNCTION("""COMPUTED_VALUE"""),0)</f>
        <v>0</v>
      </c>
      <c r="M135" s="198">
        <f ca="1">IFERROR(__xludf.DUMMYFUNCTION("""COMPUTED_VALUE"""),0)</f>
        <v>0</v>
      </c>
      <c r="N135" s="198">
        <f ca="1">IFERROR(__xludf.DUMMYFUNCTION("""COMPUTED_VALUE"""),1680)</f>
        <v>1680</v>
      </c>
      <c r="O135" s="198">
        <f ca="1">IFERROR(__xludf.DUMMYFUNCTION("""COMPUTED_VALUE"""),0)</f>
        <v>0</v>
      </c>
      <c r="P135" s="198">
        <f t="shared" ca="1" si="1"/>
        <v>4788</v>
      </c>
    </row>
    <row r="136" spans="1:16" ht="12.75">
      <c r="A136" s="199" t="str">
        <f ca="1">IFERROR(__xludf.DUMMYFUNCTION("""COMPUTED_VALUE"""),"Dianópolis")</f>
        <v>Dianópolis</v>
      </c>
      <c r="B136" s="199" t="str">
        <f ca="1">IFERROR(__xludf.DUMMYFUNCTION("""COMPUTED_VALUE"""),"Almas")</f>
        <v>Almas</v>
      </c>
      <c r="C136" s="145" t="str">
        <f ca="1">IFERROR(__xludf.DUMMYFUNCTION("""COMPUTED_VALUE"""),"A.A. COL. E.II GRAU DR.ABNER A.PACINI")</f>
        <v>A.A. COL. E.II GRAU DR.ABNER A.PACINI</v>
      </c>
      <c r="D136" s="200" t="str">
        <f ca="1">IFERROR(__xludf.DUMMYFUNCTION("""COMPUTED_VALUE"""),"01197160000135")</f>
        <v>01197160000135</v>
      </c>
      <c r="E136" s="201" t="str">
        <f ca="1">IFERROR(__xludf.DUMMYFUNCTION("""COMPUTED_VALUE"""),"001")</f>
        <v>001</v>
      </c>
      <c r="F136" s="201" t="str">
        <f ca="1">IFERROR(__xludf.DUMMYFUNCTION("""COMPUTED_VALUE"""),"1307")</f>
        <v>1307</v>
      </c>
      <c r="G136" s="202" t="str">
        <f ca="1">IFERROR(__xludf.DUMMYFUNCTION("""COMPUTED_VALUE"""),"0107700")</f>
        <v>0107700</v>
      </c>
      <c r="H136" s="202">
        <f ca="1">IFERROR(__xludf.DUMMYFUNCTION("""COMPUTED_VALUE"""),0)</f>
        <v>0</v>
      </c>
      <c r="I136" s="202">
        <f ca="1">IFERROR(__xludf.DUMMYFUNCTION("""COMPUTED_VALUE"""),0)</f>
        <v>0</v>
      </c>
      <c r="J136" s="202">
        <f ca="1">IFERROR(__xludf.DUMMYFUNCTION("""COMPUTED_VALUE"""),7581)</f>
        <v>7581</v>
      </c>
      <c r="K136" s="202">
        <f ca="1">IFERROR(__xludf.DUMMYFUNCTION("""COMPUTED_VALUE"""),0)</f>
        <v>0</v>
      </c>
      <c r="L136" s="202">
        <f ca="1">IFERROR(__xludf.DUMMYFUNCTION("""COMPUTED_VALUE"""),0)</f>
        <v>0</v>
      </c>
      <c r="M136" s="202">
        <f ca="1">IFERROR(__xludf.DUMMYFUNCTION("""COMPUTED_VALUE"""),420)</f>
        <v>420</v>
      </c>
      <c r="N136" s="202">
        <f ca="1">IFERROR(__xludf.DUMMYFUNCTION("""COMPUTED_VALUE"""),3822)</f>
        <v>3822</v>
      </c>
      <c r="O136" s="202">
        <f ca="1">IFERROR(__xludf.DUMMYFUNCTION("""COMPUTED_VALUE"""),0)</f>
        <v>0</v>
      </c>
      <c r="P136" s="202">
        <f t="shared" ca="1" si="1"/>
        <v>11823</v>
      </c>
    </row>
    <row r="137" spans="1:16" ht="12.75">
      <c r="A137" s="194" t="str">
        <f ca="1">IFERROR(__xludf.DUMMYFUNCTION("""COMPUTED_VALUE"""),"Dianópolis")</f>
        <v>Dianópolis</v>
      </c>
      <c r="B137" s="194" t="str">
        <f ca="1">IFERROR(__xludf.DUMMYFUNCTION("""COMPUTED_VALUE"""),"Conceicao do Tocantins")</f>
        <v>Conceicao do Tocantins</v>
      </c>
      <c r="C137" s="195" t="str">
        <f ca="1">IFERROR(__xludf.DUMMYFUNCTION("""COMPUTED_VALUE"""),"A.A. E. CEL JOSE FRANCISCO DE AZEVEDO")</f>
        <v>A.A. E. CEL JOSE FRANCISCO DE AZEVEDO</v>
      </c>
      <c r="D137" s="196" t="str">
        <f ca="1">IFERROR(__xludf.DUMMYFUNCTION("""COMPUTED_VALUE"""),"01136040000128")</f>
        <v>01136040000128</v>
      </c>
      <c r="E137" s="197" t="str">
        <f ca="1">IFERROR(__xludf.DUMMYFUNCTION("""COMPUTED_VALUE"""),"001")</f>
        <v>001</v>
      </c>
      <c r="F137" s="197" t="str">
        <f ca="1">IFERROR(__xludf.DUMMYFUNCTION("""COMPUTED_VALUE"""),"1307")</f>
        <v>1307</v>
      </c>
      <c r="G137" s="198" t="str">
        <f ca="1">IFERROR(__xludf.DUMMYFUNCTION("""COMPUTED_VALUE"""),"106208")</f>
        <v>106208</v>
      </c>
      <c r="H137" s="198">
        <f ca="1">IFERROR(__xludf.DUMMYFUNCTION("""COMPUTED_VALUE"""),0)</f>
        <v>0</v>
      </c>
      <c r="I137" s="198">
        <f ca="1">IFERROR(__xludf.DUMMYFUNCTION("""COMPUTED_VALUE"""),0)</f>
        <v>0</v>
      </c>
      <c r="J137" s="198">
        <f ca="1">IFERROR(__xludf.DUMMYFUNCTION("""COMPUTED_VALUE"""),5334)</f>
        <v>5334</v>
      </c>
      <c r="K137" s="198">
        <f ca="1">IFERROR(__xludf.DUMMYFUNCTION("""COMPUTED_VALUE"""),0)</f>
        <v>0</v>
      </c>
      <c r="L137" s="198">
        <f ca="1">IFERROR(__xludf.DUMMYFUNCTION("""COMPUTED_VALUE"""),0)</f>
        <v>0</v>
      </c>
      <c r="M137" s="198">
        <f ca="1">IFERROR(__xludf.DUMMYFUNCTION("""COMPUTED_VALUE"""),357)</f>
        <v>357</v>
      </c>
      <c r="N137" s="198">
        <f ca="1">IFERROR(__xludf.DUMMYFUNCTION("""COMPUTED_VALUE"""),4284)</f>
        <v>4284</v>
      </c>
      <c r="O137" s="198">
        <f ca="1">IFERROR(__xludf.DUMMYFUNCTION("""COMPUTED_VALUE"""),0)</f>
        <v>0</v>
      </c>
      <c r="P137" s="198">
        <f t="shared" ca="1" si="1"/>
        <v>9975</v>
      </c>
    </row>
    <row r="138" spans="1:16" ht="12.75">
      <c r="A138" s="199" t="str">
        <f ca="1">IFERROR(__xludf.DUMMYFUNCTION("""COMPUTED_VALUE"""),"Dianópolis")</f>
        <v>Dianópolis</v>
      </c>
      <c r="B138" s="199" t="str">
        <f ca="1">IFERROR(__xludf.DUMMYFUNCTION("""COMPUTED_VALUE"""),"Dianopolis")</f>
        <v>Dianopolis</v>
      </c>
      <c r="C138" s="145" t="str">
        <f ca="1">IFERROR(__xludf.DUMMYFUNCTION("""COMPUTED_VALUE"""),"A. ESC. COMUN.DA E. EST. ANTONIO POVOA")</f>
        <v>A. ESC. COMUN.DA E. EST. ANTONIO POVOA</v>
      </c>
      <c r="D138" s="200" t="str">
        <f ca="1">IFERROR(__xludf.DUMMYFUNCTION("""COMPUTED_VALUE"""),"00895665000100")</f>
        <v>00895665000100</v>
      </c>
      <c r="E138" s="201" t="str">
        <f ca="1">IFERROR(__xludf.DUMMYFUNCTION("""COMPUTED_VALUE"""),"001")</f>
        <v>001</v>
      </c>
      <c r="F138" s="201" t="str">
        <f ca="1">IFERROR(__xludf.DUMMYFUNCTION("""COMPUTED_VALUE"""),"1307")</f>
        <v>1307</v>
      </c>
      <c r="G138" s="202" t="str">
        <f ca="1">IFERROR(__xludf.DUMMYFUNCTION("""COMPUTED_VALUE"""),"010616X")</f>
        <v>010616X</v>
      </c>
      <c r="H138" s="202">
        <f ca="1">IFERROR(__xludf.DUMMYFUNCTION("""COMPUTED_VALUE"""),0)</f>
        <v>0</v>
      </c>
      <c r="I138" s="202">
        <f ca="1">IFERROR(__xludf.DUMMYFUNCTION("""COMPUTED_VALUE"""),0)</f>
        <v>0</v>
      </c>
      <c r="J138" s="202">
        <f ca="1">IFERROR(__xludf.DUMMYFUNCTION("""COMPUTED_VALUE"""),630)</f>
        <v>630</v>
      </c>
      <c r="K138" s="202">
        <f ca="1">IFERROR(__xludf.DUMMYFUNCTION("""COMPUTED_VALUE"""),0)</f>
        <v>0</v>
      </c>
      <c r="L138" s="202">
        <f ca="1">IFERROR(__xludf.DUMMYFUNCTION("""COMPUTED_VALUE"""),0)</f>
        <v>0</v>
      </c>
      <c r="M138" s="202">
        <f ca="1">IFERROR(__xludf.DUMMYFUNCTION("""COMPUTED_VALUE"""),0)</f>
        <v>0</v>
      </c>
      <c r="N138" s="202">
        <f ca="1">IFERROR(__xludf.DUMMYFUNCTION("""COMPUTED_VALUE"""),0)</f>
        <v>0</v>
      </c>
      <c r="O138" s="202">
        <f ca="1">IFERROR(__xludf.DUMMYFUNCTION("""COMPUTED_VALUE"""),2121)</f>
        <v>2121</v>
      </c>
      <c r="P138" s="202">
        <f t="shared" ca="1" si="1"/>
        <v>2751</v>
      </c>
    </row>
    <row r="139" spans="1:16" ht="12.75">
      <c r="A139" s="194" t="str">
        <f ca="1">IFERROR(__xludf.DUMMYFUNCTION("""COMPUTED_VALUE"""),"Dianópolis")</f>
        <v>Dianópolis</v>
      </c>
      <c r="B139" s="194" t="str">
        <f ca="1">IFERROR(__xludf.DUMMYFUNCTION("""COMPUTED_VALUE"""),"Dianopolis")</f>
        <v>Dianopolis</v>
      </c>
      <c r="C139" s="195" t="str">
        <f ca="1">IFERROR(__xludf.DUMMYFUNCTION("""COMPUTED_VALUE"""),"A. DE APOIO AO COLEGIO JOAO DE ABREU")</f>
        <v>A. DE APOIO AO COLEGIO JOAO DE ABREU</v>
      </c>
      <c r="D139" s="196" t="str">
        <f ca="1">IFERROR(__xludf.DUMMYFUNCTION("""COMPUTED_VALUE"""),"05059617000104")</f>
        <v>05059617000104</v>
      </c>
      <c r="E139" s="197" t="str">
        <f ca="1">IFERROR(__xludf.DUMMYFUNCTION("""COMPUTED_VALUE"""),"001")</f>
        <v>001</v>
      </c>
      <c r="F139" s="197" t="str">
        <f ca="1">IFERROR(__xludf.DUMMYFUNCTION("""COMPUTED_VALUE"""),"1307")</f>
        <v>1307</v>
      </c>
      <c r="G139" s="198" t="str">
        <f ca="1">IFERROR(__xludf.DUMMYFUNCTION("""COMPUTED_VALUE"""),"127027")</f>
        <v>127027</v>
      </c>
      <c r="H139" s="198">
        <f ca="1">IFERROR(__xludf.DUMMYFUNCTION("""COMPUTED_VALUE"""),0)</f>
        <v>0</v>
      </c>
      <c r="I139" s="198">
        <f ca="1">IFERROR(__xludf.DUMMYFUNCTION("""COMPUTED_VALUE"""),0)</f>
        <v>0</v>
      </c>
      <c r="J139" s="198">
        <f ca="1">IFERROR(__xludf.DUMMYFUNCTION("""COMPUTED_VALUE"""),12642)</f>
        <v>12642</v>
      </c>
      <c r="K139" s="198">
        <f ca="1">IFERROR(__xludf.DUMMYFUNCTION("""COMPUTED_VALUE"""),0)</f>
        <v>0</v>
      </c>
      <c r="L139" s="198">
        <f ca="1">IFERROR(__xludf.DUMMYFUNCTION("""COMPUTED_VALUE"""),0)</f>
        <v>0</v>
      </c>
      <c r="M139" s="198">
        <f ca="1">IFERROR(__xludf.DUMMYFUNCTION("""COMPUTED_VALUE"""),315)</f>
        <v>315</v>
      </c>
      <c r="N139" s="198">
        <f ca="1">IFERROR(__xludf.DUMMYFUNCTION("""COMPUTED_VALUE"""),7497)</f>
        <v>7497</v>
      </c>
      <c r="O139" s="198">
        <f ca="1">IFERROR(__xludf.DUMMYFUNCTION("""COMPUTED_VALUE"""),0)</f>
        <v>0</v>
      </c>
      <c r="P139" s="198">
        <f t="shared" ca="1" si="1"/>
        <v>20454</v>
      </c>
    </row>
    <row r="140" spans="1:16" ht="12.75">
      <c r="A140" s="199" t="str">
        <f ca="1">IFERROR(__xludf.DUMMYFUNCTION("""COMPUTED_VALUE"""),"Dianópolis")</f>
        <v>Dianópolis</v>
      </c>
      <c r="B140" s="199" t="str">
        <f ca="1">IFERROR(__xludf.DUMMYFUNCTION("""COMPUTED_VALUE"""),"Dianopolis")</f>
        <v>Dianopolis</v>
      </c>
      <c r="C140" s="145" t="str">
        <f ca="1">IFERROR(__xludf.DUMMYFUNCTION("""COMPUTED_VALUE"""),"ASSOC. DE APOIO A ESCOLA COOPERATIVA CHAPADÃO/DIANÓPOLIS")</f>
        <v>ASSOC. DE APOIO A ESCOLA COOPERATIVA CHAPADÃO/DIANÓPOLIS</v>
      </c>
      <c r="D140" s="200" t="str">
        <f ca="1">IFERROR(__xludf.DUMMYFUNCTION("""COMPUTED_VALUE"""),"07056712000171")</f>
        <v>07056712000171</v>
      </c>
      <c r="E140" s="201" t="str">
        <f ca="1">IFERROR(__xludf.DUMMYFUNCTION("""COMPUTED_VALUE"""),"001")</f>
        <v>001</v>
      </c>
      <c r="F140" s="201" t="str">
        <f ca="1">IFERROR(__xludf.DUMMYFUNCTION("""COMPUTED_VALUE"""),"1307")</f>
        <v>1307</v>
      </c>
      <c r="G140" s="202" t="str">
        <f ca="1">IFERROR(__xludf.DUMMYFUNCTION("""COMPUTED_VALUE"""),"15704X")</f>
        <v>15704X</v>
      </c>
      <c r="H140" s="202">
        <f ca="1">IFERROR(__xludf.DUMMYFUNCTION("""COMPUTED_VALUE"""),0)</f>
        <v>0</v>
      </c>
      <c r="I140" s="202">
        <f ca="1">IFERROR(__xludf.DUMMYFUNCTION("""COMPUTED_VALUE"""),0)</f>
        <v>0</v>
      </c>
      <c r="J140" s="202">
        <f ca="1">IFERROR(__xludf.DUMMYFUNCTION("""COMPUTED_VALUE"""),2961)</f>
        <v>2961</v>
      </c>
      <c r="K140" s="202">
        <f ca="1">IFERROR(__xludf.DUMMYFUNCTION("""COMPUTED_VALUE"""),0)</f>
        <v>0</v>
      </c>
      <c r="L140" s="202">
        <f ca="1">IFERROR(__xludf.DUMMYFUNCTION("""COMPUTED_VALUE"""),0)</f>
        <v>0</v>
      </c>
      <c r="M140" s="202">
        <f ca="1">IFERROR(__xludf.DUMMYFUNCTION("""COMPUTED_VALUE"""),315)</f>
        <v>315</v>
      </c>
      <c r="N140" s="202">
        <f ca="1">IFERROR(__xludf.DUMMYFUNCTION("""COMPUTED_VALUE"""),525)</f>
        <v>525</v>
      </c>
      <c r="O140" s="202">
        <f ca="1">IFERROR(__xludf.DUMMYFUNCTION("""COMPUTED_VALUE"""),0)</f>
        <v>0</v>
      </c>
      <c r="P140" s="202">
        <f t="shared" ca="1" si="1"/>
        <v>3801</v>
      </c>
    </row>
    <row r="141" spans="1:16" ht="12.75">
      <c r="A141" s="194" t="str">
        <f ca="1">IFERROR(__xludf.DUMMYFUNCTION("""COMPUTED_VALUE"""),"Dianópolis")</f>
        <v>Dianópolis</v>
      </c>
      <c r="B141" s="194" t="str">
        <f ca="1">IFERROR(__xludf.DUMMYFUNCTION("""COMPUTED_VALUE"""),"Dianopolis")</f>
        <v>Dianopolis</v>
      </c>
      <c r="C141" s="195" t="str">
        <f ca="1">IFERROR(__xludf.DUMMYFUNCTION("""COMPUTED_VALUE"""),"ESCOLA ESPECIAL COLIBRI")</f>
        <v>ESCOLA ESPECIAL COLIBRI</v>
      </c>
      <c r="D141" s="196" t="str">
        <f ca="1">IFERROR(__xludf.DUMMYFUNCTION("""COMPUTED_VALUE"""),"15413383000105")</f>
        <v>15413383000105</v>
      </c>
      <c r="E141" s="197" t="str">
        <f ca="1">IFERROR(__xludf.DUMMYFUNCTION("""COMPUTED_VALUE"""),"001")</f>
        <v>001</v>
      </c>
      <c r="F141" s="197" t="str">
        <f ca="1">IFERROR(__xludf.DUMMYFUNCTION("""COMPUTED_VALUE"""),"1307")</f>
        <v>1307</v>
      </c>
      <c r="G141" s="198" t="str">
        <f ca="1">IFERROR(__xludf.DUMMYFUNCTION("""COMPUTED_VALUE"""),"312967")</f>
        <v>312967</v>
      </c>
      <c r="H141" s="198">
        <f ca="1">IFERROR(__xludf.DUMMYFUNCTION("""COMPUTED_VALUE"""),0)</f>
        <v>0</v>
      </c>
      <c r="I141" s="198">
        <f ca="1">IFERROR(__xludf.DUMMYFUNCTION("""COMPUTED_VALUE"""),0)</f>
        <v>0</v>
      </c>
      <c r="J141" s="198">
        <f ca="1">IFERROR(__xludf.DUMMYFUNCTION("""COMPUTED_VALUE"""),483)</f>
        <v>483</v>
      </c>
      <c r="K141" s="198">
        <f ca="1">IFERROR(__xludf.DUMMYFUNCTION("""COMPUTED_VALUE"""),0)</f>
        <v>0</v>
      </c>
      <c r="L141" s="198">
        <f ca="1">IFERROR(__xludf.DUMMYFUNCTION("""COMPUTED_VALUE"""),0)</f>
        <v>0</v>
      </c>
      <c r="M141" s="198">
        <f ca="1">IFERROR(__xludf.DUMMYFUNCTION("""COMPUTED_VALUE"""),1491)</f>
        <v>1491</v>
      </c>
      <c r="N141" s="198">
        <f ca="1">IFERROR(__xludf.DUMMYFUNCTION("""COMPUTED_VALUE"""),0)</f>
        <v>0</v>
      </c>
      <c r="O141" s="198">
        <f ca="1">IFERROR(__xludf.DUMMYFUNCTION("""COMPUTED_VALUE"""),1071)</f>
        <v>1071</v>
      </c>
      <c r="P141" s="198">
        <f t="shared" ca="1" si="1"/>
        <v>3045</v>
      </c>
    </row>
    <row r="142" spans="1:16" ht="12.75">
      <c r="A142" s="199" t="str">
        <f ca="1">IFERROR(__xludf.DUMMYFUNCTION("""COMPUTED_VALUE"""),"Dianópolis")</f>
        <v>Dianópolis</v>
      </c>
      <c r="B142" s="199" t="str">
        <f ca="1">IFERROR(__xludf.DUMMYFUNCTION("""COMPUTED_VALUE"""),"Dianopolis")</f>
        <v>Dianopolis</v>
      </c>
      <c r="C142" s="145" t="str">
        <f ca="1">IFERROR(__xludf.DUMMYFUNCTION("""COMPUTED_VALUE"""),"ASS. APOIO ESC. EST.CEL.ABILIO WOLNEY")</f>
        <v>ASS. APOIO ESC. EST.CEL.ABILIO WOLNEY</v>
      </c>
      <c r="D142" s="200" t="str">
        <f ca="1">IFERROR(__xludf.DUMMYFUNCTION("""COMPUTED_VALUE"""),"01197161000180")</f>
        <v>01197161000180</v>
      </c>
      <c r="E142" s="201" t="str">
        <f ca="1">IFERROR(__xludf.DUMMYFUNCTION("""COMPUTED_VALUE"""),"001")</f>
        <v>001</v>
      </c>
      <c r="F142" s="201" t="str">
        <f ca="1">IFERROR(__xludf.DUMMYFUNCTION("""COMPUTED_VALUE"""),"1307")</f>
        <v>1307</v>
      </c>
      <c r="G142" s="202" t="str">
        <f ca="1">IFERROR(__xludf.DUMMYFUNCTION("""COMPUTED_VALUE"""),"120464")</f>
        <v>120464</v>
      </c>
      <c r="H142" s="202">
        <f ca="1">IFERROR(__xludf.DUMMYFUNCTION("""COMPUTED_VALUE"""),0)</f>
        <v>0</v>
      </c>
      <c r="I142" s="202">
        <f ca="1">IFERROR(__xludf.DUMMYFUNCTION("""COMPUTED_VALUE"""),0)</f>
        <v>0</v>
      </c>
      <c r="J142" s="202">
        <f ca="1">IFERROR(__xludf.DUMMYFUNCTION("""COMPUTED_VALUE"""),4935)</f>
        <v>4935</v>
      </c>
      <c r="K142" s="202">
        <f ca="1">IFERROR(__xludf.DUMMYFUNCTION("""COMPUTED_VALUE"""),0)</f>
        <v>0</v>
      </c>
      <c r="L142" s="202">
        <f ca="1">IFERROR(__xludf.DUMMYFUNCTION("""COMPUTED_VALUE"""),0)</f>
        <v>0</v>
      </c>
      <c r="M142" s="202">
        <f ca="1">IFERROR(__xludf.DUMMYFUNCTION("""COMPUTED_VALUE"""),0)</f>
        <v>0</v>
      </c>
      <c r="N142" s="202">
        <f ca="1">IFERROR(__xludf.DUMMYFUNCTION("""COMPUTED_VALUE"""),5103)</f>
        <v>5103</v>
      </c>
      <c r="O142" s="202">
        <f ca="1">IFERROR(__xludf.DUMMYFUNCTION("""COMPUTED_VALUE"""),0)</f>
        <v>0</v>
      </c>
      <c r="P142" s="202">
        <f t="shared" ca="1" si="1"/>
        <v>10038</v>
      </c>
    </row>
    <row r="143" spans="1:16" ht="12.75">
      <c r="A143" s="194" t="str">
        <f ca="1">IFERROR(__xludf.DUMMYFUNCTION("""COMPUTED_VALUE"""),"Dianópolis")</f>
        <v>Dianópolis</v>
      </c>
      <c r="B143" s="194" t="str">
        <f ca="1">IFERROR(__xludf.DUMMYFUNCTION("""COMPUTED_VALUE"""),"Dianopolis")</f>
        <v>Dianopolis</v>
      </c>
      <c r="C143" s="195" t="str">
        <f ca="1">IFERROR(__xludf.DUMMYFUNCTION("""COMPUTED_VALUE"""),"A.A. ESCOLA ESTADUAL JOCA COSTA")</f>
        <v>A.A. ESCOLA ESTADUAL JOCA COSTA</v>
      </c>
      <c r="D143" s="196" t="str">
        <f ca="1">IFERROR(__xludf.DUMMYFUNCTION("""COMPUTED_VALUE"""),"01138323000109")</f>
        <v>01138323000109</v>
      </c>
      <c r="E143" s="197" t="str">
        <f ca="1">IFERROR(__xludf.DUMMYFUNCTION("""COMPUTED_VALUE"""),"001")</f>
        <v>001</v>
      </c>
      <c r="F143" s="197" t="str">
        <f ca="1">IFERROR(__xludf.DUMMYFUNCTION("""COMPUTED_VALUE"""),"1307")</f>
        <v>1307</v>
      </c>
      <c r="G143" s="198" t="str">
        <f ca="1">IFERROR(__xludf.DUMMYFUNCTION("""COMPUTED_VALUE"""),"107492")</f>
        <v>107492</v>
      </c>
      <c r="H143" s="198">
        <f ca="1">IFERROR(__xludf.DUMMYFUNCTION("""COMPUTED_VALUE"""),0)</f>
        <v>0</v>
      </c>
      <c r="I143" s="198">
        <f ca="1">IFERROR(__xludf.DUMMYFUNCTION("""COMPUTED_VALUE"""),0)</f>
        <v>0</v>
      </c>
      <c r="J143" s="198">
        <f ca="1">IFERROR(__xludf.DUMMYFUNCTION("""COMPUTED_VALUE"""),8022)</f>
        <v>8022</v>
      </c>
      <c r="K143" s="198">
        <f ca="1">IFERROR(__xludf.DUMMYFUNCTION("""COMPUTED_VALUE"""),0)</f>
        <v>0</v>
      </c>
      <c r="L143" s="198">
        <f ca="1">IFERROR(__xludf.DUMMYFUNCTION("""COMPUTED_VALUE"""),0)</f>
        <v>0</v>
      </c>
      <c r="M143" s="198">
        <f ca="1">IFERROR(__xludf.DUMMYFUNCTION("""COMPUTED_VALUE"""),441)</f>
        <v>441</v>
      </c>
      <c r="N143" s="198">
        <f ca="1">IFERROR(__xludf.DUMMYFUNCTION("""COMPUTED_VALUE"""),0)</f>
        <v>0</v>
      </c>
      <c r="O143" s="198">
        <f ca="1">IFERROR(__xludf.DUMMYFUNCTION("""COMPUTED_VALUE"""),0)</f>
        <v>0</v>
      </c>
      <c r="P143" s="198">
        <f t="shared" ca="1" si="1"/>
        <v>8463</v>
      </c>
    </row>
    <row r="144" spans="1:16" ht="12.75">
      <c r="A144" s="199" t="str">
        <f ca="1">IFERROR(__xludf.DUMMYFUNCTION("""COMPUTED_VALUE"""),"Dianópolis")</f>
        <v>Dianópolis</v>
      </c>
      <c r="B144" s="199" t="str">
        <f ca="1">IFERROR(__xludf.DUMMYFUNCTION("""COMPUTED_VALUE"""),"Novo Jardim")</f>
        <v>Novo Jardim</v>
      </c>
      <c r="C144" s="145" t="str">
        <f ca="1">IFERROR(__xludf.DUMMYFUNCTION("""COMPUTED_VALUE"""),"ASS. DE AP. DA ESCOLA ESTADUAL JARDIM")</f>
        <v>ASS. DE AP. DA ESCOLA ESTADUAL JARDIM</v>
      </c>
      <c r="D144" s="200" t="str">
        <f ca="1">IFERROR(__xludf.DUMMYFUNCTION("""COMPUTED_VALUE"""),"01408711000162")</f>
        <v>01408711000162</v>
      </c>
      <c r="E144" s="201" t="str">
        <f ca="1">IFERROR(__xludf.DUMMYFUNCTION("""COMPUTED_VALUE"""),"001")</f>
        <v>001</v>
      </c>
      <c r="F144" s="201" t="str">
        <f ca="1">IFERROR(__xludf.DUMMYFUNCTION("""COMPUTED_VALUE"""),"1307")</f>
        <v>1307</v>
      </c>
      <c r="G144" s="202" t="str">
        <f ca="1">IFERROR(__xludf.DUMMYFUNCTION("""COMPUTED_VALUE"""),"106453")</f>
        <v>106453</v>
      </c>
      <c r="H144" s="202">
        <f ca="1">IFERROR(__xludf.DUMMYFUNCTION("""COMPUTED_VALUE"""),0)</f>
        <v>0</v>
      </c>
      <c r="I144" s="202">
        <f ca="1">IFERROR(__xludf.DUMMYFUNCTION("""COMPUTED_VALUE"""),0)</f>
        <v>0</v>
      </c>
      <c r="J144" s="202">
        <f ca="1">IFERROR(__xludf.DUMMYFUNCTION("""COMPUTED_VALUE"""),4683)</f>
        <v>4683</v>
      </c>
      <c r="K144" s="202">
        <f ca="1">IFERROR(__xludf.DUMMYFUNCTION("""COMPUTED_VALUE"""),0)</f>
        <v>0</v>
      </c>
      <c r="L144" s="202">
        <f ca="1">IFERROR(__xludf.DUMMYFUNCTION("""COMPUTED_VALUE"""),0)</f>
        <v>0</v>
      </c>
      <c r="M144" s="202">
        <f ca="1">IFERROR(__xludf.DUMMYFUNCTION("""COMPUTED_VALUE"""),0)</f>
        <v>0</v>
      </c>
      <c r="N144" s="202">
        <f ca="1">IFERROR(__xludf.DUMMYFUNCTION("""COMPUTED_VALUE"""),1344)</f>
        <v>1344</v>
      </c>
      <c r="O144" s="202">
        <f ca="1">IFERROR(__xludf.DUMMYFUNCTION("""COMPUTED_VALUE"""),0)</f>
        <v>0</v>
      </c>
      <c r="P144" s="202">
        <f t="shared" ca="1" si="1"/>
        <v>6027</v>
      </c>
    </row>
    <row r="145" spans="1:16" ht="12.75">
      <c r="A145" s="194" t="str">
        <f ca="1">IFERROR(__xludf.DUMMYFUNCTION("""COMPUTED_VALUE"""),"Dianópolis")</f>
        <v>Dianópolis</v>
      </c>
      <c r="B145" s="194" t="str">
        <f ca="1">IFERROR(__xludf.DUMMYFUNCTION("""COMPUTED_VALUE"""),"Ponte Alta do Bom Jesus")</f>
        <v>Ponte Alta do Bom Jesus</v>
      </c>
      <c r="C145" s="195" t="str">
        <f ca="1">IFERROR(__xludf.DUMMYFUNCTION("""COMPUTED_VALUE"""),"A.A. ESC. E. ANTONIO CARLOS DE FRANCA")</f>
        <v>A.A. ESC. E. ANTONIO CARLOS DE FRANCA</v>
      </c>
      <c r="D145" s="196" t="str">
        <f ca="1">IFERROR(__xludf.DUMMYFUNCTION("""COMPUTED_VALUE"""),"01223633000121")</f>
        <v>01223633000121</v>
      </c>
      <c r="E145" s="197" t="str">
        <f ca="1">IFERROR(__xludf.DUMMYFUNCTION("""COMPUTED_VALUE"""),"001")</f>
        <v>001</v>
      </c>
      <c r="F145" s="197" t="str">
        <f ca="1">IFERROR(__xludf.DUMMYFUNCTION("""COMPUTED_VALUE"""),"2704")</f>
        <v>2704</v>
      </c>
      <c r="G145" s="198" t="str">
        <f ca="1">IFERROR(__xludf.DUMMYFUNCTION("""COMPUTED_VALUE"""),"102733")</f>
        <v>102733</v>
      </c>
      <c r="H145" s="198">
        <f ca="1">IFERROR(__xludf.DUMMYFUNCTION("""COMPUTED_VALUE"""),0)</f>
        <v>0</v>
      </c>
      <c r="I145" s="198">
        <f ca="1">IFERROR(__xludf.DUMMYFUNCTION("""COMPUTED_VALUE"""),0)</f>
        <v>0</v>
      </c>
      <c r="J145" s="198">
        <f ca="1">IFERROR(__xludf.DUMMYFUNCTION("""COMPUTED_VALUE"""),4347)</f>
        <v>4347</v>
      </c>
      <c r="K145" s="198">
        <f ca="1">IFERROR(__xludf.DUMMYFUNCTION("""COMPUTED_VALUE"""),0)</f>
        <v>0</v>
      </c>
      <c r="L145" s="198">
        <f ca="1">IFERROR(__xludf.DUMMYFUNCTION("""COMPUTED_VALUE"""),0)</f>
        <v>0</v>
      </c>
      <c r="M145" s="198">
        <f ca="1">IFERROR(__xludf.DUMMYFUNCTION("""COMPUTED_VALUE"""),0)</f>
        <v>0</v>
      </c>
      <c r="N145" s="198">
        <f ca="1">IFERROR(__xludf.DUMMYFUNCTION("""COMPUTED_VALUE"""),3612)</f>
        <v>3612</v>
      </c>
      <c r="O145" s="198">
        <f ca="1">IFERROR(__xludf.DUMMYFUNCTION("""COMPUTED_VALUE"""),0)</f>
        <v>0</v>
      </c>
      <c r="P145" s="198">
        <f t="shared" ca="1" si="1"/>
        <v>7959</v>
      </c>
    </row>
    <row r="146" spans="1:16" ht="12.75">
      <c r="A146" s="199" t="str">
        <f ca="1">IFERROR(__xludf.DUMMYFUNCTION("""COMPUTED_VALUE"""),"Dianópolis")</f>
        <v>Dianópolis</v>
      </c>
      <c r="B146" s="199" t="str">
        <f ca="1">IFERROR(__xludf.DUMMYFUNCTION("""COMPUTED_VALUE"""),"Ponte Alta do Bom Jesus")</f>
        <v>Ponte Alta do Bom Jesus</v>
      </c>
      <c r="C146" s="145" t="str">
        <f ca="1">IFERROR(__xludf.DUMMYFUNCTION("""COMPUTED_VALUE"""),"A.A. E. ESC. EST. BOA VISTA DE BELEM")</f>
        <v>A.A. E. ESC. EST. BOA VISTA DE BELEM</v>
      </c>
      <c r="D146" s="200" t="str">
        <f ca="1">IFERROR(__xludf.DUMMYFUNCTION("""COMPUTED_VALUE"""),"01136045000150")</f>
        <v>01136045000150</v>
      </c>
      <c r="E146" s="201" t="str">
        <f ca="1">IFERROR(__xludf.DUMMYFUNCTION("""COMPUTED_VALUE"""),"001")</f>
        <v>001</v>
      </c>
      <c r="F146" s="201" t="str">
        <f ca="1">IFERROR(__xludf.DUMMYFUNCTION("""COMPUTED_VALUE"""),"1307")</f>
        <v>1307</v>
      </c>
      <c r="G146" s="202" t="str">
        <f ca="1">IFERROR(__xludf.DUMMYFUNCTION("""COMPUTED_VALUE"""),"010762X")</f>
        <v>010762X</v>
      </c>
      <c r="H146" s="202">
        <f ca="1">IFERROR(__xludf.DUMMYFUNCTION("""COMPUTED_VALUE"""),0)</f>
        <v>0</v>
      </c>
      <c r="I146" s="202">
        <f ca="1">IFERROR(__xludf.DUMMYFUNCTION("""COMPUTED_VALUE"""),0)</f>
        <v>0</v>
      </c>
      <c r="J146" s="202">
        <f ca="1">IFERROR(__xludf.DUMMYFUNCTION("""COMPUTED_VALUE"""),1953)</f>
        <v>1953</v>
      </c>
      <c r="K146" s="202">
        <f ca="1">IFERROR(__xludf.DUMMYFUNCTION("""COMPUTED_VALUE"""),0)</f>
        <v>0</v>
      </c>
      <c r="L146" s="202">
        <f ca="1">IFERROR(__xludf.DUMMYFUNCTION("""COMPUTED_VALUE"""),0)</f>
        <v>0</v>
      </c>
      <c r="M146" s="202">
        <f ca="1">IFERROR(__xludf.DUMMYFUNCTION("""COMPUTED_VALUE"""),0)</f>
        <v>0</v>
      </c>
      <c r="N146" s="202">
        <f ca="1">IFERROR(__xludf.DUMMYFUNCTION("""COMPUTED_VALUE"""),399)</f>
        <v>399</v>
      </c>
      <c r="O146" s="202">
        <f ca="1">IFERROR(__xludf.DUMMYFUNCTION("""COMPUTED_VALUE"""),0)</f>
        <v>0</v>
      </c>
      <c r="P146" s="202">
        <f t="shared" ca="1" si="1"/>
        <v>2352</v>
      </c>
    </row>
    <row r="147" spans="1:16" ht="12.75">
      <c r="A147" s="194" t="str">
        <f ca="1">IFERROR(__xludf.DUMMYFUNCTION("""COMPUTED_VALUE"""),"Dianópolis")</f>
        <v>Dianópolis</v>
      </c>
      <c r="B147" s="194" t="str">
        <f ca="1">IFERROR(__xludf.DUMMYFUNCTION("""COMPUTED_VALUE"""),"Porto Alegre do Tocantins")</f>
        <v>Porto Alegre do Tocantins</v>
      </c>
      <c r="C147" s="195" t="str">
        <f ca="1">IFERROR(__xludf.DUMMYFUNCTION("""COMPUTED_VALUE"""),"ASSOC. APOIO ESC. EST. ALFREDO NASSER")</f>
        <v>ASSOC. APOIO ESC. EST. ALFREDO NASSER</v>
      </c>
      <c r="D147" s="196" t="str">
        <f ca="1">IFERROR(__xludf.DUMMYFUNCTION("""COMPUTED_VALUE"""),"01105525000154")</f>
        <v>01105525000154</v>
      </c>
      <c r="E147" s="197" t="str">
        <f ca="1">IFERROR(__xludf.DUMMYFUNCTION("""COMPUTED_VALUE"""),"001")</f>
        <v>001</v>
      </c>
      <c r="F147" s="197" t="str">
        <f ca="1">IFERROR(__xludf.DUMMYFUNCTION("""COMPUTED_VALUE"""),"1307")</f>
        <v>1307</v>
      </c>
      <c r="G147" s="198" t="str">
        <f ca="1">IFERROR(__xludf.DUMMYFUNCTION("""COMPUTED_VALUE"""),"0106321")</f>
        <v>0106321</v>
      </c>
      <c r="H147" s="198">
        <f ca="1">IFERROR(__xludf.DUMMYFUNCTION("""COMPUTED_VALUE"""),0)</f>
        <v>0</v>
      </c>
      <c r="I147" s="198">
        <f ca="1">IFERROR(__xludf.DUMMYFUNCTION("""COMPUTED_VALUE"""),0)</f>
        <v>0</v>
      </c>
      <c r="J147" s="198">
        <f ca="1">IFERROR(__xludf.DUMMYFUNCTION("""COMPUTED_VALUE"""),5208)</f>
        <v>5208</v>
      </c>
      <c r="K147" s="198">
        <f ca="1">IFERROR(__xludf.DUMMYFUNCTION("""COMPUTED_VALUE"""),0)</f>
        <v>0</v>
      </c>
      <c r="L147" s="198">
        <f ca="1">IFERROR(__xludf.DUMMYFUNCTION("""COMPUTED_VALUE"""),0)</f>
        <v>0</v>
      </c>
      <c r="M147" s="198">
        <f ca="1">IFERROR(__xludf.DUMMYFUNCTION("""COMPUTED_VALUE"""),504)</f>
        <v>504</v>
      </c>
      <c r="N147" s="198">
        <f ca="1">IFERROR(__xludf.DUMMYFUNCTION("""COMPUTED_VALUE"""),2583)</f>
        <v>2583</v>
      </c>
      <c r="O147" s="198">
        <f ca="1">IFERROR(__xludf.DUMMYFUNCTION("""COMPUTED_VALUE"""),0)</f>
        <v>0</v>
      </c>
      <c r="P147" s="198">
        <f t="shared" ca="1" si="1"/>
        <v>8295</v>
      </c>
    </row>
    <row r="148" spans="1:16" ht="12.75">
      <c r="A148" s="199" t="str">
        <f ca="1">IFERROR(__xludf.DUMMYFUNCTION("""COMPUTED_VALUE"""),"Dianópolis")</f>
        <v>Dianópolis</v>
      </c>
      <c r="B148" s="199" t="str">
        <f ca="1">IFERROR(__xludf.DUMMYFUNCTION("""COMPUTED_VALUE"""),"Rio da Conceicao")</f>
        <v>Rio da Conceicao</v>
      </c>
      <c r="C148" s="145" t="str">
        <f ca="1">IFERROR(__xludf.DUMMYFUNCTION("""COMPUTED_VALUE"""),"A.A. E. E.VIRGILIO FERREIRA DE FRANCA")</f>
        <v>A.A. E. E.VIRGILIO FERREIRA DE FRANCA</v>
      </c>
      <c r="D148" s="200" t="str">
        <f ca="1">IFERROR(__xludf.DUMMYFUNCTION("""COMPUTED_VALUE"""),"01136115000170")</f>
        <v>01136115000170</v>
      </c>
      <c r="E148" s="201" t="str">
        <f ca="1">IFERROR(__xludf.DUMMYFUNCTION("""COMPUTED_VALUE"""),"001")</f>
        <v>001</v>
      </c>
      <c r="F148" s="201" t="str">
        <f ca="1">IFERROR(__xludf.DUMMYFUNCTION("""COMPUTED_VALUE"""),"1307")</f>
        <v>1307</v>
      </c>
      <c r="G148" s="202" t="str">
        <f ca="1">IFERROR(__xludf.DUMMYFUNCTION("""COMPUTED_VALUE"""),"106305")</f>
        <v>106305</v>
      </c>
      <c r="H148" s="202">
        <f ca="1">IFERROR(__xludf.DUMMYFUNCTION("""COMPUTED_VALUE"""),0)</f>
        <v>0</v>
      </c>
      <c r="I148" s="202">
        <f ca="1">IFERROR(__xludf.DUMMYFUNCTION("""COMPUTED_VALUE"""),0)</f>
        <v>0</v>
      </c>
      <c r="J148" s="202">
        <f ca="1">IFERROR(__xludf.DUMMYFUNCTION("""COMPUTED_VALUE"""),2793)</f>
        <v>2793</v>
      </c>
      <c r="K148" s="202">
        <f ca="1">IFERROR(__xludf.DUMMYFUNCTION("""COMPUTED_VALUE"""),0)</f>
        <v>0</v>
      </c>
      <c r="L148" s="202">
        <f ca="1">IFERROR(__xludf.DUMMYFUNCTION("""COMPUTED_VALUE"""),0)</f>
        <v>0</v>
      </c>
      <c r="M148" s="202">
        <f ca="1">IFERROR(__xludf.DUMMYFUNCTION("""COMPUTED_VALUE"""),147)</f>
        <v>147</v>
      </c>
      <c r="N148" s="202">
        <f ca="1">IFERROR(__xludf.DUMMYFUNCTION("""COMPUTED_VALUE"""),1302)</f>
        <v>1302</v>
      </c>
      <c r="O148" s="202">
        <f ca="1">IFERROR(__xludf.DUMMYFUNCTION("""COMPUTED_VALUE"""),0)</f>
        <v>0</v>
      </c>
      <c r="P148" s="202">
        <f t="shared" ca="1" si="1"/>
        <v>4242</v>
      </c>
    </row>
    <row r="149" spans="1:16" ht="12.75">
      <c r="A149" s="194" t="str">
        <f ca="1">IFERROR(__xludf.DUMMYFUNCTION("""COMPUTED_VALUE"""),"Dianópolis")</f>
        <v>Dianópolis</v>
      </c>
      <c r="B149" s="194" t="str">
        <f ca="1">IFERROR(__xludf.DUMMYFUNCTION("""COMPUTED_VALUE"""),"Taguatinga")</f>
        <v>Taguatinga</v>
      </c>
      <c r="C149" s="195" t="str">
        <f ca="1">IFERROR(__xludf.DUMMYFUNCTION("""COMPUTED_VALUE"""),"A.A.  ESCOLA EST. JUSTINO DE ALMEIDA")</f>
        <v>A.A.  ESCOLA EST. JUSTINO DE ALMEIDA</v>
      </c>
      <c r="D149" s="196" t="str">
        <f ca="1">IFERROR(__xludf.DUMMYFUNCTION("""COMPUTED_VALUE"""),"01184379000108")</f>
        <v>01184379000108</v>
      </c>
      <c r="E149" s="197" t="str">
        <f ca="1">IFERROR(__xludf.DUMMYFUNCTION("""COMPUTED_VALUE"""),"001")</f>
        <v>001</v>
      </c>
      <c r="F149" s="197" t="str">
        <f ca="1">IFERROR(__xludf.DUMMYFUNCTION("""COMPUTED_VALUE"""),"2704")</f>
        <v>2704</v>
      </c>
      <c r="G149" s="198" t="str">
        <f ca="1">IFERROR(__xludf.DUMMYFUNCTION("""COMPUTED_VALUE"""),"102563")</f>
        <v>102563</v>
      </c>
      <c r="H149" s="198">
        <f ca="1">IFERROR(__xludf.DUMMYFUNCTION("""COMPUTED_VALUE"""),0)</f>
        <v>0</v>
      </c>
      <c r="I149" s="198">
        <f ca="1">IFERROR(__xludf.DUMMYFUNCTION("""COMPUTED_VALUE"""),0)</f>
        <v>0</v>
      </c>
      <c r="J149" s="198">
        <f ca="1">IFERROR(__xludf.DUMMYFUNCTION("""COMPUTED_VALUE"""),5208)</f>
        <v>5208</v>
      </c>
      <c r="K149" s="198">
        <f ca="1">IFERROR(__xludf.DUMMYFUNCTION("""COMPUTED_VALUE"""),0)</f>
        <v>0</v>
      </c>
      <c r="L149" s="198">
        <f ca="1">IFERROR(__xludf.DUMMYFUNCTION("""COMPUTED_VALUE"""),0)</f>
        <v>0</v>
      </c>
      <c r="M149" s="198">
        <f ca="1">IFERROR(__xludf.DUMMYFUNCTION("""COMPUTED_VALUE"""),252)</f>
        <v>252</v>
      </c>
      <c r="N149" s="198">
        <f ca="1">IFERROR(__xludf.DUMMYFUNCTION("""COMPUTED_VALUE"""),7665)</f>
        <v>7665</v>
      </c>
      <c r="O149" s="198">
        <f ca="1">IFERROR(__xludf.DUMMYFUNCTION("""COMPUTED_VALUE"""),3192)</f>
        <v>3192</v>
      </c>
      <c r="P149" s="198">
        <f t="shared" ca="1" si="1"/>
        <v>16317</v>
      </c>
    </row>
    <row r="150" spans="1:16" ht="12.75">
      <c r="A150" s="199" t="str">
        <f ca="1">IFERROR(__xludf.DUMMYFUNCTION("""COMPUTED_VALUE"""),"Dianópolis")</f>
        <v>Dianópolis</v>
      </c>
      <c r="B150" s="199" t="str">
        <f ca="1">IFERROR(__xludf.DUMMYFUNCTION("""COMPUTED_VALUE"""),"Taguatinga")</f>
        <v>Taguatinga</v>
      </c>
      <c r="C150" s="145" t="str">
        <f ca="1">IFERROR(__xludf.DUMMYFUNCTION("""COMPUTED_VALUE"""),"A.A. COL. EST. PROFESSOR AURELIANO")</f>
        <v>A.A. COL. EST. PROFESSOR AURELIANO</v>
      </c>
      <c r="D150" s="200" t="str">
        <f ca="1">IFERROR(__xludf.DUMMYFUNCTION("""COMPUTED_VALUE"""),"01133709000128")</f>
        <v>01133709000128</v>
      </c>
      <c r="E150" s="201" t="str">
        <f ca="1">IFERROR(__xludf.DUMMYFUNCTION("""COMPUTED_VALUE"""),"001")</f>
        <v>001</v>
      </c>
      <c r="F150" s="201" t="str">
        <f ca="1">IFERROR(__xludf.DUMMYFUNCTION("""COMPUTED_VALUE"""),"2704")</f>
        <v>2704</v>
      </c>
      <c r="G150" s="202" t="str">
        <f ca="1">IFERROR(__xludf.DUMMYFUNCTION("""COMPUTED_VALUE"""),"102717")</f>
        <v>102717</v>
      </c>
      <c r="H150" s="202">
        <f ca="1">IFERROR(__xludf.DUMMYFUNCTION("""COMPUTED_VALUE"""),0)</f>
        <v>0</v>
      </c>
      <c r="I150" s="202">
        <f ca="1">IFERROR(__xludf.DUMMYFUNCTION("""COMPUTED_VALUE"""),0)</f>
        <v>0</v>
      </c>
      <c r="J150" s="202">
        <f ca="1">IFERROR(__xludf.DUMMYFUNCTION("""COMPUTED_VALUE"""),0)</f>
        <v>0</v>
      </c>
      <c r="K150" s="202">
        <f ca="1">IFERROR(__xludf.DUMMYFUNCTION("""COMPUTED_VALUE"""),0)</f>
        <v>0</v>
      </c>
      <c r="L150" s="202">
        <f ca="1">IFERROR(__xludf.DUMMYFUNCTION("""COMPUTED_VALUE"""),0)</f>
        <v>0</v>
      </c>
      <c r="M150" s="202">
        <f ca="1">IFERROR(__xludf.DUMMYFUNCTION("""COMPUTED_VALUE"""),231)</f>
        <v>231</v>
      </c>
      <c r="N150" s="202">
        <f ca="1">IFERROR(__xludf.DUMMYFUNCTION("""COMPUTED_VALUE"""),0)</f>
        <v>0</v>
      </c>
      <c r="O150" s="202">
        <f ca="1">IFERROR(__xludf.DUMMYFUNCTION("""COMPUTED_VALUE"""),0)</f>
        <v>0</v>
      </c>
      <c r="P150" s="202">
        <f t="shared" ca="1" si="1"/>
        <v>231</v>
      </c>
    </row>
    <row r="151" spans="1:16" ht="12.75">
      <c r="A151" s="194" t="str">
        <f ca="1">IFERROR(__xludf.DUMMYFUNCTION("""COMPUTED_VALUE"""),"Dianópolis")</f>
        <v>Dianópolis</v>
      </c>
      <c r="B151" s="194" t="str">
        <f ca="1">IFERROR(__xludf.DUMMYFUNCTION("""COMPUTED_VALUE"""),"Taguatinga")</f>
        <v>Taguatinga</v>
      </c>
      <c r="C151" s="195" t="str">
        <f ca="1">IFERROR(__xludf.DUMMYFUNCTION("""COMPUTED_VALUE"""),"A.A. ESC. EST. AGOSTINHO DE ALMEIDA")</f>
        <v>A.A. ESC. EST. AGOSTINHO DE ALMEIDA</v>
      </c>
      <c r="D151" s="196" t="str">
        <f ca="1">IFERROR(__xludf.DUMMYFUNCTION("""COMPUTED_VALUE"""),"01197159000100")</f>
        <v>01197159000100</v>
      </c>
      <c r="E151" s="197" t="str">
        <f ca="1">IFERROR(__xludf.DUMMYFUNCTION("""COMPUTED_VALUE"""),"001")</f>
        <v>001</v>
      </c>
      <c r="F151" s="197" t="str">
        <f ca="1">IFERROR(__xludf.DUMMYFUNCTION("""COMPUTED_VALUE"""),"2704")</f>
        <v>2704</v>
      </c>
      <c r="G151" s="198" t="str">
        <f ca="1">IFERROR(__xludf.DUMMYFUNCTION("""COMPUTED_VALUE"""),"102555")</f>
        <v>102555</v>
      </c>
      <c r="H151" s="198">
        <f ca="1">IFERROR(__xludf.DUMMYFUNCTION("""COMPUTED_VALUE"""),0)</f>
        <v>0</v>
      </c>
      <c r="I151" s="198">
        <f ca="1">IFERROR(__xludf.DUMMYFUNCTION("""COMPUTED_VALUE"""),0)</f>
        <v>0</v>
      </c>
      <c r="J151" s="198">
        <f ca="1">IFERROR(__xludf.DUMMYFUNCTION("""COMPUTED_VALUE"""),6888)</f>
        <v>6888</v>
      </c>
      <c r="K151" s="198">
        <f ca="1">IFERROR(__xludf.DUMMYFUNCTION("""COMPUTED_VALUE"""),0)</f>
        <v>0</v>
      </c>
      <c r="L151" s="198">
        <f ca="1">IFERROR(__xludf.DUMMYFUNCTION("""COMPUTED_VALUE"""),0)</f>
        <v>0</v>
      </c>
      <c r="M151" s="198">
        <f ca="1">IFERROR(__xludf.DUMMYFUNCTION("""COMPUTED_VALUE"""),420)</f>
        <v>420</v>
      </c>
      <c r="N151" s="198">
        <f ca="1">IFERROR(__xludf.DUMMYFUNCTION("""COMPUTED_VALUE"""),0)</f>
        <v>0</v>
      </c>
      <c r="O151" s="198">
        <f ca="1">IFERROR(__xludf.DUMMYFUNCTION("""COMPUTED_VALUE"""),0)</f>
        <v>0</v>
      </c>
      <c r="P151" s="198">
        <f t="shared" ca="1" si="1"/>
        <v>7308</v>
      </c>
    </row>
    <row r="152" spans="1:16" ht="12.75">
      <c r="A152" s="199" t="str">
        <f ca="1">IFERROR(__xludf.DUMMYFUNCTION("""COMPUTED_VALUE"""),"Dianópolis")</f>
        <v>Dianópolis</v>
      </c>
      <c r="B152" s="199" t="str">
        <f ca="1">IFERROR(__xludf.DUMMYFUNCTION("""COMPUTED_VALUE"""),"Taipas do Tocantins")</f>
        <v>Taipas do Tocantins</v>
      </c>
      <c r="C152" s="145" t="str">
        <f ca="1">IFERROR(__xludf.DUMMYFUNCTION("""COMPUTED_VALUE"""),"A.A. E. EST. JOAQUIM FRANCISCO AZEVEDO")</f>
        <v>A.A. E. EST. JOAQUIM FRANCISCO AZEVEDO</v>
      </c>
      <c r="D152" s="200" t="str">
        <f ca="1">IFERROR(__xludf.DUMMYFUNCTION("""COMPUTED_VALUE"""),"01136011000166")</f>
        <v>01136011000166</v>
      </c>
      <c r="E152" s="201" t="str">
        <f ca="1">IFERROR(__xludf.DUMMYFUNCTION("""COMPUTED_VALUE"""),"001")</f>
        <v>001</v>
      </c>
      <c r="F152" s="201" t="str">
        <f ca="1">IFERROR(__xludf.DUMMYFUNCTION("""COMPUTED_VALUE"""),"1307")</f>
        <v>1307</v>
      </c>
      <c r="G152" s="202" t="str">
        <f ca="1">IFERROR(__xludf.DUMMYFUNCTION("""COMPUTED_VALUE"""),"0106291")</f>
        <v>0106291</v>
      </c>
      <c r="H152" s="202">
        <f ca="1">IFERROR(__xludf.DUMMYFUNCTION("""COMPUTED_VALUE"""),0)</f>
        <v>0</v>
      </c>
      <c r="I152" s="202">
        <f ca="1">IFERROR(__xludf.DUMMYFUNCTION("""COMPUTED_VALUE"""),0)</f>
        <v>0</v>
      </c>
      <c r="J152" s="202">
        <f ca="1">IFERROR(__xludf.DUMMYFUNCTION("""COMPUTED_VALUE"""),3801)</f>
        <v>3801</v>
      </c>
      <c r="K152" s="202">
        <f ca="1">IFERROR(__xludf.DUMMYFUNCTION("""COMPUTED_VALUE"""),0)</f>
        <v>0</v>
      </c>
      <c r="L152" s="202">
        <f ca="1">IFERROR(__xludf.DUMMYFUNCTION("""COMPUTED_VALUE"""),0)</f>
        <v>0</v>
      </c>
      <c r="M152" s="202">
        <f ca="1">IFERROR(__xludf.DUMMYFUNCTION("""COMPUTED_VALUE"""),294)</f>
        <v>294</v>
      </c>
      <c r="N152" s="202">
        <f ca="1">IFERROR(__xludf.DUMMYFUNCTION("""COMPUTED_VALUE"""),1470)</f>
        <v>1470</v>
      </c>
      <c r="O152" s="202">
        <f ca="1">IFERROR(__xludf.DUMMYFUNCTION("""COMPUTED_VALUE"""),399)</f>
        <v>399</v>
      </c>
      <c r="P152" s="202">
        <f t="shared" ca="1" si="1"/>
        <v>5964</v>
      </c>
    </row>
    <row r="153" spans="1:16" ht="12.75">
      <c r="A153" s="194" t="str">
        <f ca="1">IFERROR(__xludf.DUMMYFUNCTION("""COMPUTED_VALUE"""),"Guaraí")</f>
        <v>Guaraí</v>
      </c>
      <c r="B153" s="194" t="str">
        <f ca="1">IFERROR(__xludf.DUMMYFUNCTION("""COMPUTED_VALUE"""),"Colmeia")</f>
        <v>Colmeia</v>
      </c>
      <c r="C153" s="195" t="str">
        <f ca="1">IFERROR(__xludf.DUMMYFUNCTION("""COMPUTED_VALUE"""),"A.A.  COL. EST. SERRA DAS CORDILHEIRAS")</f>
        <v>A.A.  COL. EST. SERRA DAS CORDILHEIRAS</v>
      </c>
      <c r="D153" s="196" t="str">
        <f ca="1">IFERROR(__xludf.DUMMYFUNCTION("""COMPUTED_VALUE"""),"01138330000100")</f>
        <v>01138330000100</v>
      </c>
      <c r="E153" s="197" t="str">
        <f ca="1">IFERROR(__xludf.DUMMYFUNCTION("""COMPUTED_VALUE"""),"001")</f>
        <v>001</v>
      </c>
      <c r="F153" s="197" t="str">
        <f ca="1">IFERROR(__xludf.DUMMYFUNCTION("""COMPUTED_VALUE"""),"1306")</f>
        <v>1306</v>
      </c>
      <c r="G153" s="198" t="str">
        <f ca="1">IFERROR(__xludf.DUMMYFUNCTION("""COMPUTED_VALUE"""),"102776")</f>
        <v>102776</v>
      </c>
      <c r="H153" s="198">
        <f ca="1">IFERROR(__xludf.DUMMYFUNCTION("""COMPUTED_VALUE"""),0)</f>
        <v>0</v>
      </c>
      <c r="I153" s="198">
        <f ca="1">IFERROR(__xludf.DUMMYFUNCTION("""COMPUTED_VALUE"""),0)</f>
        <v>0</v>
      </c>
      <c r="J153" s="198">
        <f ca="1">IFERROR(__xludf.DUMMYFUNCTION("""COMPUTED_VALUE"""),3087)</f>
        <v>3087</v>
      </c>
      <c r="K153" s="198">
        <f ca="1">IFERROR(__xludf.DUMMYFUNCTION("""COMPUTED_VALUE"""),0)</f>
        <v>0</v>
      </c>
      <c r="L153" s="198">
        <f ca="1">IFERROR(__xludf.DUMMYFUNCTION("""COMPUTED_VALUE"""),0)</f>
        <v>0</v>
      </c>
      <c r="M153" s="198">
        <f ca="1">IFERROR(__xludf.DUMMYFUNCTION("""COMPUTED_VALUE"""),357)</f>
        <v>357</v>
      </c>
      <c r="N153" s="198">
        <f ca="1">IFERROR(__xludf.DUMMYFUNCTION("""COMPUTED_VALUE"""),6153)</f>
        <v>6153</v>
      </c>
      <c r="O153" s="198">
        <f ca="1">IFERROR(__xludf.DUMMYFUNCTION("""COMPUTED_VALUE"""),756)</f>
        <v>756</v>
      </c>
      <c r="P153" s="198">
        <f t="shared" ca="1" si="1"/>
        <v>10353</v>
      </c>
    </row>
    <row r="154" spans="1:16" ht="12.75">
      <c r="A154" s="199" t="str">
        <f ca="1">IFERROR(__xludf.DUMMYFUNCTION("""COMPUTED_VALUE"""),"Guaraí")</f>
        <v>Guaraí</v>
      </c>
      <c r="B154" s="199" t="str">
        <f ca="1">IFERROR(__xludf.DUMMYFUNCTION("""COMPUTED_VALUE"""),"Colmeia")</f>
        <v>Colmeia</v>
      </c>
      <c r="C154" s="145" t="str">
        <f ca="1">IFERROR(__xludf.DUMMYFUNCTION("""COMPUTED_VALUE"""),"A..A. ESC. ESPECIAL  FILHOS DA LUZ")</f>
        <v>A..A. ESC. ESPECIAL  FILHOS DA LUZ</v>
      </c>
      <c r="D154" s="200" t="str">
        <f ca="1">IFERROR(__xludf.DUMMYFUNCTION("""COMPUTED_VALUE"""),"07921086000134")</f>
        <v>07921086000134</v>
      </c>
      <c r="E154" s="201" t="str">
        <f ca="1">IFERROR(__xludf.DUMMYFUNCTION("""COMPUTED_VALUE"""),"001")</f>
        <v>001</v>
      </c>
      <c r="F154" s="201" t="str">
        <f ca="1">IFERROR(__xludf.DUMMYFUNCTION("""COMPUTED_VALUE"""),"1306")</f>
        <v>1306</v>
      </c>
      <c r="G154" s="202" t="str">
        <f ca="1">IFERROR(__xludf.DUMMYFUNCTION("""COMPUTED_VALUE"""),"167940")</f>
        <v>167940</v>
      </c>
      <c r="H154" s="202">
        <f ca="1">IFERROR(__xludf.DUMMYFUNCTION("""COMPUTED_VALUE"""),0)</f>
        <v>0</v>
      </c>
      <c r="I154" s="202">
        <f ca="1">IFERROR(__xludf.DUMMYFUNCTION("""COMPUTED_VALUE"""),189)</f>
        <v>189</v>
      </c>
      <c r="J154" s="202">
        <f ca="1">IFERROR(__xludf.DUMMYFUNCTION("""COMPUTED_VALUE"""),0)</f>
        <v>0</v>
      </c>
      <c r="K154" s="202">
        <f ca="1">IFERROR(__xludf.DUMMYFUNCTION("""COMPUTED_VALUE"""),0)</f>
        <v>0</v>
      </c>
      <c r="L154" s="202">
        <f ca="1">IFERROR(__xludf.DUMMYFUNCTION("""COMPUTED_VALUE"""),0)</f>
        <v>0</v>
      </c>
      <c r="M154" s="202">
        <f ca="1">IFERROR(__xludf.DUMMYFUNCTION("""COMPUTED_VALUE"""),336)</f>
        <v>336</v>
      </c>
      <c r="N154" s="202">
        <f ca="1">IFERROR(__xludf.DUMMYFUNCTION("""COMPUTED_VALUE"""),0)</f>
        <v>0</v>
      </c>
      <c r="O154" s="202">
        <f ca="1">IFERROR(__xludf.DUMMYFUNCTION("""COMPUTED_VALUE"""),2016)</f>
        <v>2016</v>
      </c>
      <c r="P154" s="202">
        <f t="shared" ca="1" si="1"/>
        <v>2541</v>
      </c>
    </row>
    <row r="155" spans="1:16" ht="12.75">
      <c r="A155" s="194" t="str">
        <f ca="1">IFERROR(__xludf.DUMMYFUNCTION("""COMPUTED_VALUE"""),"Guaraí")</f>
        <v>Guaraí</v>
      </c>
      <c r="B155" s="194" t="str">
        <f ca="1">IFERROR(__xludf.DUMMYFUNCTION("""COMPUTED_VALUE"""),"Colmeia")</f>
        <v>Colmeia</v>
      </c>
      <c r="C155" s="195" t="str">
        <f ca="1">IFERROR(__xludf.DUMMYFUNCTION("""COMPUTED_VALUE"""),"A.A. ESC. EST. ARY RIBEIRO VALADAO FILHO")</f>
        <v>A.A. ESC. EST. ARY RIBEIRO VALADAO FILHO</v>
      </c>
      <c r="D155" s="196" t="str">
        <f ca="1">IFERROR(__xludf.DUMMYFUNCTION("""COMPUTED_VALUE"""),"01138331000155")</f>
        <v>01138331000155</v>
      </c>
      <c r="E155" s="197" t="str">
        <f ca="1">IFERROR(__xludf.DUMMYFUNCTION("""COMPUTED_VALUE"""),"001")</f>
        <v>001</v>
      </c>
      <c r="F155" s="197" t="str">
        <f ca="1">IFERROR(__xludf.DUMMYFUNCTION("""COMPUTED_VALUE"""),"1306")</f>
        <v>1306</v>
      </c>
      <c r="G155" s="198" t="str">
        <f ca="1">IFERROR(__xludf.DUMMYFUNCTION("""COMPUTED_VALUE"""),"102806")</f>
        <v>102806</v>
      </c>
      <c r="H155" s="198">
        <f ca="1">IFERROR(__xludf.DUMMYFUNCTION("""COMPUTED_VALUE"""),0)</f>
        <v>0</v>
      </c>
      <c r="I155" s="198">
        <f ca="1">IFERROR(__xludf.DUMMYFUNCTION("""COMPUTED_VALUE"""),0)</f>
        <v>0</v>
      </c>
      <c r="J155" s="198">
        <f ca="1">IFERROR(__xludf.DUMMYFUNCTION("""COMPUTED_VALUE"""),4410)</f>
        <v>4410</v>
      </c>
      <c r="K155" s="198">
        <f ca="1">IFERROR(__xludf.DUMMYFUNCTION("""COMPUTED_VALUE"""),0)</f>
        <v>0</v>
      </c>
      <c r="L155" s="198">
        <f ca="1">IFERROR(__xludf.DUMMYFUNCTION("""COMPUTED_VALUE"""),0)</f>
        <v>0</v>
      </c>
      <c r="M155" s="198">
        <f ca="1">IFERROR(__xludf.DUMMYFUNCTION("""COMPUTED_VALUE"""),189)</f>
        <v>189</v>
      </c>
      <c r="N155" s="198">
        <f ca="1">IFERROR(__xludf.DUMMYFUNCTION("""COMPUTED_VALUE"""),714)</f>
        <v>714</v>
      </c>
      <c r="O155" s="198">
        <f ca="1">IFERROR(__xludf.DUMMYFUNCTION("""COMPUTED_VALUE"""),0)</f>
        <v>0</v>
      </c>
      <c r="P155" s="198">
        <f t="shared" ca="1" si="1"/>
        <v>5313</v>
      </c>
    </row>
    <row r="156" spans="1:16" ht="12.75">
      <c r="A156" s="199" t="str">
        <f ca="1">IFERROR(__xludf.DUMMYFUNCTION("""COMPUTED_VALUE"""),"Guaraí")</f>
        <v>Guaraí</v>
      </c>
      <c r="B156" s="199" t="str">
        <f ca="1">IFERROR(__xludf.DUMMYFUNCTION("""COMPUTED_VALUE"""),"Colmeia")</f>
        <v>Colmeia</v>
      </c>
      <c r="C156" s="145" t="str">
        <f ca="1">IFERROR(__xludf.DUMMYFUNCTION("""COMPUTED_VALUE"""),"A.A. ESC. EST. JUSCELINO K. DE OLIVEIRA")</f>
        <v>A.A. ESC. EST. JUSCELINO K. DE OLIVEIRA</v>
      </c>
      <c r="D156" s="200" t="str">
        <f ca="1">IFERROR(__xludf.DUMMYFUNCTION("""COMPUTED_VALUE"""),"01138328000131")</f>
        <v>01138328000131</v>
      </c>
      <c r="E156" s="201" t="str">
        <f ca="1">IFERROR(__xludf.DUMMYFUNCTION("""COMPUTED_VALUE"""),"001")</f>
        <v>001</v>
      </c>
      <c r="F156" s="201" t="str">
        <f ca="1">IFERROR(__xludf.DUMMYFUNCTION("""COMPUTED_VALUE"""),"1306")</f>
        <v>1306</v>
      </c>
      <c r="G156" s="202" t="str">
        <f ca="1">IFERROR(__xludf.DUMMYFUNCTION("""COMPUTED_VALUE"""),"102768")</f>
        <v>102768</v>
      </c>
      <c r="H156" s="202">
        <f ca="1">IFERROR(__xludf.DUMMYFUNCTION("""COMPUTED_VALUE"""),0)</f>
        <v>0</v>
      </c>
      <c r="I156" s="202">
        <f ca="1">IFERROR(__xludf.DUMMYFUNCTION("""COMPUTED_VALUE"""),0)</f>
        <v>0</v>
      </c>
      <c r="J156" s="202">
        <f ca="1">IFERROR(__xludf.DUMMYFUNCTION("""COMPUTED_VALUE"""),525)</f>
        <v>525</v>
      </c>
      <c r="K156" s="202">
        <f ca="1">IFERROR(__xludf.DUMMYFUNCTION("""COMPUTED_VALUE"""),0)</f>
        <v>0</v>
      </c>
      <c r="L156" s="202">
        <f ca="1">IFERROR(__xludf.DUMMYFUNCTION("""COMPUTED_VALUE"""),0)</f>
        <v>0</v>
      </c>
      <c r="M156" s="202">
        <f ca="1">IFERROR(__xludf.DUMMYFUNCTION("""COMPUTED_VALUE"""),0)</f>
        <v>0</v>
      </c>
      <c r="N156" s="202">
        <f ca="1">IFERROR(__xludf.DUMMYFUNCTION("""COMPUTED_VALUE"""),399)</f>
        <v>399</v>
      </c>
      <c r="O156" s="202">
        <f ca="1">IFERROR(__xludf.DUMMYFUNCTION("""COMPUTED_VALUE"""),0)</f>
        <v>0</v>
      </c>
      <c r="P156" s="202">
        <f t="shared" ca="1" si="1"/>
        <v>924</v>
      </c>
    </row>
    <row r="157" spans="1:16" ht="12.75">
      <c r="A157" s="194" t="str">
        <f ca="1">IFERROR(__xludf.DUMMYFUNCTION("""COMPUTED_VALUE"""),"Guaraí")</f>
        <v>Guaraí</v>
      </c>
      <c r="B157" s="194" t="str">
        <f ca="1">IFERROR(__xludf.DUMMYFUNCTION("""COMPUTED_VALUE"""),"Couto Magalhaes")</f>
        <v>Couto Magalhaes</v>
      </c>
      <c r="C157" s="195" t="str">
        <f ca="1">IFERROR(__xludf.DUMMYFUNCTION("""COMPUTED_VALUE"""),"A.A. COL. EST. ARCHANGELA MILHOMEM")</f>
        <v>A.A. COL. EST. ARCHANGELA MILHOMEM</v>
      </c>
      <c r="D157" s="196" t="str">
        <f ca="1">IFERROR(__xludf.DUMMYFUNCTION("""COMPUTED_VALUE"""),"01138334000199")</f>
        <v>01138334000199</v>
      </c>
      <c r="E157" s="197" t="str">
        <f ca="1">IFERROR(__xludf.DUMMYFUNCTION("""COMPUTED_VALUE"""),"001")</f>
        <v>001</v>
      </c>
      <c r="F157" s="197" t="str">
        <f ca="1">IFERROR(__xludf.DUMMYFUNCTION("""COMPUTED_VALUE"""),"2094")</f>
        <v>2094</v>
      </c>
      <c r="G157" s="198" t="str">
        <f ca="1">IFERROR(__xludf.DUMMYFUNCTION("""COMPUTED_VALUE"""),"50385")</f>
        <v>50385</v>
      </c>
      <c r="H157" s="198">
        <f ca="1">IFERROR(__xludf.DUMMYFUNCTION("""COMPUTED_VALUE"""),0)</f>
        <v>0</v>
      </c>
      <c r="I157" s="198">
        <f ca="1">IFERROR(__xludf.DUMMYFUNCTION("""COMPUTED_VALUE"""),0)</f>
        <v>0</v>
      </c>
      <c r="J157" s="198">
        <f ca="1">IFERROR(__xludf.DUMMYFUNCTION("""COMPUTED_VALUE"""),0)</f>
        <v>0</v>
      </c>
      <c r="K157" s="198">
        <f ca="1">IFERROR(__xludf.DUMMYFUNCTION("""COMPUTED_VALUE"""),0)</f>
        <v>0</v>
      </c>
      <c r="L157" s="198">
        <f ca="1">IFERROR(__xludf.DUMMYFUNCTION("""COMPUTED_VALUE"""),0)</f>
        <v>0</v>
      </c>
      <c r="M157" s="198">
        <f ca="1">IFERROR(__xludf.DUMMYFUNCTION("""COMPUTED_VALUE"""),0)</f>
        <v>0</v>
      </c>
      <c r="N157" s="198">
        <f ca="1">IFERROR(__xludf.DUMMYFUNCTION("""COMPUTED_VALUE"""),1302)</f>
        <v>1302</v>
      </c>
      <c r="O157" s="198">
        <f ca="1">IFERROR(__xludf.DUMMYFUNCTION("""COMPUTED_VALUE"""),0)</f>
        <v>0</v>
      </c>
      <c r="P157" s="198">
        <f t="shared" ca="1" si="1"/>
        <v>1302</v>
      </c>
    </row>
    <row r="158" spans="1:16" ht="12.75">
      <c r="A158" s="199" t="str">
        <f ca="1">IFERROR(__xludf.DUMMYFUNCTION("""COMPUTED_VALUE"""),"Guaraí")</f>
        <v>Guaraí</v>
      </c>
      <c r="B158" s="199" t="str">
        <f ca="1">IFERROR(__xludf.DUMMYFUNCTION("""COMPUTED_VALUE"""),"Couto Magalhaes")</f>
        <v>Couto Magalhaes</v>
      </c>
      <c r="C158" s="145" t="str">
        <f ca="1">IFERROR(__xludf.DUMMYFUNCTION("""COMPUTED_VALUE"""),"A.A. ESC. ESPECIAL  DEUS É FIEL")</f>
        <v>A.A. ESC. ESPECIAL  DEUS É FIEL</v>
      </c>
      <c r="D158" s="200" t="str">
        <f ca="1">IFERROR(__xludf.DUMMYFUNCTION("""COMPUTED_VALUE"""),"17467216000164")</f>
        <v>17467216000164</v>
      </c>
      <c r="E158" s="201" t="str">
        <f ca="1">IFERROR(__xludf.DUMMYFUNCTION("""COMPUTED_VALUE"""),"001")</f>
        <v>001</v>
      </c>
      <c r="F158" s="201" t="str">
        <f ca="1">IFERROR(__xludf.DUMMYFUNCTION("""COMPUTED_VALUE"""),"1306")</f>
        <v>1306</v>
      </c>
      <c r="G158" s="202" t="str">
        <f ca="1">IFERROR(__xludf.DUMMYFUNCTION("""COMPUTED_VALUE"""),"265969")</f>
        <v>265969</v>
      </c>
      <c r="H158" s="202">
        <f ca="1">IFERROR(__xludf.DUMMYFUNCTION("""COMPUTED_VALUE"""),0)</f>
        <v>0</v>
      </c>
      <c r="I158" s="202">
        <f ca="1">IFERROR(__xludf.DUMMYFUNCTION("""COMPUTED_VALUE"""),0)</f>
        <v>0</v>
      </c>
      <c r="J158" s="202">
        <f ca="1">IFERROR(__xludf.DUMMYFUNCTION("""COMPUTED_VALUE"""),294)</f>
        <v>294</v>
      </c>
      <c r="K158" s="202">
        <f ca="1">IFERROR(__xludf.DUMMYFUNCTION("""COMPUTED_VALUE"""),0)</f>
        <v>0</v>
      </c>
      <c r="L158" s="202">
        <f ca="1">IFERROR(__xludf.DUMMYFUNCTION("""COMPUTED_VALUE"""),0)</f>
        <v>0</v>
      </c>
      <c r="M158" s="202">
        <f ca="1">IFERROR(__xludf.DUMMYFUNCTION("""COMPUTED_VALUE"""),672)</f>
        <v>672</v>
      </c>
      <c r="N158" s="202">
        <f ca="1">IFERROR(__xludf.DUMMYFUNCTION("""COMPUTED_VALUE"""),0)</f>
        <v>0</v>
      </c>
      <c r="O158" s="202">
        <f ca="1">IFERROR(__xludf.DUMMYFUNCTION("""COMPUTED_VALUE"""),1050)</f>
        <v>1050</v>
      </c>
      <c r="P158" s="202">
        <f t="shared" ca="1" si="1"/>
        <v>2016</v>
      </c>
    </row>
    <row r="159" spans="1:16" ht="12.75">
      <c r="A159" s="194" t="str">
        <f ca="1">IFERROR(__xludf.DUMMYFUNCTION("""COMPUTED_VALUE"""),"Guaraí")</f>
        <v>Guaraí</v>
      </c>
      <c r="B159" s="194" t="str">
        <f ca="1">IFERROR(__xludf.DUMMYFUNCTION("""COMPUTED_VALUE"""),"Couto Magalhaes")</f>
        <v>Couto Magalhaes</v>
      </c>
      <c r="C159" s="195" t="str">
        <f ca="1">IFERROR(__xludf.DUMMYFUNCTION("""COMPUTED_VALUE"""),"A.A. ESC. EST. ARLINDA ROSA DE SOUZA")</f>
        <v>A.A. ESC. EST. ARLINDA ROSA DE SOUZA</v>
      </c>
      <c r="D159" s="196" t="str">
        <f ca="1">IFERROR(__xludf.DUMMYFUNCTION("""COMPUTED_VALUE"""),"01221143000196")</f>
        <v>01221143000196</v>
      </c>
      <c r="E159" s="197" t="str">
        <f ca="1">IFERROR(__xludf.DUMMYFUNCTION("""COMPUTED_VALUE"""),"001")</f>
        <v>001</v>
      </c>
      <c r="F159" s="197" t="str">
        <f ca="1">IFERROR(__xludf.DUMMYFUNCTION("""COMPUTED_VALUE"""),"2094")</f>
        <v>2094</v>
      </c>
      <c r="G159" s="198" t="str">
        <f ca="1">IFERROR(__xludf.DUMMYFUNCTION("""COMPUTED_VALUE"""),"50350")</f>
        <v>50350</v>
      </c>
      <c r="H159" s="198">
        <f ca="1">IFERROR(__xludf.DUMMYFUNCTION("""COMPUTED_VALUE"""),0)</f>
        <v>0</v>
      </c>
      <c r="I159" s="198">
        <f ca="1">IFERROR(__xludf.DUMMYFUNCTION("""COMPUTED_VALUE"""),0)</f>
        <v>0</v>
      </c>
      <c r="J159" s="198">
        <f ca="1">IFERROR(__xludf.DUMMYFUNCTION("""COMPUTED_VALUE"""),2625)</f>
        <v>2625</v>
      </c>
      <c r="K159" s="198">
        <f ca="1">IFERROR(__xludf.DUMMYFUNCTION("""COMPUTED_VALUE"""),0)</f>
        <v>0</v>
      </c>
      <c r="L159" s="198">
        <f ca="1">IFERROR(__xludf.DUMMYFUNCTION("""COMPUTED_VALUE"""),0)</f>
        <v>0</v>
      </c>
      <c r="M159" s="198">
        <f ca="1">IFERROR(__xludf.DUMMYFUNCTION("""COMPUTED_VALUE"""),0)</f>
        <v>0</v>
      </c>
      <c r="N159" s="198">
        <f ca="1">IFERROR(__xludf.DUMMYFUNCTION("""COMPUTED_VALUE"""),0)</f>
        <v>0</v>
      </c>
      <c r="O159" s="198">
        <f ca="1">IFERROR(__xludf.DUMMYFUNCTION("""COMPUTED_VALUE"""),0)</f>
        <v>0</v>
      </c>
      <c r="P159" s="198">
        <f t="shared" ca="1" si="1"/>
        <v>2625</v>
      </c>
    </row>
    <row r="160" spans="1:16" ht="12.75">
      <c r="A160" s="199" t="str">
        <f ca="1">IFERROR(__xludf.DUMMYFUNCTION("""COMPUTED_VALUE"""),"Guaraí")</f>
        <v>Guaraí</v>
      </c>
      <c r="B160" s="199" t="str">
        <f ca="1">IFERROR(__xludf.DUMMYFUNCTION("""COMPUTED_VALUE"""),"Couto Magalhaes")</f>
        <v>Couto Magalhaes</v>
      </c>
      <c r="C160" s="145" t="str">
        <f ca="1">IFERROR(__xludf.DUMMYFUNCTION("""COMPUTED_VALUE"""),"A.A. ESCOLAR DA E. EST.ULTIMO DE CARVALHO")</f>
        <v>A.A. ESCOLAR DA E. EST.ULTIMO DE CARVALHO</v>
      </c>
      <c r="D160" s="200" t="str">
        <f ca="1">IFERROR(__xludf.DUMMYFUNCTION("""COMPUTED_VALUE"""),"04315063000198")</f>
        <v>04315063000198</v>
      </c>
      <c r="E160" s="201" t="str">
        <f ca="1">IFERROR(__xludf.DUMMYFUNCTION("""COMPUTED_VALUE"""),"001")</f>
        <v>001</v>
      </c>
      <c r="F160" s="201" t="str">
        <f ca="1">IFERROR(__xludf.DUMMYFUNCTION("""COMPUTED_VALUE"""),"1306")</f>
        <v>1306</v>
      </c>
      <c r="G160" s="202" t="str">
        <f ca="1">IFERROR(__xludf.DUMMYFUNCTION("""COMPUTED_VALUE"""),"74802")</f>
        <v>74802</v>
      </c>
      <c r="H160" s="202">
        <f ca="1">IFERROR(__xludf.DUMMYFUNCTION("""COMPUTED_VALUE"""),0)</f>
        <v>0</v>
      </c>
      <c r="I160" s="202">
        <f ca="1">IFERROR(__xludf.DUMMYFUNCTION("""COMPUTED_VALUE"""),0)</f>
        <v>0</v>
      </c>
      <c r="J160" s="202">
        <f ca="1">IFERROR(__xludf.DUMMYFUNCTION("""COMPUTED_VALUE"""),1449)</f>
        <v>1449</v>
      </c>
      <c r="K160" s="202">
        <f ca="1">IFERROR(__xludf.DUMMYFUNCTION("""COMPUTED_VALUE"""),0)</f>
        <v>0</v>
      </c>
      <c r="L160" s="202">
        <f ca="1">IFERROR(__xludf.DUMMYFUNCTION("""COMPUTED_VALUE"""),0)</f>
        <v>0</v>
      </c>
      <c r="M160" s="202">
        <f ca="1">IFERROR(__xludf.DUMMYFUNCTION("""COMPUTED_VALUE"""),0)</f>
        <v>0</v>
      </c>
      <c r="N160" s="202">
        <f ca="1">IFERROR(__xludf.DUMMYFUNCTION("""COMPUTED_VALUE"""),294)</f>
        <v>294</v>
      </c>
      <c r="O160" s="202">
        <f ca="1">IFERROR(__xludf.DUMMYFUNCTION("""COMPUTED_VALUE"""),462)</f>
        <v>462</v>
      </c>
      <c r="P160" s="202">
        <f t="shared" ca="1" si="1"/>
        <v>2205</v>
      </c>
    </row>
    <row r="161" spans="1:16" ht="12.75">
      <c r="A161" s="194" t="str">
        <f ca="1">IFERROR(__xludf.DUMMYFUNCTION("""COMPUTED_VALUE"""),"Guaraí")</f>
        <v>Guaraí</v>
      </c>
      <c r="B161" s="194" t="str">
        <f ca="1">IFERROR(__xludf.DUMMYFUNCTION("""COMPUTED_VALUE"""),"Fortaleza do Tabocao")</f>
        <v>Fortaleza do Tabocao</v>
      </c>
      <c r="C161" s="195" t="str">
        <f ca="1">IFERROR(__xludf.DUMMYFUNCTION("""COMPUTED_VALUE"""),"ASSOC. DE APOIO A ESCOLA ESPECIAL EDSON DUTRA")</f>
        <v>ASSOC. DE APOIO A ESCOLA ESPECIAL EDSON DUTRA</v>
      </c>
      <c r="D161" s="196" t="str">
        <f ca="1">IFERROR(__xludf.DUMMYFUNCTION("""COMPUTED_VALUE"""),"09405159000160")</f>
        <v>09405159000160</v>
      </c>
      <c r="E161" s="197" t="str">
        <f ca="1">IFERROR(__xludf.DUMMYFUNCTION("""COMPUTED_VALUE"""),"104")</f>
        <v>104</v>
      </c>
      <c r="F161" s="197" t="str">
        <f ca="1">IFERROR(__xludf.DUMMYFUNCTION("""COMPUTED_VALUE"""),"4481")</f>
        <v>4481</v>
      </c>
      <c r="G161" s="198" t="str">
        <f ca="1">IFERROR(__xludf.DUMMYFUNCTION("""COMPUTED_VALUE"""),"3982")</f>
        <v>3982</v>
      </c>
      <c r="H161" s="198">
        <f ca="1">IFERROR(__xludf.DUMMYFUNCTION("""COMPUTED_VALUE"""),0)</f>
        <v>0</v>
      </c>
      <c r="I161" s="198">
        <f ca="1">IFERROR(__xludf.DUMMYFUNCTION("""COMPUTED_VALUE"""),63)</f>
        <v>63</v>
      </c>
      <c r="J161" s="198">
        <f ca="1">IFERROR(__xludf.DUMMYFUNCTION("""COMPUTED_VALUE"""),42)</f>
        <v>42</v>
      </c>
      <c r="K161" s="198">
        <f ca="1">IFERROR(__xludf.DUMMYFUNCTION("""COMPUTED_VALUE"""),0)</f>
        <v>0</v>
      </c>
      <c r="L161" s="198">
        <f ca="1">IFERROR(__xludf.DUMMYFUNCTION("""COMPUTED_VALUE"""),0)</f>
        <v>0</v>
      </c>
      <c r="M161" s="198">
        <f ca="1">IFERROR(__xludf.DUMMYFUNCTION("""COMPUTED_VALUE"""),399)</f>
        <v>399</v>
      </c>
      <c r="N161" s="198">
        <f ca="1">IFERROR(__xludf.DUMMYFUNCTION("""COMPUTED_VALUE"""),0)</f>
        <v>0</v>
      </c>
      <c r="O161" s="198">
        <f ca="1">IFERROR(__xludf.DUMMYFUNCTION("""COMPUTED_VALUE"""),294)</f>
        <v>294</v>
      </c>
      <c r="P161" s="198">
        <f t="shared" ca="1" si="1"/>
        <v>798</v>
      </c>
    </row>
    <row r="162" spans="1:16" ht="12.75">
      <c r="A162" s="199" t="str">
        <f ca="1">IFERROR(__xludf.DUMMYFUNCTION("""COMPUTED_VALUE"""),"Guaraí")</f>
        <v>Guaraí</v>
      </c>
      <c r="B162" s="199" t="str">
        <f ca="1">IFERROR(__xludf.DUMMYFUNCTION("""COMPUTED_VALUE"""),"Fortaleza do Tabocao")</f>
        <v>Fortaleza do Tabocao</v>
      </c>
      <c r="C162" s="145" t="str">
        <f ca="1">IFERROR(__xludf.DUMMYFUNCTION("""COMPUTED_VALUE"""),"A.A. DA ESC. EST. MAJOR JUVENAL P.DE SOUZA")</f>
        <v>A.A. DA ESC. EST. MAJOR JUVENAL P.DE SOUZA</v>
      </c>
      <c r="D162" s="200" t="str">
        <f ca="1">IFERROR(__xludf.DUMMYFUNCTION("""COMPUTED_VALUE"""),"01408714000104")</f>
        <v>01408714000104</v>
      </c>
      <c r="E162" s="201" t="str">
        <f ca="1">IFERROR(__xludf.DUMMYFUNCTION("""COMPUTED_VALUE"""),"001")</f>
        <v>001</v>
      </c>
      <c r="F162" s="201" t="str">
        <f ca="1">IFERROR(__xludf.DUMMYFUNCTION("""COMPUTED_VALUE"""),"2094")</f>
        <v>2094</v>
      </c>
      <c r="G162" s="202" t="str">
        <f ca="1">IFERROR(__xludf.DUMMYFUNCTION("""COMPUTED_VALUE"""),"46743X")</f>
        <v>46743X</v>
      </c>
      <c r="H162" s="202">
        <f ca="1">IFERROR(__xludf.DUMMYFUNCTION("""COMPUTED_VALUE"""),0)</f>
        <v>0</v>
      </c>
      <c r="I162" s="202">
        <f ca="1">IFERROR(__xludf.DUMMYFUNCTION("""COMPUTED_VALUE"""),0)</f>
        <v>0</v>
      </c>
      <c r="J162" s="202">
        <f ca="1">IFERROR(__xludf.DUMMYFUNCTION("""COMPUTED_VALUE"""),0)</f>
        <v>0</v>
      </c>
      <c r="K162" s="202">
        <f ca="1">IFERROR(__xludf.DUMMYFUNCTION("""COMPUTED_VALUE"""),0)</f>
        <v>0</v>
      </c>
      <c r="L162" s="202">
        <f ca="1">IFERROR(__xludf.DUMMYFUNCTION("""COMPUTED_VALUE"""),0)</f>
        <v>0</v>
      </c>
      <c r="M162" s="202">
        <f ca="1">IFERROR(__xludf.DUMMYFUNCTION("""COMPUTED_VALUE"""),336)</f>
        <v>336</v>
      </c>
      <c r="N162" s="202">
        <f ca="1">IFERROR(__xludf.DUMMYFUNCTION("""COMPUTED_VALUE"""),0)</f>
        <v>0</v>
      </c>
      <c r="O162" s="202">
        <f ca="1">IFERROR(__xludf.DUMMYFUNCTION("""COMPUTED_VALUE"""),0)</f>
        <v>0</v>
      </c>
      <c r="P162" s="202">
        <f t="shared" ca="1" si="1"/>
        <v>336</v>
      </c>
    </row>
    <row r="163" spans="1:16" ht="12.75">
      <c r="A163" s="194" t="str">
        <f ca="1">IFERROR(__xludf.DUMMYFUNCTION("""COMPUTED_VALUE"""),"Guaraí")</f>
        <v>Guaraí</v>
      </c>
      <c r="B163" s="194" t="str">
        <f ca="1">IFERROR(__xludf.DUMMYFUNCTION("""COMPUTED_VALUE"""),"Goianorte")</f>
        <v>Goianorte</v>
      </c>
      <c r="C163" s="195" t="str">
        <f ca="1">IFERROR(__xludf.DUMMYFUNCTION("""COMPUTED_VALUE"""),"A.A. DA ESC. EST. ANTENOR BARREIRA")</f>
        <v>A.A. DA ESC. EST. ANTENOR BARREIRA</v>
      </c>
      <c r="D163" s="196" t="str">
        <f ca="1">IFERROR(__xludf.DUMMYFUNCTION("""COMPUTED_VALUE"""),"02069808000150")</f>
        <v>02069808000150</v>
      </c>
      <c r="E163" s="197" t="str">
        <f ca="1">IFERROR(__xludf.DUMMYFUNCTION("""COMPUTED_VALUE"""),"001")</f>
        <v>001</v>
      </c>
      <c r="F163" s="197" t="str">
        <f ca="1">IFERROR(__xludf.DUMMYFUNCTION("""COMPUTED_VALUE"""),"1306")</f>
        <v>1306</v>
      </c>
      <c r="G163" s="198" t="str">
        <f ca="1">IFERROR(__xludf.DUMMYFUNCTION("""COMPUTED_VALUE"""),"54186")</f>
        <v>54186</v>
      </c>
      <c r="H163" s="198">
        <f ca="1">IFERROR(__xludf.DUMMYFUNCTION("""COMPUTED_VALUE"""),0)</f>
        <v>0</v>
      </c>
      <c r="I163" s="198">
        <f ca="1">IFERROR(__xludf.DUMMYFUNCTION("""COMPUTED_VALUE"""),0)</f>
        <v>0</v>
      </c>
      <c r="J163" s="198">
        <f ca="1">IFERROR(__xludf.DUMMYFUNCTION("""COMPUTED_VALUE"""),2415)</f>
        <v>2415</v>
      </c>
      <c r="K163" s="198">
        <f ca="1">IFERROR(__xludf.DUMMYFUNCTION("""COMPUTED_VALUE"""),0)</f>
        <v>0</v>
      </c>
      <c r="L163" s="198">
        <f ca="1">IFERROR(__xludf.DUMMYFUNCTION("""COMPUTED_VALUE"""),0)</f>
        <v>0</v>
      </c>
      <c r="M163" s="198">
        <f ca="1">IFERROR(__xludf.DUMMYFUNCTION("""COMPUTED_VALUE"""),336)</f>
        <v>336</v>
      </c>
      <c r="N163" s="198">
        <f ca="1">IFERROR(__xludf.DUMMYFUNCTION("""COMPUTED_VALUE"""),4158)</f>
        <v>4158</v>
      </c>
      <c r="O163" s="198">
        <f ca="1">IFERROR(__xludf.DUMMYFUNCTION("""COMPUTED_VALUE"""),0)</f>
        <v>0</v>
      </c>
      <c r="P163" s="198">
        <f t="shared" ca="1" si="1"/>
        <v>6909</v>
      </c>
    </row>
    <row r="164" spans="1:16" ht="12.75">
      <c r="A164" s="199" t="str">
        <f ca="1">IFERROR(__xludf.DUMMYFUNCTION("""COMPUTED_VALUE"""),"Guaraí")</f>
        <v>Guaraí</v>
      </c>
      <c r="B164" s="199" t="str">
        <f ca="1">IFERROR(__xludf.DUMMYFUNCTION("""COMPUTED_VALUE"""),"Goianorte")</f>
        <v>Goianorte</v>
      </c>
      <c r="C164" s="145" t="str">
        <f ca="1">IFERROR(__xludf.DUMMYFUNCTION("""COMPUTED_VALUE"""),"ASSOC. DE APOIO DA ESCOLA ESPECIAL NOVOV PARAÍSO - APAE")</f>
        <v>ASSOC. DE APOIO DA ESCOLA ESPECIAL NOVOV PARAÍSO - APAE</v>
      </c>
      <c r="D164" s="200" t="str">
        <f ca="1">IFERROR(__xludf.DUMMYFUNCTION("""COMPUTED_VALUE"""),"09510602000163")</f>
        <v>09510602000163</v>
      </c>
      <c r="E164" s="201" t="str">
        <f ca="1">IFERROR(__xludf.DUMMYFUNCTION("""COMPUTED_VALUE"""),"001")</f>
        <v>001</v>
      </c>
      <c r="F164" s="201" t="str">
        <f ca="1">IFERROR(__xludf.DUMMYFUNCTION("""COMPUTED_VALUE"""),"1306")</f>
        <v>1306</v>
      </c>
      <c r="G164" s="202" t="str">
        <f ca="1">IFERROR(__xludf.DUMMYFUNCTION("""COMPUTED_VALUE"""),"138258")</f>
        <v>138258</v>
      </c>
      <c r="H164" s="202">
        <f ca="1">IFERROR(__xludf.DUMMYFUNCTION("""COMPUTED_VALUE"""),0)</f>
        <v>0</v>
      </c>
      <c r="I164" s="202">
        <f ca="1">IFERROR(__xludf.DUMMYFUNCTION("""COMPUTED_VALUE"""),0)</f>
        <v>0</v>
      </c>
      <c r="J164" s="202">
        <f ca="1">IFERROR(__xludf.DUMMYFUNCTION("""COMPUTED_VALUE"""),1365)</f>
        <v>1365</v>
      </c>
      <c r="K164" s="202">
        <f ca="1">IFERROR(__xludf.DUMMYFUNCTION("""COMPUTED_VALUE"""),0)</f>
        <v>0</v>
      </c>
      <c r="L164" s="202">
        <f ca="1">IFERROR(__xludf.DUMMYFUNCTION("""COMPUTED_VALUE"""),0)</f>
        <v>0</v>
      </c>
      <c r="M164" s="202">
        <f ca="1">IFERROR(__xludf.DUMMYFUNCTION("""COMPUTED_VALUE"""),630)</f>
        <v>630</v>
      </c>
      <c r="N164" s="202">
        <f ca="1">IFERROR(__xludf.DUMMYFUNCTION("""COMPUTED_VALUE"""),0)</f>
        <v>0</v>
      </c>
      <c r="O164" s="202">
        <f ca="1">IFERROR(__xludf.DUMMYFUNCTION("""COMPUTED_VALUE"""),441)</f>
        <v>441</v>
      </c>
      <c r="P164" s="202">
        <f t="shared" ca="1" si="1"/>
        <v>2436</v>
      </c>
    </row>
    <row r="165" spans="1:16" ht="12.75">
      <c r="A165" s="194" t="str">
        <f ca="1">IFERROR(__xludf.DUMMYFUNCTION("""COMPUTED_VALUE"""),"Guaraí")</f>
        <v>Guaraí</v>
      </c>
      <c r="B165" s="194" t="str">
        <f ca="1">IFERROR(__xludf.DUMMYFUNCTION("""COMPUTED_VALUE"""),"Goianorte")</f>
        <v>Goianorte</v>
      </c>
      <c r="C165" s="195" t="str">
        <f ca="1">IFERROR(__xludf.DUMMYFUNCTION("""COMPUTED_VALUE"""),"A.A.  DA ESCOLA ESTADUAL MORRO DO MATO")</f>
        <v>A.A.  DA ESCOLA ESTADUAL MORRO DO MATO</v>
      </c>
      <c r="D165" s="196" t="str">
        <f ca="1">IFERROR(__xludf.DUMMYFUNCTION("""COMPUTED_VALUE"""),"01990368000107")</f>
        <v>01990368000107</v>
      </c>
      <c r="E165" s="197" t="str">
        <f ca="1">IFERROR(__xludf.DUMMYFUNCTION("""COMPUTED_VALUE"""),"001")</f>
        <v>001</v>
      </c>
      <c r="F165" s="197" t="str">
        <f ca="1">IFERROR(__xludf.DUMMYFUNCTION("""COMPUTED_VALUE"""),"1306")</f>
        <v>1306</v>
      </c>
      <c r="G165" s="198" t="str">
        <f ca="1">IFERROR(__xludf.DUMMYFUNCTION("""COMPUTED_VALUE"""),"54178")</f>
        <v>54178</v>
      </c>
      <c r="H165" s="198">
        <f ca="1">IFERROR(__xludf.DUMMYFUNCTION("""COMPUTED_VALUE"""),0)</f>
        <v>0</v>
      </c>
      <c r="I165" s="198">
        <f ca="1">IFERROR(__xludf.DUMMYFUNCTION("""COMPUTED_VALUE"""),0)</f>
        <v>0</v>
      </c>
      <c r="J165" s="198">
        <f ca="1">IFERROR(__xludf.DUMMYFUNCTION("""COMPUTED_VALUE"""),4200)</f>
        <v>4200</v>
      </c>
      <c r="K165" s="198">
        <f ca="1">IFERROR(__xludf.DUMMYFUNCTION("""COMPUTED_VALUE"""),0)</f>
        <v>0</v>
      </c>
      <c r="L165" s="198">
        <f ca="1">IFERROR(__xludf.DUMMYFUNCTION("""COMPUTED_VALUE"""),0)</f>
        <v>0</v>
      </c>
      <c r="M165" s="198">
        <f ca="1">IFERROR(__xludf.DUMMYFUNCTION("""COMPUTED_VALUE"""),630)</f>
        <v>630</v>
      </c>
      <c r="N165" s="198">
        <f ca="1">IFERROR(__xludf.DUMMYFUNCTION("""COMPUTED_VALUE"""),0)</f>
        <v>0</v>
      </c>
      <c r="O165" s="198">
        <f ca="1">IFERROR(__xludf.DUMMYFUNCTION("""COMPUTED_VALUE"""),1890)</f>
        <v>1890</v>
      </c>
      <c r="P165" s="198">
        <f t="shared" ca="1" si="1"/>
        <v>6720</v>
      </c>
    </row>
    <row r="166" spans="1:16" ht="12.75">
      <c r="A166" s="199" t="str">
        <f ca="1">IFERROR(__xludf.DUMMYFUNCTION("""COMPUTED_VALUE"""),"Guaraí")</f>
        <v>Guaraí</v>
      </c>
      <c r="B166" s="199" t="str">
        <f ca="1">IFERROR(__xludf.DUMMYFUNCTION("""COMPUTED_VALUE"""),"Guarai")</f>
        <v>Guarai</v>
      </c>
      <c r="C166" s="145" t="str">
        <f ca="1">IFERROR(__xludf.DUMMYFUNCTION("""COMPUTED_VALUE"""),"ASSOC. DE APOIO ESC. EST. OQUERLINA TORRES")</f>
        <v>ASSOC. DE APOIO ESC. EST. OQUERLINA TORRES</v>
      </c>
      <c r="D166" s="200" t="str">
        <f ca="1">IFERROR(__xludf.DUMMYFUNCTION("""COMPUTED_VALUE"""),"01421201000125")</f>
        <v>01421201000125</v>
      </c>
      <c r="E166" s="201" t="str">
        <f ca="1">IFERROR(__xludf.DUMMYFUNCTION("""COMPUTED_VALUE"""),"001")</f>
        <v>001</v>
      </c>
      <c r="F166" s="201" t="str">
        <f ca="1">IFERROR(__xludf.DUMMYFUNCTION("""COMPUTED_VALUE"""),"2094")</f>
        <v>2094</v>
      </c>
      <c r="G166" s="202" t="str">
        <f ca="1">IFERROR(__xludf.DUMMYFUNCTION("""COMPUTED_VALUE"""),"19266X")</f>
        <v>19266X</v>
      </c>
      <c r="H166" s="202">
        <f ca="1">IFERROR(__xludf.DUMMYFUNCTION("""COMPUTED_VALUE"""),0)</f>
        <v>0</v>
      </c>
      <c r="I166" s="202">
        <f ca="1">IFERROR(__xludf.DUMMYFUNCTION("""COMPUTED_VALUE"""),0)</f>
        <v>0</v>
      </c>
      <c r="J166" s="202">
        <f ca="1">IFERROR(__xludf.DUMMYFUNCTION("""COMPUTED_VALUE"""),0)</f>
        <v>0</v>
      </c>
      <c r="K166" s="202">
        <f ca="1">IFERROR(__xludf.DUMMYFUNCTION("""COMPUTED_VALUE"""),0)</f>
        <v>0</v>
      </c>
      <c r="L166" s="202">
        <f ca="1">IFERROR(__xludf.DUMMYFUNCTION("""COMPUTED_VALUE"""),0)</f>
        <v>0</v>
      </c>
      <c r="M166" s="202">
        <f ca="1">IFERROR(__xludf.DUMMYFUNCTION("""COMPUTED_VALUE"""),315)</f>
        <v>315</v>
      </c>
      <c r="N166" s="202">
        <f ca="1">IFERROR(__xludf.DUMMYFUNCTION("""COMPUTED_VALUE"""),0)</f>
        <v>0</v>
      </c>
      <c r="O166" s="202">
        <f ca="1">IFERROR(__xludf.DUMMYFUNCTION("""COMPUTED_VALUE"""),0)</f>
        <v>0</v>
      </c>
      <c r="P166" s="202">
        <f t="shared" ca="1" si="1"/>
        <v>315</v>
      </c>
    </row>
    <row r="167" spans="1:16" ht="12.75">
      <c r="A167" s="194" t="str">
        <f ca="1">IFERROR(__xludf.DUMMYFUNCTION("""COMPUTED_VALUE"""),"Guaraí")</f>
        <v>Guaraí</v>
      </c>
      <c r="B167" s="194" t="str">
        <f ca="1">IFERROR(__xludf.DUMMYFUNCTION("""COMPUTED_VALUE"""),"Guarai")</f>
        <v>Guarai</v>
      </c>
      <c r="C167" s="195" t="str">
        <f ca="1">IFERROR(__xludf.DUMMYFUNCTION("""COMPUTED_VALUE"""),"A.A.  AS ESC. EST. ANTONIO ALENCAR LEAO")</f>
        <v>A.A.  AS ESC. EST. ANTONIO ALENCAR LEAO</v>
      </c>
      <c r="D167" s="196" t="str">
        <f ca="1">IFERROR(__xludf.DUMMYFUNCTION("""COMPUTED_VALUE"""),"01575370000110")</f>
        <v>01575370000110</v>
      </c>
      <c r="E167" s="197" t="str">
        <f ca="1">IFERROR(__xludf.DUMMYFUNCTION("""COMPUTED_VALUE"""),"001")</f>
        <v>001</v>
      </c>
      <c r="F167" s="197" t="str">
        <f ca="1">IFERROR(__xludf.DUMMYFUNCTION("""COMPUTED_VALUE"""),"2094")</f>
        <v>2094</v>
      </c>
      <c r="G167" s="198" t="str">
        <f ca="1">IFERROR(__xludf.DUMMYFUNCTION("""COMPUTED_VALUE"""),"476536")</f>
        <v>476536</v>
      </c>
      <c r="H167" s="198">
        <f ca="1">IFERROR(__xludf.DUMMYFUNCTION("""COMPUTED_VALUE"""),0)</f>
        <v>0</v>
      </c>
      <c r="I167" s="198">
        <f ca="1">IFERROR(__xludf.DUMMYFUNCTION("""COMPUTED_VALUE"""),0)</f>
        <v>0</v>
      </c>
      <c r="J167" s="198">
        <f ca="1">IFERROR(__xludf.DUMMYFUNCTION("""COMPUTED_VALUE"""),8358)</f>
        <v>8358</v>
      </c>
      <c r="K167" s="198">
        <f ca="1">IFERROR(__xludf.DUMMYFUNCTION("""COMPUTED_VALUE"""),0)</f>
        <v>0</v>
      </c>
      <c r="L167" s="198">
        <f ca="1">IFERROR(__xludf.DUMMYFUNCTION("""COMPUTED_VALUE"""),0)</f>
        <v>0</v>
      </c>
      <c r="M167" s="198">
        <f ca="1">IFERROR(__xludf.DUMMYFUNCTION("""COMPUTED_VALUE"""),210)</f>
        <v>210</v>
      </c>
      <c r="N167" s="198">
        <f ca="1">IFERROR(__xludf.DUMMYFUNCTION("""COMPUTED_VALUE"""),0)</f>
        <v>0</v>
      </c>
      <c r="O167" s="198">
        <f ca="1">IFERROR(__xludf.DUMMYFUNCTION("""COMPUTED_VALUE"""),0)</f>
        <v>0</v>
      </c>
      <c r="P167" s="198">
        <f t="shared" ca="1" si="1"/>
        <v>8568</v>
      </c>
    </row>
    <row r="168" spans="1:16" ht="12.75">
      <c r="A168" s="199" t="str">
        <f ca="1">IFERROR(__xludf.DUMMYFUNCTION("""COMPUTED_VALUE"""),"Guaraí")</f>
        <v>Guaraí</v>
      </c>
      <c r="B168" s="199" t="str">
        <f ca="1">IFERROR(__xludf.DUMMYFUNCTION("""COMPUTED_VALUE"""),"Guarai")</f>
        <v>Guarai</v>
      </c>
      <c r="C168" s="145" t="str">
        <f ca="1">IFERROR(__xludf.DUMMYFUNCTION("""COMPUTED_VALUE"""),"A.A. DO COL. EST. DONA ANAIDES B.MIRANDA")</f>
        <v>A.A. DO COL. EST. DONA ANAIDES B.MIRANDA</v>
      </c>
      <c r="D168" s="200" t="str">
        <f ca="1">IFERROR(__xludf.DUMMYFUNCTION("""COMPUTED_VALUE"""),"01867376000160")</f>
        <v>01867376000160</v>
      </c>
      <c r="E168" s="201" t="str">
        <f ca="1">IFERROR(__xludf.DUMMYFUNCTION("""COMPUTED_VALUE"""),"001")</f>
        <v>001</v>
      </c>
      <c r="F168" s="201" t="str">
        <f ca="1">IFERROR(__xludf.DUMMYFUNCTION("""COMPUTED_VALUE"""),"2094")</f>
        <v>2094</v>
      </c>
      <c r="G168" s="202" t="str">
        <f ca="1">IFERROR(__xludf.DUMMYFUNCTION("""COMPUTED_VALUE"""),"472123")</f>
        <v>472123</v>
      </c>
      <c r="H168" s="202">
        <f ca="1">IFERROR(__xludf.DUMMYFUNCTION("""COMPUTED_VALUE"""),0)</f>
        <v>0</v>
      </c>
      <c r="I168" s="202">
        <f ca="1">IFERROR(__xludf.DUMMYFUNCTION("""COMPUTED_VALUE"""),0)</f>
        <v>0</v>
      </c>
      <c r="J168" s="202">
        <f ca="1">IFERROR(__xludf.DUMMYFUNCTION("""COMPUTED_VALUE"""),7476)</f>
        <v>7476</v>
      </c>
      <c r="K168" s="202">
        <f ca="1">IFERROR(__xludf.DUMMYFUNCTION("""COMPUTED_VALUE"""),0)</f>
        <v>0</v>
      </c>
      <c r="L168" s="202">
        <f ca="1">IFERROR(__xludf.DUMMYFUNCTION("""COMPUTED_VALUE"""),0)</f>
        <v>0</v>
      </c>
      <c r="M168" s="202">
        <f ca="1">IFERROR(__xludf.DUMMYFUNCTION("""COMPUTED_VALUE"""),231)</f>
        <v>231</v>
      </c>
      <c r="N168" s="202">
        <f ca="1">IFERROR(__xludf.DUMMYFUNCTION("""COMPUTED_VALUE"""),4704)</f>
        <v>4704</v>
      </c>
      <c r="O168" s="202">
        <f ca="1">IFERROR(__xludf.DUMMYFUNCTION("""COMPUTED_VALUE"""),0)</f>
        <v>0</v>
      </c>
      <c r="P168" s="202">
        <f t="shared" ca="1" si="1"/>
        <v>12411</v>
      </c>
    </row>
    <row r="169" spans="1:16" ht="12.75">
      <c r="A169" s="194" t="str">
        <f ca="1">IFERROR(__xludf.DUMMYFUNCTION("""COMPUTED_VALUE"""),"Guaraí")</f>
        <v>Guaraí</v>
      </c>
      <c r="B169" s="194" t="str">
        <f ca="1">IFERROR(__xludf.DUMMYFUNCTION("""COMPUTED_VALUE"""),"Guarai")</f>
        <v>Guarai</v>
      </c>
      <c r="C169" s="195" t="str">
        <f ca="1">IFERROR(__xludf.DUMMYFUNCTION("""COMPUTED_VALUE"""),"A. ESCOLAR COM.COL. EST.RAIMUNDO A.LEAO")</f>
        <v>A. ESCOLAR COM.COL. EST.RAIMUNDO A.LEAO</v>
      </c>
      <c r="D169" s="196" t="str">
        <f ca="1">IFERROR(__xludf.DUMMYFUNCTION("""COMPUTED_VALUE"""),"00880649000144")</f>
        <v>00880649000144</v>
      </c>
      <c r="E169" s="197" t="str">
        <f ca="1">IFERROR(__xludf.DUMMYFUNCTION("""COMPUTED_VALUE"""),"001")</f>
        <v>001</v>
      </c>
      <c r="F169" s="197" t="str">
        <f ca="1">IFERROR(__xludf.DUMMYFUNCTION("""COMPUTED_VALUE"""),"2094")</f>
        <v>2094</v>
      </c>
      <c r="G169" s="198" t="str">
        <f ca="1">IFERROR(__xludf.DUMMYFUNCTION("""COMPUTED_VALUE"""),"0472719")</f>
        <v>0472719</v>
      </c>
      <c r="H169" s="198">
        <f ca="1">IFERROR(__xludf.DUMMYFUNCTION("""COMPUTED_VALUE"""),0)</f>
        <v>0</v>
      </c>
      <c r="I169" s="198">
        <f ca="1">IFERROR(__xludf.DUMMYFUNCTION("""COMPUTED_VALUE"""),0)</f>
        <v>0</v>
      </c>
      <c r="J169" s="198">
        <f ca="1">IFERROR(__xludf.DUMMYFUNCTION("""COMPUTED_VALUE"""),3591)</f>
        <v>3591</v>
      </c>
      <c r="K169" s="198">
        <f ca="1">IFERROR(__xludf.DUMMYFUNCTION("""COMPUTED_VALUE"""),0)</f>
        <v>0</v>
      </c>
      <c r="L169" s="198">
        <f ca="1">IFERROR(__xludf.DUMMYFUNCTION("""COMPUTED_VALUE"""),0)</f>
        <v>0</v>
      </c>
      <c r="M169" s="198">
        <f ca="1">IFERROR(__xludf.DUMMYFUNCTION("""COMPUTED_VALUE"""),231)</f>
        <v>231</v>
      </c>
      <c r="N169" s="198">
        <f ca="1">IFERROR(__xludf.DUMMYFUNCTION("""COMPUTED_VALUE"""),0)</f>
        <v>0</v>
      </c>
      <c r="O169" s="198">
        <f ca="1">IFERROR(__xludf.DUMMYFUNCTION("""COMPUTED_VALUE"""),4683)</f>
        <v>4683</v>
      </c>
      <c r="P169" s="198">
        <f t="shared" ca="1" si="1"/>
        <v>8505</v>
      </c>
    </row>
    <row r="170" spans="1:16" ht="12.75">
      <c r="A170" s="199" t="str">
        <f ca="1">IFERROR(__xludf.DUMMYFUNCTION("""COMPUTED_VALUE"""),"Guaraí")</f>
        <v>Guaraí</v>
      </c>
      <c r="B170" s="199" t="str">
        <f ca="1">IFERROR(__xludf.DUMMYFUNCTION("""COMPUTED_VALUE"""),"Guarai")</f>
        <v>Guarai</v>
      </c>
      <c r="C170" s="145" t="str">
        <f ca="1">IFERROR(__xludf.DUMMYFUNCTION("""COMPUTED_VALUE"""),"ASSOCIAÇÃO DE APOIO A ESCOLA ESPECIAL ESTRELA DA ESPERANÇA")</f>
        <v>ASSOCIAÇÃO DE APOIO A ESCOLA ESPECIAL ESTRELA DA ESPERANÇA</v>
      </c>
      <c r="D170" s="200" t="str">
        <f ca="1">IFERROR(__xludf.DUMMYFUNCTION("""COMPUTED_VALUE"""),"07938604000122")</f>
        <v>07938604000122</v>
      </c>
      <c r="E170" s="201" t="str">
        <f ca="1">IFERROR(__xludf.DUMMYFUNCTION("""COMPUTED_VALUE"""),"001")</f>
        <v>001</v>
      </c>
      <c r="F170" s="201" t="str">
        <f ca="1">IFERROR(__xludf.DUMMYFUNCTION("""COMPUTED_VALUE"""),"2094")</f>
        <v>2094</v>
      </c>
      <c r="G170" s="202" t="str">
        <f ca="1">IFERROR(__xludf.DUMMYFUNCTION("""COMPUTED_VALUE"""),"211621")</f>
        <v>211621</v>
      </c>
      <c r="H170" s="202">
        <f ca="1">IFERROR(__xludf.DUMMYFUNCTION("""COMPUTED_VALUE"""),0)</f>
        <v>0</v>
      </c>
      <c r="I170" s="202">
        <f ca="1">IFERROR(__xludf.DUMMYFUNCTION("""COMPUTED_VALUE"""),63)</f>
        <v>63</v>
      </c>
      <c r="J170" s="202">
        <f ca="1">IFERROR(__xludf.DUMMYFUNCTION("""COMPUTED_VALUE"""),420)</f>
        <v>420</v>
      </c>
      <c r="K170" s="202">
        <f ca="1">IFERROR(__xludf.DUMMYFUNCTION("""COMPUTED_VALUE"""),0)</f>
        <v>0</v>
      </c>
      <c r="L170" s="202">
        <f ca="1">IFERROR(__xludf.DUMMYFUNCTION("""COMPUTED_VALUE"""),0)</f>
        <v>0</v>
      </c>
      <c r="M170" s="202">
        <f ca="1">IFERROR(__xludf.DUMMYFUNCTION("""COMPUTED_VALUE"""),336)</f>
        <v>336</v>
      </c>
      <c r="N170" s="202">
        <f ca="1">IFERROR(__xludf.DUMMYFUNCTION("""COMPUTED_VALUE"""),0)</f>
        <v>0</v>
      </c>
      <c r="O170" s="202">
        <f ca="1">IFERROR(__xludf.DUMMYFUNCTION("""COMPUTED_VALUE"""),1281)</f>
        <v>1281</v>
      </c>
      <c r="P170" s="202">
        <f t="shared" ca="1" si="1"/>
        <v>2100</v>
      </c>
    </row>
    <row r="171" spans="1:16" ht="12.75">
      <c r="A171" s="194" t="str">
        <f ca="1">IFERROR(__xludf.DUMMYFUNCTION("""COMPUTED_VALUE"""),"Guaraí")</f>
        <v>Guaraí</v>
      </c>
      <c r="B171" s="194" t="str">
        <f ca="1">IFERROR(__xludf.DUMMYFUNCTION("""COMPUTED_VALUE"""),"Guarai")</f>
        <v>Guarai</v>
      </c>
      <c r="C171" s="195" t="str">
        <f ca="1">IFERROR(__xludf.DUMMYFUNCTION("""COMPUTED_VALUE"""),"A.A. ESC. EST.IRINEU ALBANO HENDGES")</f>
        <v>A.A. ESC. EST.IRINEU ALBANO HENDGES</v>
      </c>
      <c r="D171" s="196" t="str">
        <f ca="1">IFERROR(__xludf.DUMMYFUNCTION("""COMPUTED_VALUE"""),"01136012000100")</f>
        <v>01136012000100</v>
      </c>
      <c r="E171" s="197" t="str">
        <f ca="1">IFERROR(__xludf.DUMMYFUNCTION("""COMPUTED_VALUE"""),"001")</f>
        <v>001</v>
      </c>
      <c r="F171" s="197" t="str">
        <f ca="1">IFERROR(__xludf.DUMMYFUNCTION("""COMPUTED_VALUE"""),"2094")</f>
        <v>2094</v>
      </c>
      <c r="G171" s="198" t="str">
        <f ca="1">IFERROR(__xludf.DUMMYFUNCTION("""COMPUTED_VALUE"""),"0472433")</f>
        <v>0472433</v>
      </c>
      <c r="H171" s="198">
        <f ca="1">IFERROR(__xludf.DUMMYFUNCTION("""COMPUTED_VALUE"""),0)</f>
        <v>0</v>
      </c>
      <c r="I171" s="198">
        <f ca="1">IFERROR(__xludf.DUMMYFUNCTION("""COMPUTED_VALUE"""),0)</f>
        <v>0</v>
      </c>
      <c r="J171" s="198">
        <f ca="1">IFERROR(__xludf.DUMMYFUNCTION("""COMPUTED_VALUE"""),4767)</f>
        <v>4767</v>
      </c>
      <c r="K171" s="198">
        <f ca="1">IFERROR(__xludf.DUMMYFUNCTION("""COMPUTED_VALUE"""),0)</f>
        <v>0</v>
      </c>
      <c r="L171" s="198">
        <f ca="1">IFERROR(__xludf.DUMMYFUNCTION("""COMPUTED_VALUE"""),0)</f>
        <v>0</v>
      </c>
      <c r="M171" s="198">
        <f ca="1">IFERROR(__xludf.DUMMYFUNCTION("""COMPUTED_VALUE"""),252)</f>
        <v>252</v>
      </c>
      <c r="N171" s="198">
        <f ca="1">IFERROR(__xludf.DUMMYFUNCTION("""COMPUTED_VALUE"""),9198)</f>
        <v>9198</v>
      </c>
      <c r="O171" s="198">
        <f ca="1">IFERROR(__xludf.DUMMYFUNCTION("""COMPUTED_VALUE"""),0)</f>
        <v>0</v>
      </c>
      <c r="P171" s="198">
        <f t="shared" ca="1" si="1"/>
        <v>14217</v>
      </c>
    </row>
    <row r="172" spans="1:16" ht="12.75">
      <c r="A172" s="199" t="str">
        <f ca="1">IFERROR(__xludf.DUMMYFUNCTION("""COMPUTED_VALUE"""),"Guaraí")</f>
        <v>Guaraí</v>
      </c>
      <c r="B172" s="199" t="str">
        <f ca="1">IFERROR(__xludf.DUMMYFUNCTION("""COMPUTED_VALUE"""),"Guarai")</f>
        <v>Guarai</v>
      </c>
      <c r="C172" s="145" t="str">
        <f ca="1">IFERROR(__xludf.DUMMYFUNCTION("""COMPUTED_VALUE"""),"A.A. ESCOLA EST. JOSE COSTA SOARES")</f>
        <v>A.A. ESCOLA EST. JOSE COSTA SOARES</v>
      </c>
      <c r="D172" s="200" t="str">
        <f ca="1">IFERROR(__xludf.DUMMYFUNCTION("""COMPUTED_VALUE"""),"01421200000180")</f>
        <v>01421200000180</v>
      </c>
      <c r="E172" s="201" t="str">
        <f ca="1">IFERROR(__xludf.DUMMYFUNCTION("""COMPUTED_VALUE"""),"001")</f>
        <v>001</v>
      </c>
      <c r="F172" s="201" t="str">
        <f ca="1">IFERROR(__xludf.DUMMYFUNCTION("""COMPUTED_VALUE"""),"2094")</f>
        <v>2094</v>
      </c>
      <c r="G172" s="202" t="str">
        <f ca="1">IFERROR(__xludf.DUMMYFUNCTION("""COMPUTED_VALUE"""),"471577")</f>
        <v>471577</v>
      </c>
      <c r="H172" s="202">
        <f ca="1">IFERROR(__xludf.DUMMYFUNCTION("""COMPUTED_VALUE"""),0)</f>
        <v>0</v>
      </c>
      <c r="I172" s="202">
        <f ca="1">IFERROR(__xludf.DUMMYFUNCTION("""COMPUTED_VALUE"""),0)</f>
        <v>0</v>
      </c>
      <c r="J172" s="202">
        <f ca="1">IFERROR(__xludf.DUMMYFUNCTION("""COMPUTED_VALUE"""),3192)</f>
        <v>3192</v>
      </c>
      <c r="K172" s="202">
        <f ca="1">IFERROR(__xludf.DUMMYFUNCTION("""COMPUTED_VALUE"""),0)</f>
        <v>0</v>
      </c>
      <c r="L172" s="202">
        <f ca="1">IFERROR(__xludf.DUMMYFUNCTION("""COMPUTED_VALUE"""),0)</f>
        <v>0</v>
      </c>
      <c r="M172" s="202">
        <f ca="1">IFERROR(__xludf.DUMMYFUNCTION("""COMPUTED_VALUE"""),231)</f>
        <v>231</v>
      </c>
      <c r="N172" s="202">
        <f ca="1">IFERROR(__xludf.DUMMYFUNCTION("""COMPUTED_VALUE"""),0)</f>
        <v>0</v>
      </c>
      <c r="O172" s="202">
        <f ca="1">IFERROR(__xludf.DUMMYFUNCTION("""COMPUTED_VALUE"""),0)</f>
        <v>0</v>
      </c>
      <c r="P172" s="202">
        <f t="shared" ca="1" si="1"/>
        <v>3423</v>
      </c>
    </row>
    <row r="173" spans="1:16" ht="12.75">
      <c r="A173" s="194" t="str">
        <f ca="1">IFERROR(__xludf.DUMMYFUNCTION("""COMPUTED_VALUE"""),"Guaraí")</f>
        <v>Guaraí</v>
      </c>
      <c r="B173" s="194" t="str">
        <f ca="1">IFERROR(__xludf.DUMMYFUNCTION("""COMPUTED_VALUE"""),"Itapora do Tocantins")</f>
        <v>Itapora do Tocantins</v>
      </c>
      <c r="C173" s="195" t="str">
        <f ca="1">IFERROR(__xludf.DUMMYFUNCTION("""COMPUTED_VALUE"""),"A.A. COL. EST. FRANCISCA ALVES ALENCAR")</f>
        <v>A.A. COL. EST. FRANCISCA ALVES ALENCAR</v>
      </c>
      <c r="D173" s="196" t="str">
        <f ca="1">IFERROR(__xludf.DUMMYFUNCTION("""COMPUTED_VALUE"""),"01190193000153")</f>
        <v>01190193000153</v>
      </c>
      <c r="E173" s="197" t="str">
        <f ca="1">IFERROR(__xludf.DUMMYFUNCTION("""COMPUTED_VALUE"""),"001")</f>
        <v>001</v>
      </c>
      <c r="F173" s="197" t="str">
        <f ca="1">IFERROR(__xludf.DUMMYFUNCTION("""COMPUTED_VALUE"""),"1306")</f>
        <v>1306</v>
      </c>
      <c r="G173" s="198" t="str">
        <f ca="1">IFERROR(__xludf.DUMMYFUNCTION("""COMPUTED_VALUE"""),"102865")</f>
        <v>102865</v>
      </c>
      <c r="H173" s="198">
        <f ca="1">IFERROR(__xludf.DUMMYFUNCTION("""COMPUTED_VALUE"""),0)</f>
        <v>0</v>
      </c>
      <c r="I173" s="198">
        <f ca="1">IFERROR(__xludf.DUMMYFUNCTION("""COMPUTED_VALUE"""),0)</f>
        <v>0</v>
      </c>
      <c r="J173" s="198">
        <f ca="1">IFERROR(__xludf.DUMMYFUNCTION("""COMPUTED_VALUE"""),2499)</f>
        <v>2499</v>
      </c>
      <c r="K173" s="198">
        <f ca="1">IFERROR(__xludf.DUMMYFUNCTION("""COMPUTED_VALUE"""),0)</f>
        <v>0</v>
      </c>
      <c r="L173" s="198">
        <f ca="1">IFERROR(__xludf.DUMMYFUNCTION("""COMPUTED_VALUE"""),0)</f>
        <v>0</v>
      </c>
      <c r="M173" s="198">
        <f ca="1">IFERROR(__xludf.DUMMYFUNCTION("""COMPUTED_VALUE"""),210)</f>
        <v>210</v>
      </c>
      <c r="N173" s="198">
        <f ca="1">IFERROR(__xludf.DUMMYFUNCTION("""COMPUTED_VALUE"""),1827)</f>
        <v>1827</v>
      </c>
      <c r="O173" s="198">
        <f ca="1">IFERROR(__xludf.DUMMYFUNCTION("""COMPUTED_VALUE"""),1092)</f>
        <v>1092</v>
      </c>
      <c r="P173" s="198">
        <f t="shared" ca="1" si="1"/>
        <v>5628</v>
      </c>
    </row>
    <row r="174" spans="1:16" ht="12.75">
      <c r="A174" s="199" t="str">
        <f ca="1">IFERROR(__xludf.DUMMYFUNCTION("""COMPUTED_VALUE"""),"Guaraí")</f>
        <v>Guaraí</v>
      </c>
      <c r="B174" s="199" t="str">
        <f ca="1">IFERROR(__xludf.DUMMYFUNCTION("""COMPUTED_VALUE"""),"Pequizeiro")</f>
        <v>Pequizeiro</v>
      </c>
      <c r="C174" s="145" t="str">
        <f ca="1">IFERROR(__xludf.DUMMYFUNCTION("""COMPUTED_VALUE"""),"ASSOC. DE APOIO ESC. EST. 1º DE JUNHO")</f>
        <v>ASSOC. DE APOIO ESC. EST. 1º DE JUNHO</v>
      </c>
      <c r="D174" s="200" t="str">
        <f ca="1">IFERROR(__xludf.DUMMYFUNCTION("""COMPUTED_VALUE"""),"02060455000128")</f>
        <v>02060455000128</v>
      </c>
      <c r="E174" s="201" t="str">
        <f ca="1">IFERROR(__xludf.DUMMYFUNCTION("""COMPUTED_VALUE"""),"001")</f>
        <v>001</v>
      </c>
      <c r="F174" s="201" t="str">
        <f ca="1">IFERROR(__xludf.DUMMYFUNCTION("""COMPUTED_VALUE"""),"1306")</f>
        <v>1306</v>
      </c>
      <c r="G174" s="202" t="str">
        <f ca="1">IFERROR(__xludf.DUMMYFUNCTION("""COMPUTED_VALUE"""),"147214")</f>
        <v>147214</v>
      </c>
      <c r="H174" s="202">
        <f ca="1">IFERROR(__xludf.DUMMYFUNCTION("""COMPUTED_VALUE"""),0)</f>
        <v>0</v>
      </c>
      <c r="I174" s="202">
        <f ca="1">IFERROR(__xludf.DUMMYFUNCTION("""COMPUTED_VALUE"""),0)</f>
        <v>0</v>
      </c>
      <c r="J174" s="202">
        <f ca="1">IFERROR(__xludf.DUMMYFUNCTION("""COMPUTED_VALUE"""),0)</f>
        <v>0</v>
      </c>
      <c r="K174" s="202">
        <f ca="1">IFERROR(__xludf.DUMMYFUNCTION("""COMPUTED_VALUE"""),0)</f>
        <v>0</v>
      </c>
      <c r="L174" s="202">
        <f ca="1">IFERROR(__xludf.DUMMYFUNCTION("""COMPUTED_VALUE"""),0)</f>
        <v>0</v>
      </c>
      <c r="M174" s="202">
        <f ca="1">IFERROR(__xludf.DUMMYFUNCTION("""COMPUTED_VALUE"""),0)</f>
        <v>0</v>
      </c>
      <c r="N174" s="202">
        <f ca="1">IFERROR(__xludf.DUMMYFUNCTION("""COMPUTED_VALUE"""),4347)</f>
        <v>4347</v>
      </c>
      <c r="O174" s="202">
        <f ca="1">IFERROR(__xludf.DUMMYFUNCTION("""COMPUTED_VALUE"""),0)</f>
        <v>0</v>
      </c>
      <c r="P174" s="202">
        <f t="shared" ca="1" si="1"/>
        <v>4347</v>
      </c>
    </row>
    <row r="175" spans="1:16" ht="12.75">
      <c r="A175" s="194" t="str">
        <f ca="1">IFERROR(__xludf.DUMMYFUNCTION("""COMPUTED_VALUE"""),"Guaraí")</f>
        <v>Guaraí</v>
      </c>
      <c r="B175" s="194" t="str">
        <f ca="1">IFERROR(__xludf.DUMMYFUNCTION("""COMPUTED_VALUE"""),"Pequizeiro")</f>
        <v>Pequizeiro</v>
      </c>
      <c r="C175" s="195" t="str">
        <f ca="1">IFERROR(__xludf.DUMMYFUNCTION("""COMPUTED_VALUE"""),"A.A. DO COLEGIO ESTADUAL BERNARDO SAYAO")</f>
        <v>A.A. DO COLEGIO ESTADUAL BERNARDO SAYAO</v>
      </c>
      <c r="D175" s="196" t="str">
        <f ca="1">IFERROR(__xludf.DUMMYFUNCTION("""COMPUTED_VALUE"""),"02160863000151")</f>
        <v>02160863000151</v>
      </c>
      <c r="E175" s="197" t="str">
        <f ca="1">IFERROR(__xludf.DUMMYFUNCTION("""COMPUTED_VALUE"""),"001")</f>
        <v>001</v>
      </c>
      <c r="F175" s="197" t="str">
        <f ca="1">IFERROR(__xludf.DUMMYFUNCTION("""COMPUTED_VALUE"""),"1306")</f>
        <v>1306</v>
      </c>
      <c r="G175" s="198" t="str">
        <f ca="1">IFERROR(__xludf.DUMMYFUNCTION("""COMPUTED_VALUE"""),"53910")</f>
        <v>53910</v>
      </c>
      <c r="H175" s="198">
        <f ca="1">IFERROR(__xludf.DUMMYFUNCTION("""COMPUTED_VALUE"""),0)</f>
        <v>0</v>
      </c>
      <c r="I175" s="198">
        <f ca="1">IFERROR(__xludf.DUMMYFUNCTION("""COMPUTED_VALUE"""),0)</f>
        <v>0</v>
      </c>
      <c r="J175" s="198">
        <f ca="1">IFERROR(__xludf.DUMMYFUNCTION("""COMPUTED_VALUE"""),3234)</f>
        <v>3234</v>
      </c>
      <c r="K175" s="198">
        <f ca="1">IFERROR(__xludf.DUMMYFUNCTION("""COMPUTED_VALUE"""),0)</f>
        <v>0</v>
      </c>
      <c r="L175" s="198">
        <f ca="1">IFERROR(__xludf.DUMMYFUNCTION("""COMPUTED_VALUE"""),0)</f>
        <v>0</v>
      </c>
      <c r="M175" s="198">
        <f ca="1">IFERROR(__xludf.DUMMYFUNCTION("""COMPUTED_VALUE"""),525)</f>
        <v>525</v>
      </c>
      <c r="N175" s="198">
        <f ca="1">IFERROR(__xludf.DUMMYFUNCTION("""COMPUTED_VALUE"""),0)</f>
        <v>0</v>
      </c>
      <c r="O175" s="198">
        <f ca="1">IFERROR(__xludf.DUMMYFUNCTION("""COMPUTED_VALUE"""),420)</f>
        <v>420</v>
      </c>
      <c r="P175" s="198">
        <f t="shared" ca="1" si="1"/>
        <v>4179</v>
      </c>
    </row>
    <row r="176" spans="1:16" ht="12.75">
      <c r="A176" s="199" t="str">
        <f ca="1">IFERROR(__xludf.DUMMYFUNCTION("""COMPUTED_VALUE"""),"Guaraí")</f>
        <v>Guaraí</v>
      </c>
      <c r="B176" s="199" t="str">
        <f ca="1">IFERROR(__xludf.DUMMYFUNCTION("""COMPUTED_VALUE"""),"Presidente Kennedy")</f>
        <v>Presidente Kennedy</v>
      </c>
      <c r="C176" s="145" t="str">
        <f ca="1">IFERROR(__xludf.DUMMYFUNCTION("""COMPUTED_VALUE"""),"A.PAIS E M.COL. EST. JUSCELINO KUBITSCHEK")</f>
        <v>A.PAIS E M.COL. EST. JUSCELINO KUBITSCHEK</v>
      </c>
      <c r="D176" s="200" t="str">
        <f ca="1">IFERROR(__xludf.DUMMYFUNCTION("""COMPUTED_VALUE"""),"02060456000172")</f>
        <v>02060456000172</v>
      </c>
      <c r="E176" s="201" t="str">
        <f ca="1">IFERROR(__xludf.DUMMYFUNCTION("""COMPUTED_VALUE"""),"001")</f>
        <v>001</v>
      </c>
      <c r="F176" s="201" t="str">
        <f ca="1">IFERROR(__xludf.DUMMYFUNCTION("""COMPUTED_VALUE"""),"2094")</f>
        <v>2094</v>
      </c>
      <c r="G176" s="202" t="str">
        <f ca="1">IFERROR(__xludf.DUMMYFUNCTION("""COMPUTED_VALUE"""),"047553X")</f>
        <v>047553X</v>
      </c>
      <c r="H176" s="202">
        <f ca="1">IFERROR(__xludf.DUMMYFUNCTION("""COMPUTED_VALUE"""),0)</f>
        <v>0</v>
      </c>
      <c r="I176" s="202">
        <f ca="1">IFERROR(__xludf.DUMMYFUNCTION("""COMPUTED_VALUE"""),0)</f>
        <v>0</v>
      </c>
      <c r="J176" s="202">
        <f ca="1">IFERROR(__xludf.DUMMYFUNCTION("""COMPUTED_VALUE"""),2982)</f>
        <v>2982</v>
      </c>
      <c r="K176" s="202">
        <f ca="1">IFERROR(__xludf.DUMMYFUNCTION("""COMPUTED_VALUE"""),0)</f>
        <v>0</v>
      </c>
      <c r="L176" s="202">
        <f ca="1">IFERROR(__xludf.DUMMYFUNCTION("""COMPUTED_VALUE"""),0)</f>
        <v>0</v>
      </c>
      <c r="M176" s="202">
        <f ca="1">IFERROR(__xludf.DUMMYFUNCTION("""COMPUTED_VALUE"""),252)</f>
        <v>252</v>
      </c>
      <c r="N176" s="202">
        <f ca="1">IFERROR(__xludf.DUMMYFUNCTION("""COMPUTED_VALUE"""),1890)</f>
        <v>1890</v>
      </c>
      <c r="O176" s="202">
        <f ca="1">IFERROR(__xludf.DUMMYFUNCTION("""COMPUTED_VALUE"""),0)</f>
        <v>0</v>
      </c>
      <c r="P176" s="202">
        <f t="shared" ca="1" si="1"/>
        <v>5124</v>
      </c>
    </row>
    <row r="177" spans="1:16" ht="12.75">
      <c r="A177" s="194" t="str">
        <f ca="1">IFERROR(__xludf.DUMMYFUNCTION("""COMPUTED_VALUE"""),"Gurupi")</f>
        <v>Gurupi</v>
      </c>
      <c r="B177" s="194" t="str">
        <f ca="1">IFERROR(__xludf.DUMMYFUNCTION("""COMPUTED_VALUE"""),"Alianca do Tocantins")</f>
        <v>Alianca do Tocantins</v>
      </c>
      <c r="C177" s="195" t="str">
        <f ca="1">IFERROR(__xludf.DUMMYFUNCTION("""COMPUTED_VALUE"""),"ASS. APOIO COL. EST. ANITA CASSIMIRO MORENO")</f>
        <v>ASS. APOIO COL. EST. ANITA CASSIMIRO MORENO</v>
      </c>
      <c r="D177" s="196" t="str">
        <f ca="1">IFERROR(__xludf.DUMMYFUNCTION("""COMPUTED_VALUE"""),"01304570000138")</f>
        <v>01304570000138</v>
      </c>
      <c r="E177" s="197" t="str">
        <f ca="1">IFERROR(__xludf.DUMMYFUNCTION("""COMPUTED_VALUE"""),"001")</f>
        <v>001</v>
      </c>
      <c r="F177" s="197" t="str">
        <f ca="1">IFERROR(__xludf.DUMMYFUNCTION("""COMPUTED_VALUE"""),"3972")</f>
        <v>3972</v>
      </c>
      <c r="G177" s="198" t="str">
        <f ca="1">IFERROR(__xludf.DUMMYFUNCTION("""COMPUTED_VALUE"""),"245984")</f>
        <v>245984</v>
      </c>
      <c r="H177" s="198">
        <f ca="1">IFERROR(__xludf.DUMMYFUNCTION("""COMPUTED_VALUE"""),0)</f>
        <v>0</v>
      </c>
      <c r="I177" s="198">
        <f ca="1">IFERROR(__xludf.DUMMYFUNCTION("""COMPUTED_VALUE"""),0)</f>
        <v>0</v>
      </c>
      <c r="J177" s="198">
        <f ca="1">IFERROR(__xludf.DUMMYFUNCTION("""COMPUTED_VALUE"""),1995)</f>
        <v>1995</v>
      </c>
      <c r="K177" s="198">
        <f ca="1">IFERROR(__xludf.DUMMYFUNCTION("""COMPUTED_VALUE"""),0)</f>
        <v>0</v>
      </c>
      <c r="L177" s="198">
        <f ca="1">IFERROR(__xludf.DUMMYFUNCTION("""COMPUTED_VALUE"""),0)</f>
        <v>0</v>
      </c>
      <c r="M177" s="198">
        <f ca="1">IFERROR(__xludf.DUMMYFUNCTION("""COMPUTED_VALUE"""),0)</f>
        <v>0</v>
      </c>
      <c r="N177" s="198">
        <f ca="1">IFERROR(__xludf.DUMMYFUNCTION("""COMPUTED_VALUE"""),3402)</f>
        <v>3402</v>
      </c>
      <c r="O177" s="198">
        <f ca="1">IFERROR(__xludf.DUMMYFUNCTION("""COMPUTED_VALUE"""),0)</f>
        <v>0</v>
      </c>
      <c r="P177" s="198">
        <f t="shared" ca="1" si="1"/>
        <v>5397</v>
      </c>
    </row>
    <row r="178" spans="1:16" ht="12.75">
      <c r="A178" s="199" t="str">
        <f ca="1">IFERROR(__xludf.DUMMYFUNCTION("""COMPUTED_VALUE"""),"Gurupi")</f>
        <v>Gurupi</v>
      </c>
      <c r="B178" s="199" t="str">
        <f ca="1">IFERROR(__xludf.DUMMYFUNCTION("""COMPUTED_VALUE"""),"Alianca do Tocantins")</f>
        <v>Alianca do Tocantins</v>
      </c>
      <c r="C178" s="145" t="str">
        <f ca="1">IFERROR(__xludf.DUMMYFUNCTION("""COMPUTED_VALUE"""),"A.A.  AO EDUCANDARIO EVANGELICO JERUSALEM")</f>
        <v>A.A.  AO EDUCANDARIO EVANGELICO JERUSALEM</v>
      </c>
      <c r="D178" s="200" t="str">
        <f ca="1">IFERROR(__xludf.DUMMYFUNCTION("""COMPUTED_VALUE"""),"03172227000102")</f>
        <v>03172227000102</v>
      </c>
      <c r="E178" s="201" t="str">
        <f ca="1">IFERROR(__xludf.DUMMYFUNCTION("""COMPUTED_VALUE"""),"001")</f>
        <v>001</v>
      </c>
      <c r="F178" s="201" t="str">
        <f ca="1">IFERROR(__xludf.DUMMYFUNCTION("""COMPUTED_VALUE"""),"3972")</f>
        <v>3972</v>
      </c>
      <c r="G178" s="202" t="str">
        <f ca="1">IFERROR(__xludf.DUMMYFUNCTION("""COMPUTED_VALUE"""),"54666")</f>
        <v>54666</v>
      </c>
      <c r="H178" s="202">
        <f ca="1">IFERROR(__xludf.DUMMYFUNCTION("""COMPUTED_VALUE"""),0)</f>
        <v>0</v>
      </c>
      <c r="I178" s="202">
        <f ca="1">IFERROR(__xludf.DUMMYFUNCTION("""COMPUTED_VALUE"""),0)</f>
        <v>0</v>
      </c>
      <c r="J178" s="202">
        <f ca="1">IFERROR(__xludf.DUMMYFUNCTION("""COMPUTED_VALUE"""),2226)</f>
        <v>2226</v>
      </c>
      <c r="K178" s="202">
        <f ca="1">IFERROR(__xludf.DUMMYFUNCTION("""COMPUTED_VALUE"""),0)</f>
        <v>0</v>
      </c>
      <c r="L178" s="202">
        <f ca="1">IFERROR(__xludf.DUMMYFUNCTION("""COMPUTED_VALUE"""),0)</f>
        <v>0</v>
      </c>
      <c r="M178" s="202">
        <f ca="1">IFERROR(__xludf.DUMMYFUNCTION("""COMPUTED_VALUE"""),0)</f>
        <v>0</v>
      </c>
      <c r="N178" s="202">
        <f ca="1">IFERROR(__xludf.DUMMYFUNCTION("""COMPUTED_VALUE"""),0)</f>
        <v>0</v>
      </c>
      <c r="O178" s="202">
        <f ca="1">IFERROR(__xludf.DUMMYFUNCTION("""COMPUTED_VALUE"""),0)</f>
        <v>0</v>
      </c>
      <c r="P178" s="202">
        <f t="shared" ca="1" si="1"/>
        <v>2226</v>
      </c>
    </row>
    <row r="179" spans="1:16" ht="12.75">
      <c r="A179" s="194" t="str">
        <f ca="1">IFERROR(__xludf.DUMMYFUNCTION("""COMPUTED_VALUE"""),"Gurupi")</f>
        <v>Gurupi</v>
      </c>
      <c r="B179" s="194" t="str">
        <f ca="1">IFERROR(__xludf.DUMMYFUNCTION("""COMPUTED_VALUE"""),"Alianca do Tocantins")</f>
        <v>Alianca do Tocantins</v>
      </c>
      <c r="C179" s="195" t="str">
        <f ca="1">IFERROR(__xludf.DUMMYFUNCTION("""COMPUTED_VALUE"""),"ASSOCIAÇÃO DE APOIO A ESCOLA ESPECIAL AMOR FRATERNAL")</f>
        <v>ASSOCIAÇÃO DE APOIO A ESCOLA ESPECIAL AMOR FRATERNAL</v>
      </c>
      <c r="D179" s="196" t="str">
        <f ca="1">IFERROR(__xludf.DUMMYFUNCTION("""COMPUTED_VALUE"""),"07953958000146")</f>
        <v>07953958000146</v>
      </c>
      <c r="E179" s="197" t="str">
        <f ca="1">IFERROR(__xludf.DUMMYFUNCTION("""COMPUTED_VALUE"""),"001")</f>
        <v>001</v>
      </c>
      <c r="F179" s="197" t="str">
        <f ca="1">IFERROR(__xludf.DUMMYFUNCTION("""COMPUTED_VALUE"""),"3972")</f>
        <v>3972</v>
      </c>
      <c r="G179" s="198" t="str">
        <f ca="1">IFERROR(__xludf.DUMMYFUNCTION("""COMPUTED_VALUE"""),"90115")</f>
        <v>90115</v>
      </c>
      <c r="H179" s="198">
        <f ca="1">IFERROR(__xludf.DUMMYFUNCTION("""COMPUTED_VALUE"""),0)</f>
        <v>0</v>
      </c>
      <c r="I179" s="198">
        <f ca="1">IFERROR(__xludf.DUMMYFUNCTION("""COMPUTED_VALUE"""),189)</f>
        <v>189</v>
      </c>
      <c r="J179" s="198">
        <f ca="1">IFERROR(__xludf.DUMMYFUNCTION("""COMPUTED_VALUE"""),0)</f>
        <v>0</v>
      </c>
      <c r="K179" s="198">
        <f ca="1">IFERROR(__xludf.DUMMYFUNCTION("""COMPUTED_VALUE"""),0)</f>
        <v>0</v>
      </c>
      <c r="L179" s="198">
        <f ca="1">IFERROR(__xludf.DUMMYFUNCTION("""COMPUTED_VALUE"""),0)</f>
        <v>0</v>
      </c>
      <c r="M179" s="198">
        <f ca="1">IFERROR(__xludf.DUMMYFUNCTION("""COMPUTED_VALUE"""),735)</f>
        <v>735</v>
      </c>
      <c r="N179" s="198">
        <f ca="1">IFERROR(__xludf.DUMMYFUNCTION("""COMPUTED_VALUE"""),0)</f>
        <v>0</v>
      </c>
      <c r="O179" s="198">
        <f ca="1">IFERROR(__xludf.DUMMYFUNCTION("""COMPUTED_VALUE"""),1386)</f>
        <v>1386</v>
      </c>
      <c r="P179" s="198">
        <f t="shared" ca="1" si="1"/>
        <v>2310</v>
      </c>
    </row>
    <row r="180" spans="1:16" ht="12.75">
      <c r="A180" s="199" t="str">
        <f ca="1">IFERROR(__xludf.DUMMYFUNCTION("""COMPUTED_VALUE"""),"Gurupi")</f>
        <v>Gurupi</v>
      </c>
      <c r="B180" s="199" t="str">
        <f ca="1">IFERROR(__xludf.DUMMYFUNCTION("""COMPUTED_VALUE"""),"Alianca do Tocantins")</f>
        <v>Alianca do Tocantins</v>
      </c>
      <c r="C180" s="145" t="str">
        <f ca="1">IFERROR(__xludf.DUMMYFUNCTION("""COMPUTED_VALUE"""),"A. PAIS E MESTRES ESC. EST.N.SRA.DO CARMO")</f>
        <v>A. PAIS E MESTRES ESC. EST.N.SRA.DO CARMO</v>
      </c>
      <c r="D180" s="200" t="str">
        <f ca="1">IFERROR(__xludf.DUMMYFUNCTION("""COMPUTED_VALUE"""),"01034192000110")</f>
        <v>01034192000110</v>
      </c>
      <c r="E180" s="201" t="str">
        <f ca="1">IFERROR(__xludf.DUMMYFUNCTION("""COMPUTED_VALUE"""),"001")</f>
        <v>001</v>
      </c>
      <c r="F180" s="201" t="str">
        <f ca="1">IFERROR(__xludf.DUMMYFUNCTION("""COMPUTED_VALUE"""),"3972")</f>
        <v>3972</v>
      </c>
      <c r="G180" s="202" t="str">
        <f ca="1">IFERROR(__xludf.DUMMYFUNCTION("""COMPUTED_VALUE"""),"243590")</f>
        <v>243590</v>
      </c>
      <c r="H180" s="202">
        <f ca="1">IFERROR(__xludf.DUMMYFUNCTION("""COMPUTED_VALUE"""),0)</f>
        <v>0</v>
      </c>
      <c r="I180" s="202">
        <f ca="1">IFERROR(__xludf.DUMMYFUNCTION("""COMPUTED_VALUE"""),0)</f>
        <v>0</v>
      </c>
      <c r="J180" s="202">
        <f ca="1">IFERROR(__xludf.DUMMYFUNCTION("""COMPUTED_VALUE"""),0)</f>
        <v>0</v>
      </c>
      <c r="K180" s="202">
        <f ca="1">IFERROR(__xludf.DUMMYFUNCTION("""COMPUTED_VALUE"""),0)</f>
        <v>0</v>
      </c>
      <c r="L180" s="202">
        <f ca="1">IFERROR(__xludf.DUMMYFUNCTION("""COMPUTED_VALUE"""),0)</f>
        <v>0</v>
      </c>
      <c r="M180" s="202">
        <f ca="1">IFERROR(__xludf.DUMMYFUNCTION("""COMPUTED_VALUE"""),462)</f>
        <v>462</v>
      </c>
      <c r="N180" s="202">
        <f ca="1">IFERROR(__xludf.DUMMYFUNCTION("""COMPUTED_VALUE"""),0)</f>
        <v>0</v>
      </c>
      <c r="O180" s="202">
        <f ca="1">IFERROR(__xludf.DUMMYFUNCTION("""COMPUTED_VALUE"""),0)</f>
        <v>0</v>
      </c>
      <c r="P180" s="202">
        <f t="shared" ca="1" si="1"/>
        <v>462</v>
      </c>
    </row>
    <row r="181" spans="1:16" ht="12.75">
      <c r="A181" s="194" t="str">
        <f ca="1">IFERROR(__xludf.DUMMYFUNCTION("""COMPUTED_VALUE"""),"Gurupi")</f>
        <v>Gurupi</v>
      </c>
      <c r="B181" s="194" t="str">
        <f ca="1">IFERROR(__xludf.DUMMYFUNCTION("""COMPUTED_VALUE"""),"Alvorada")</f>
        <v>Alvorada</v>
      </c>
      <c r="C181" s="195" t="str">
        <f ca="1">IFERROR(__xludf.DUMMYFUNCTION("""COMPUTED_VALUE"""),"ASS. APOIO COL. EST. ADJULIO BALTHAZAR")</f>
        <v>ASS. APOIO COL. EST. ADJULIO BALTHAZAR</v>
      </c>
      <c r="D181" s="196" t="str">
        <f ca="1">IFERROR(__xludf.DUMMYFUNCTION("""COMPUTED_VALUE"""),"01138432000126")</f>
        <v>01138432000126</v>
      </c>
      <c r="E181" s="197" t="str">
        <f ca="1">IFERROR(__xludf.DUMMYFUNCTION("""COMPUTED_VALUE"""),"001")</f>
        <v>001</v>
      </c>
      <c r="F181" s="197" t="str">
        <f ca="1">IFERROR(__xludf.DUMMYFUNCTION("""COMPUTED_VALUE"""),"1303")</f>
        <v>1303</v>
      </c>
      <c r="G181" s="198" t="str">
        <f ca="1">IFERROR(__xludf.DUMMYFUNCTION("""COMPUTED_VALUE"""),"103462")</f>
        <v>103462</v>
      </c>
      <c r="H181" s="198">
        <f ca="1">IFERROR(__xludf.DUMMYFUNCTION("""COMPUTED_VALUE"""),0)</f>
        <v>0</v>
      </c>
      <c r="I181" s="198">
        <f ca="1">IFERROR(__xludf.DUMMYFUNCTION("""COMPUTED_VALUE"""),0)</f>
        <v>0</v>
      </c>
      <c r="J181" s="198">
        <f ca="1">IFERROR(__xludf.DUMMYFUNCTION("""COMPUTED_VALUE"""),4746)</f>
        <v>4746</v>
      </c>
      <c r="K181" s="198">
        <f ca="1">IFERROR(__xludf.DUMMYFUNCTION("""COMPUTED_VALUE"""),0)</f>
        <v>0</v>
      </c>
      <c r="L181" s="198">
        <f ca="1">IFERROR(__xludf.DUMMYFUNCTION("""COMPUTED_VALUE"""),0)</f>
        <v>0</v>
      </c>
      <c r="M181" s="198">
        <f ca="1">IFERROR(__xludf.DUMMYFUNCTION("""COMPUTED_VALUE"""),0)</f>
        <v>0</v>
      </c>
      <c r="N181" s="198">
        <f ca="1">IFERROR(__xludf.DUMMYFUNCTION("""COMPUTED_VALUE"""),0)</f>
        <v>0</v>
      </c>
      <c r="O181" s="198">
        <f ca="1">IFERROR(__xludf.DUMMYFUNCTION("""COMPUTED_VALUE"""),0)</f>
        <v>0</v>
      </c>
      <c r="P181" s="198">
        <f t="shared" ca="1" si="1"/>
        <v>4746</v>
      </c>
    </row>
    <row r="182" spans="1:16" ht="12.75">
      <c r="A182" s="199" t="str">
        <f ca="1">IFERROR(__xludf.DUMMYFUNCTION("""COMPUTED_VALUE"""),"Gurupi")</f>
        <v>Gurupi</v>
      </c>
      <c r="B182" s="199" t="str">
        <f ca="1">IFERROR(__xludf.DUMMYFUNCTION("""COMPUTED_VALUE"""),"Alvorada")</f>
        <v>Alvorada</v>
      </c>
      <c r="C182" s="145" t="str">
        <f ca="1">IFERROR(__xludf.DUMMYFUNCTION("""COMPUTED_VALUE"""),"A.A.  COLEGIO ESTADUAL DE ALVORADA")</f>
        <v>A.A.  COLEGIO ESTADUAL DE ALVORADA</v>
      </c>
      <c r="D182" s="200" t="str">
        <f ca="1">IFERROR(__xludf.DUMMYFUNCTION("""COMPUTED_VALUE"""),"01269283000134")</f>
        <v>01269283000134</v>
      </c>
      <c r="E182" s="201" t="str">
        <f ca="1">IFERROR(__xludf.DUMMYFUNCTION("""COMPUTED_VALUE"""),"001")</f>
        <v>001</v>
      </c>
      <c r="F182" s="201" t="str">
        <f ca="1">IFERROR(__xludf.DUMMYFUNCTION("""COMPUTED_VALUE"""),"1303")</f>
        <v>1303</v>
      </c>
      <c r="G182" s="202" t="str">
        <f ca="1">IFERROR(__xludf.DUMMYFUNCTION("""COMPUTED_VALUE"""),"0088544")</f>
        <v>0088544</v>
      </c>
      <c r="H182" s="202">
        <f ca="1">IFERROR(__xludf.DUMMYFUNCTION("""COMPUTED_VALUE"""),0)</f>
        <v>0</v>
      </c>
      <c r="I182" s="202">
        <f ca="1">IFERROR(__xludf.DUMMYFUNCTION("""COMPUTED_VALUE"""),0)</f>
        <v>0</v>
      </c>
      <c r="J182" s="202">
        <f ca="1">IFERROR(__xludf.DUMMYFUNCTION("""COMPUTED_VALUE"""),0)</f>
        <v>0</v>
      </c>
      <c r="K182" s="202">
        <f ca="1">IFERROR(__xludf.DUMMYFUNCTION("""COMPUTED_VALUE"""),0)</f>
        <v>0</v>
      </c>
      <c r="L182" s="202">
        <f ca="1">IFERROR(__xludf.DUMMYFUNCTION("""COMPUTED_VALUE"""),0)</f>
        <v>0</v>
      </c>
      <c r="M182" s="202">
        <f ca="1">IFERROR(__xludf.DUMMYFUNCTION("""COMPUTED_VALUE"""),0)</f>
        <v>0</v>
      </c>
      <c r="N182" s="202">
        <f ca="1">IFERROR(__xludf.DUMMYFUNCTION("""COMPUTED_VALUE"""),6741)</f>
        <v>6741</v>
      </c>
      <c r="O182" s="202">
        <f ca="1">IFERROR(__xludf.DUMMYFUNCTION("""COMPUTED_VALUE"""),0)</f>
        <v>0</v>
      </c>
      <c r="P182" s="202">
        <f t="shared" ca="1" si="1"/>
        <v>6741</v>
      </c>
    </row>
    <row r="183" spans="1:16" ht="12.75">
      <c r="A183" s="194" t="str">
        <f ca="1">IFERROR(__xludf.DUMMYFUNCTION("""COMPUTED_VALUE"""),"Gurupi")</f>
        <v>Gurupi</v>
      </c>
      <c r="B183" s="194" t="str">
        <f ca="1">IFERROR(__xludf.DUMMYFUNCTION("""COMPUTED_VALUE"""),"Alvorada")</f>
        <v>Alvorada</v>
      </c>
      <c r="C183" s="195" t="str">
        <f ca="1">IFERROR(__xludf.DUMMYFUNCTION("""COMPUTED_VALUE"""),"A.P.A.DOS EXCEP. DE ALVORADA-APAE")</f>
        <v>A.P.A.DOS EXCEP. DE ALVORADA-APAE</v>
      </c>
      <c r="D183" s="196" t="str">
        <f ca="1">IFERROR(__xludf.DUMMYFUNCTION("""COMPUTED_VALUE"""),"02201735000109")</f>
        <v>02201735000109</v>
      </c>
      <c r="E183" s="197" t="str">
        <f ca="1">IFERROR(__xludf.DUMMYFUNCTION("""COMPUTED_VALUE"""),"001")</f>
        <v>001</v>
      </c>
      <c r="F183" s="197" t="str">
        <f ca="1">IFERROR(__xludf.DUMMYFUNCTION("""COMPUTED_VALUE"""),"1303")</f>
        <v>1303</v>
      </c>
      <c r="G183" s="198" t="str">
        <f ca="1">IFERROR(__xludf.DUMMYFUNCTION("""COMPUTED_VALUE"""),"101826")</f>
        <v>101826</v>
      </c>
      <c r="H183" s="198">
        <f ca="1">IFERROR(__xludf.DUMMYFUNCTION("""COMPUTED_VALUE"""),0)</f>
        <v>0</v>
      </c>
      <c r="I183" s="198">
        <f ca="1">IFERROR(__xludf.DUMMYFUNCTION("""COMPUTED_VALUE"""),273)</f>
        <v>273</v>
      </c>
      <c r="J183" s="198">
        <f ca="1">IFERROR(__xludf.DUMMYFUNCTION("""COMPUTED_VALUE"""),126)</f>
        <v>126</v>
      </c>
      <c r="K183" s="198">
        <f ca="1">IFERROR(__xludf.DUMMYFUNCTION("""COMPUTED_VALUE"""),0)</f>
        <v>0</v>
      </c>
      <c r="L183" s="198">
        <f ca="1">IFERROR(__xludf.DUMMYFUNCTION("""COMPUTED_VALUE"""),0)</f>
        <v>0</v>
      </c>
      <c r="M183" s="198">
        <f ca="1">IFERROR(__xludf.DUMMYFUNCTION("""COMPUTED_VALUE"""),1596)</f>
        <v>1596</v>
      </c>
      <c r="N183" s="198">
        <f ca="1">IFERROR(__xludf.DUMMYFUNCTION("""COMPUTED_VALUE"""),0)</f>
        <v>0</v>
      </c>
      <c r="O183" s="198">
        <f ca="1">IFERROR(__xludf.DUMMYFUNCTION("""COMPUTED_VALUE"""),1575)</f>
        <v>1575</v>
      </c>
      <c r="P183" s="198">
        <f t="shared" ca="1" si="1"/>
        <v>3570</v>
      </c>
    </row>
    <row r="184" spans="1:16" ht="12.75">
      <c r="A184" s="199" t="str">
        <f ca="1">IFERROR(__xludf.DUMMYFUNCTION("""COMPUTED_VALUE"""),"Gurupi")</f>
        <v>Gurupi</v>
      </c>
      <c r="B184" s="199" t="str">
        <f ca="1">IFERROR(__xludf.DUMMYFUNCTION("""COMPUTED_VALUE"""),"Alvorada")</f>
        <v>Alvorada</v>
      </c>
      <c r="C184" s="145" t="str">
        <f ca="1">IFERROR(__xludf.DUMMYFUNCTION("""COMPUTED_VALUE"""),"ASS. APOIO ESC. EST. ANA MARIA DE JESUS")</f>
        <v>ASS. APOIO ESC. EST. ANA MARIA DE JESUS</v>
      </c>
      <c r="D184" s="200" t="str">
        <f ca="1">IFERROR(__xludf.DUMMYFUNCTION("""COMPUTED_VALUE"""),"01221145000185")</f>
        <v>01221145000185</v>
      </c>
      <c r="E184" s="201" t="str">
        <f ca="1">IFERROR(__xludf.DUMMYFUNCTION("""COMPUTED_VALUE"""),"001")</f>
        <v>001</v>
      </c>
      <c r="F184" s="201" t="str">
        <f ca="1">IFERROR(__xludf.DUMMYFUNCTION("""COMPUTED_VALUE"""),"1303")</f>
        <v>1303</v>
      </c>
      <c r="G184" s="202" t="str">
        <f ca="1">IFERROR(__xludf.DUMMYFUNCTION("""COMPUTED_VALUE"""),"103691")</f>
        <v>103691</v>
      </c>
      <c r="H184" s="202">
        <f ca="1">IFERROR(__xludf.DUMMYFUNCTION("""COMPUTED_VALUE"""),0)</f>
        <v>0</v>
      </c>
      <c r="I184" s="202">
        <f ca="1">IFERROR(__xludf.DUMMYFUNCTION("""COMPUTED_VALUE"""),0)</f>
        <v>0</v>
      </c>
      <c r="J184" s="202">
        <f ca="1">IFERROR(__xludf.DUMMYFUNCTION("""COMPUTED_VALUE"""),1197)</f>
        <v>1197</v>
      </c>
      <c r="K184" s="202">
        <f ca="1">IFERROR(__xludf.DUMMYFUNCTION("""COMPUTED_VALUE"""),0)</f>
        <v>0</v>
      </c>
      <c r="L184" s="202">
        <f ca="1">IFERROR(__xludf.DUMMYFUNCTION("""COMPUTED_VALUE"""),0)</f>
        <v>0</v>
      </c>
      <c r="M184" s="202">
        <f ca="1">IFERROR(__xludf.DUMMYFUNCTION("""COMPUTED_VALUE"""),147)</f>
        <v>147</v>
      </c>
      <c r="N184" s="202">
        <f ca="1">IFERROR(__xludf.DUMMYFUNCTION("""COMPUTED_VALUE"""),0)</f>
        <v>0</v>
      </c>
      <c r="O184" s="202">
        <f ca="1">IFERROR(__xludf.DUMMYFUNCTION("""COMPUTED_VALUE"""),1953)</f>
        <v>1953</v>
      </c>
      <c r="P184" s="202">
        <f t="shared" ca="1" si="1"/>
        <v>3297</v>
      </c>
    </row>
    <row r="185" spans="1:16" ht="12.75">
      <c r="A185" s="194" t="str">
        <f ca="1">IFERROR(__xludf.DUMMYFUNCTION("""COMPUTED_VALUE"""),"Gurupi")</f>
        <v>Gurupi</v>
      </c>
      <c r="B185" s="194" t="str">
        <f ca="1">IFERROR(__xludf.DUMMYFUNCTION("""COMPUTED_VALUE"""),"Araguacu")</f>
        <v>Araguacu</v>
      </c>
      <c r="C185" s="195" t="str">
        <f ca="1">IFERROR(__xludf.DUMMYFUNCTION("""COMPUTED_VALUE"""),"ASS. APOIO ESC. EST. JOAO TAVARES MARTINS")</f>
        <v>ASS. APOIO ESC. EST. JOAO TAVARES MARTINS</v>
      </c>
      <c r="D185" s="196" t="str">
        <f ca="1">IFERROR(__xludf.DUMMYFUNCTION("""COMPUTED_VALUE"""),"01133707000139")</f>
        <v>01133707000139</v>
      </c>
      <c r="E185" s="197" t="str">
        <f ca="1">IFERROR(__xludf.DUMMYFUNCTION("""COMPUTED_VALUE"""),"001")</f>
        <v>001</v>
      </c>
      <c r="F185" s="197" t="str">
        <f ca="1">IFERROR(__xludf.DUMMYFUNCTION("""COMPUTED_VALUE"""),"1304")</f>
        <v>1304</v>
      </c>
      <c r="G185" s="198" t="str">
        <f ca="1">IFERROR(__xludf.DUMMYFUNCTION("""COMPUTED_VALUE"""),"112542")</f>
        <v>112542</v>
      </c>
      <c r="H185" s="198">
        <f ca="1">IFERROR(__xludf.DUMMYFUNCTION("""COMPUTED_VALUE"""),0)</f>
        <v>0</v>
      </c>
      <c r="I185" s="198">
        <f ca="1">IFERROR(__xludf.DUMMYFUNCTION("""COMPUTED_VALUE"""),0)</f>
        <v>0</v>
      </c>
      <c r="J185" s="198">
        <f ca="1">IFERROR(__xludf.DUMMYFUNCTION("""COMPUTED_VALUE"""),0)</f>
        <v>0</v>
      </c>
      <c r="K185" s="198">
        <f ca="1">IFERROR(__xludf.DUMMYFUNCTION("""COMPUTED_VALUE"""),0)</f>
        <v>0</v>
      </c>
      <c r="L185" s="198">
        <f ca="1">IFERROR(__xludf.DUMMYFUNCTION("""COMPUTED_VALUE"""),0)</f>
        <v>0</v>
      </c>
      <c r="M185" s="198">
        <f ca="1">IFERROR(__xludf.DUMMYFUNCTION("""COMPUTED_VALUE"""),0)</f>
        <v>0</v>
      </c>
      <c r="N185" s="198">
        <f ca="1">IFERROR(__xludf.DUMMYFUNCTION("""COMPUTED_VALUE"""),6090)</f>
        <v>6090</v>
      </c>
      <c r="O185" s="198">
        <f ca="1">IFERROR(__xludf.DUMMYFUNCTION("""COMPUTED_VALUE"""),0)</f>
        <v>0</v>
      </c>
      <c r="P185" s="198">
        <f t="shared" ca="1" si="1"/>
        <v>6090</v>
      </c>
    </row>
    <row r="186" spans="1:16" ht="12.75">
      <c r="A186" s="199" t="str">
        <f ca="1">IFERROR(__xludf.DUMMYFUNCTION("""COMPUTED_VALUE"""),"Gurupi")</f>
        <v>Gurupi</v>
      </c>
      <c r="B186" s="199" t="str">
        <f ca="1">IFERROR(__xludf.DUMMYFUNCTION("""COMPUTED_VALUE"""),"Araguacu")</f>
        <v>Araguacu</v>
      </c>
      <c r="C186" s="145" t="str">
        <f ca="1">IFERROR(__xludf.DUMMYFUNCTION("""COMPUTED_VALUE"""),"A..A. ESC. ESPECIAL  ABELINHA EM BUSCA DO SABER")</f>
        <v>A..A. ESC. ESPECIAL  ABELINHA EM BUSCA DO SABER</v>
      </c>
      <c r="D186" s="200" t="str">
        <f ca="1">IFERROR(__xludf.DUMMYFUNCTION("""COMPUTED_VALUE"""),"07924466000122")</f>
        <v>07924466000122</v>
      </c>
      <c r="E186" s="201" t="str">
        <f ca="1">IFERROR(__xludf.DUMMYFUNCTION("""COMPUTED_VALUE"""),"001")</f>
        <v>001</v>
      </c>
      <c r="F186" s="201" t="str">
        <f ca="1">IFERROR(__xludf.DUMMYFUNCTION("""COMPUTED_VALUE"""),"1304")</f>
        <v>1304</v>
      </c>
      <c r="G186" s="202" t="str">
        <f ca="1">IFERROR(__xludf.DUMMYFUNCTION("""COMPUTED_VALUE"""),"136417")</f>
        <v>136417</v>
      </c>
      <c r="H186" s="202">
        <f ca="1">IFERROR(__xludf.DUMMYFUNCTION("""COMPUTED_VALUE"""),0)</f>
        <v>0</v>
      </c>
      <c r="I186" s="202">
        <f ca="1">IFERROR(__xludf.DUMMYFUNCTION("""COMPUTED_VALUE"""),84)</f>
        <v>84</v>
      </c>
      <c r="J186" s="202">
        <f ca="1">IFERROR(__xludf.DUMMYFUNCTION("""COMPUTED_VALUE"""),126)</f>
        <v>126</v>
      </c>
      <c r="K186" s="202">
        <f ca="1">IFERROR(__xludf.DUMMYFUNCTION("""COMPUTED_VALUE"""),0)</f>
        <v>0</v>
      </c>
      <c r="L186" s="202">
        <f ca="1">IFERROR(__xludf.DUMMYFUNCTION("""COMPUTED_VALUE"""),0)</f>
        <v>0</v>
      </c>
      <c r="M186" s="202">
        <f ca="1">IFERROR(__xludf.DUMMYFUNCTION("""COMPUTED_VALUE"""),1659)</f>
        <v>1659</v>
      </c>
      <c r="N186" s="202">
        <f ca="1">IFERROR(__xludf.DUMMYFUNCTION("""COMPUTED_VALUE"""),0)</f>
        <v>0</v>
      </c>
      <c r="O186" s="202">
        <f ca="1">IFERROR(__xludf.DUMMYFUNCTION("""COMPUTED_VALUE"""),1449)</f>
        <v>1449</v>
      </c>
      <c r="P186" s="202">
        <f t="shared" ca="1" si="1"/>
        <v>3318</v>
      </c>
    </row>
    <row r="187" spans="1:16" ht="12.75">
      <c r="A187" s="194" t="str">
        <f ca="1">IFERROR(__xludf.DUMMYFUNCTION("""COMPUTED_VALUE"""),"Gurupi")</f>
        <v>Gurupi</v>
      </c>
      <c r="B187" s="194" t="str">
        <f ca="1">IFERROR(__xludf.DUMMYFUNCTION("""COMPUTED_VALUE"""),"Araguacu")</f>
        <v>Araguacu</v>
      </c>
      <c r="C187" s="195" t="str">
        <f ca="1">IFERROR(__xludf.DUMMYFUNCTION("""COMPUTED_VALUE"""),"ASS. APOIO ESC. EST. SALVADOR CAETANO")</f>
        <v>ASS. APOIO ESC. EST. SALVADOR CAETANO</v>
      </c>
      <c r="D187" s="196" t="str">
        <f ca="1">IFERROR(__xludf.DUMMYFUNCTION("""COMPUTED_VALUE"""),"01341484000103")</f>
        <v>01341484000103</v>
      </c>
      <c r="E187" s="197" t="str">
        <f ca="1">IFERROR(__xludf.DUMMYFUNCTION("""COMPUTED_VALUE"""),"001")</f>
        <v>001</v>
      </c>
      <c r="F187" s="197" t="str">
        <f ca="1">IFERROR(__xludf.DUMMYFUNCTION("""COMPUTED_VALUE"""),"1304")</f>
        <v>1304</v>
      </c>
      <c r="G187" s="198" t="str">
        <f ca="1">IFERROR(__xludf.DUMMYFUNCTION("""COMPUTED_VALUE"""),"0105589")</f>
        <v>0105589</v>
      </c>
      <c r="H187" s="198">
        <f ca="1">IFERROR(__xludf.DUMMYFUNCTION("""COMPUTED_VALUE"""),0)</f>
        <v>0</v>
      </c>
      <c r="I187" s="198">
        <f ca="1">IFERROR(__xludf.DUMMYFUNCTION("""COMPUTED_VALUE"""),0)</f>
        <v>0</v>
      </c>
      <c r="J187" s="198">
        <f ca="1">IFERROR(__xludf.DUMMYFUNCTION("""COMPUTED_VALUE"""),4998)</f>
        <v>4998</v>
      </c>
      <c r="K187" s="198">
        <f ca="1">IFERROR(__xludf.DUMMYFUNCTION("""COMPUTED_VALUE"""),0)</f>
        <v>0</v>
      </c>
      <c r="L187" s="198">
        <f ca="1">IFERROR(__xludf.DUMMYFUNCTION("""COMPUTED_VALUE"""),0)</f>
        <v>0</v>
      </c>
      <c r="M187" s="198">
        <f ca="1">IFERROR(__xludf.DUMMYFUNCTION("""COMPUTED_VALUE"""),546)</f>
        <v>546</v>
      </c>
      <c r="N187" s="198">
        <f ca="1">IFERROR(__xludf.DUMMYFUNCTION("""COMPUTED_VALUE"""),0)</f>
        <v>0</v>
      </c>
      <c r="O187" s="198">
        <f ca="1">IFERROR(__xludf.DUMMYFUNCTION("""COMPUTED_VALUE"""),0)</f>
        <v>0</v>
      </c>
      <c r="P187" s="198">
        <f t="shared" ca="1" si="1"/>
        <v>5544</v>
      </c>
    </row>
    <row r="188" spans="1:16" ht="12.75">
      <c r="A188" s="199" t="str">
        <f ca="1">IFERROR(__xludf.DUMMYFUNCTION("""COMPUTED_VALUE"""),"Gurupi")</f>
        <v>Gurupi</v>
      </c>
      <c r="B188" s="199" t="str">
        <f ca="1">IFERROR(__xludf.DUMMYFUNCTION("""COMPUTED_VALUE"""),"Cariri do Tocantins")</f>
        <v>Cariri do Tocantins</v>
      </c>
      <c r="C188" s="145" t="str">
        <f ca="1">IFERROR(__xludf.DUMMYFUNCTION("""COMPUTED_VALUE"""),"ASS. APOIO ESCOLA ESTADUAL TARSO DUTRA")</f>
        <v>ASS. APOIO ESCOLA ESTADUAL TARSO DUTRA</v>
      </c>
      <c r="D188" s="200" t="str">
        <f ca="1">IFERROR(__xludf.DUMMYFUNCTION("""COMPUTED_VALUE"""),"01239275000145")</f>
        <v>01239275000145</v>
      </c>
      <c r="E188" s="201" t="str">
        <f ca="1">IFERROR(__xludf.DUMMYFUNCTION("""COMPUTED_VALUE"""),"001")</f>
        <v>001</v>
      </c>
      <c r="F188" s="201" t="str">
        <f ca="1">IFERROR(__xludf.DUMMYFUNCTION("""COMPUTED_VALUE"""),"0794")</f>
        <v>0794</v>
      </c>
      <c r="G188" s="202" t="str">
        <f ca="1">IFERROR(__xludf.DUMMYFUNCTION("""COMPUTED_VALUE"""),"245496")</f>
        <v>245496</v>
      </c>
      <c r="H188" s="202">
        <f ca="1">IFERROR(__xludf.DUMMYFUNCTION("""COMPUTED_VALUE"""),0)</f>
        <v>0</v>
      </c>
      <c r="I188" s="202">
        <f ca="1">IFERROR(__xludf.DUMMYFUNCTION("""COMPUTED_VALUE"""),0)</f>
        <v>0</v>
      </c>
      <c r="J188" s="202">
        <f ca="1">IFERROR(__xludf.DUMMYFUNCTION("""COMPUTED_VALUE"""),1449)</f>
        <v>1449</v>
      </c>
      <c r="K188" s="202">
        <f ca="1">IFERROR(__xludf.DUMMYFUNCTION("""COMPUTED_VALUE"""),0)</f>
        <v>0</v>
      </c>
      <c r="L188" s="202">
        <f ca="1">IFERROR(__xludf.DUMMYFUNCTION("""COMPUTED_VALUE"""),0)</f>
        <v>0</v>
      </c>
      <c r="M188" s="202">
        <f ca="1">IFERROR(__xludf.DUMMYFUNCTION("""COMPUTED_VALUE"""),0)</f>
        <v>0</v>
      </c>
      <c r="N188" s="202">
        <f ca="1">IFERROR(__xludf.DUMMYFUNCTION("""COMPUTED_VALUE"""),3381)</f>
        <v>3381</v>
      </c>
      <c r="O188" s="202">
        <f ca="1">IFERROR(__xludf.DUMMYFUNCTION("""COMPUTED_VALUE"""),609)</f>
        <v>609</v>
      </c>
      <c r="P188" s="202">
        <f t="shared" ca="1" si="1"/>
        <v>5439</v>
      </c>
    </row>
    <row r="189" spans="1:16" ht="12.75">
      <c r="A189" s="194" t="str">
        <f ca="1">IFERROR(__xludf.DUMMYFUNCTION("""COMPUTED_VALUE"""),"Gurupi")</f>
        <v>Gurupi</v>
      </c>
      <c r="B189" s="194" t="str">
        <f ca="1">IFERROR(__xludf.DUMMYFUNCTION("""COMPUTED_VALUE"""),"Crixas do Tocantins")</f>
        <v>Crixas do Tocantins</v>
      </c>
      <c r="C189" s="195" t="str">
        <f ca="1">IFERROR(__xludf.DUMMYFUNCTION("""COMPUTED_VALUE"""),"ASSOC. DE AP. DA ESC. EST. OLAVO BILAC")</f>
        <v>ASSOC. DE AP. DA ESC. EST. OLAVO BILAC</v>
      </c>
      <c r="D189" s="196" t="str">
        <f ca="1">IFERROR(__xludf.DUMMYFUNCTION("""COMPUTED_VALUE"""),"01892440000163")</f>
        <v>01892440000163</v>
      </c>
      <c r="E189" s="197" t="str">
        <f ca="1">IFERROR(__xludf.DUMMYFUNCTION("""COMPUTED_VALUE"""),"001")</f>
        <v>001</v>
      </c>
      <c r="F189" s="197" t="str">
        <f ca="1">IFERROR(__xludf.DUMMYFUNCTION("""COMPUTED_VALUE"""),"0794")</f>
        <v>0794</v>
      </c>
      <c r="G189" s="198" t="str">
        <f ca="1">IFERROR(__xludf.DUMMYFUNCTION("""COMPUTED_VALUE"""),"13498")</f>
        <v>13498</v>
      </c>
      <c r="H189" s="198">
        <f ca="1">IFERROR(__xludf.DUMMYFUNCTION("""COMPUTED_VALUE"""),0)</f>
        <v>0</v>
      </c>
      <c r="I189" s="198">
        <f ca="1">IFERROR(__xludf.DUMMYFUNCTION("""COMPUTED_VALUE"""),0)</f>
        <v>0</v>
      </c>
      <c r="J189" s="198">
        <f ca="1">IFERROR(__xludf.DUMMYFUNCTION("""COMPUTED_VALUE"""),1218)</f>
        <v>1218</v>
      </c>
      <c r="K189" s="198">
        <f ca="1">IFERROR(__xludf.DUMMYFUNCTION("""COMPUTED_VALUE"""),0)</f>
        <v>0</v>
      </c>
      <c r="L189" s="198">
        <f ca="1">IFERROR(__xludf.DUMMYFUNCTION("""COMPUTED_VALUE"""),0)</f>
        <v>0</v>
      </c>
      <c r="M189" s="198">
        <f ca="1">IFERROR(__xludf.DUMMYFUNCTION("""COMPUTED_VALUE"""),0)</f>
        <v>0</v>
      </c>
      <c r="N189" s="198">
        <f ca="1">IFERROR(__xludf.DUMMYFUNCTION("""COMPUTED_VALUE"""),1239)</f>
        <v>1239</v>
      </c>
      <c r="O189" s="198">
        <f ca="1">IFERROR(__xludf.DUMMYFUNCTION("""COMPUTED_VALUE"""),0)</f>
        <v>0</v>
      </c>
      <c r="P189" s="198">
        <f t="shared" ca="1" si="1"/>
        <v>2457</v>
      </c>
    </row>
    <row r="190" spans="1:16" ht="12.75">
      <c r="A190" s="199" t="str">
        <f ca="1">IFERROR(__xludf.DUMMYFUNCTION("""COMPUTED_VALUE"""),"Gurupi")</f>
        <v>Gurupi</v>
      </c>
      <c r="B190" s="199" t="str">
        <f ca="1">IFERROR(__xludf.DUMMYFUNCTION("""COMPUTED_VALUE"""),"Duere")</f>
        <v>Duere</v>
      </c>
      <c r="C190" s="145" t="str">
        <f ca="1">IFERROR(__xludf.DUMMYFUNCTION("""COMPUTED_VALUE"""),"A.P.MESTRES DA ESCOLA EST.ELESBAO LIMA")</f>
        <v>A.P.MESTRES DA ESCOLA EST.ELESBAO LIMA</v>
      </c>
      <c r="D190" s="200" t="str">
        <f ca="1">IFERROR(__xludf.DUMMYFUNCTION("""COMPUTED_VALUE"""),"01865387000101")</f>
        <v>01865387000101</v>
      </c>
      <c r="E190" s="201" t="str">
        <f ca="1">IFERROR(__xludf.DUMMYFUNCTION("""COMPUTED_VALUE"""),"001")</f>
        <v>001</v>
      </c>
      <c r="F190" s="201" t="str">
        <f ca="1">IFERROR(__xludf.DUMMYFUNCTION("""COMPUTED_VALUE"""),"0794")</f>
        <v>0794</v>
      </c>
      <c r="G190" s="202" t="str">
        <f ca="1">IFERROR(__xludf.DUMMYFUNCTION("""COMPUTED_VALUE"""),"6758X")</f>
        <v>6758X</v>
      </c>
      <c r="H190" s="202">
        <f ca="1">IFERROR(__xludf.DUMMYFUNCTION("""COMPUTED_VALUE"""),0)</f>
        <v>0</v>
      </c>
      <c r="I190" s="202">
        <f ca="1">IFERROR(__xludf.DUMMYFUNCTION("""COMPUTED_VALUE"""),0)</f>
        <v>0</v>
      </c>
      <c r="J190" s="202">
        <f ca="1">IFERROR(__xludf.DUMMYFUNCTION("""COMPUTED_VALUE"""),6279)</f>
        <v>6279</v>
      </c>
      <c r="K190" s="202">
        <f ca="1">IFERROR(__xludf.DUMMYFUNCTION("""COMPUTED_VALUE"""),0)</f>
        <v>0</v>
      </c>
      <c r="L190" s="202">
        <f ca="1">IFERROR(__xludf.DUMMYFUNCTION("""COMPUTED_VALUE"""),0)</f>
        <v>0</v>
      </c>
      <c r="M190" s="202">
        <f ca="1">IFERROR(__xludf.DUMMYFUNCTION("""COMPUTED_VALUE"""),462)</f>
        <v>462</v>
      </c>
      <c r="N190" s="202">
        <f ca="1">IFERROR(__xludf.DUMMYFUNCTION("""COMPUTED_VALUE"""),3045)</f>
        <v>3045</v>
      </c>
      <c r="O190" s="202">
        <f ca="1">IFERROR(__xludf.DUMMYFUNCTION("""COMPUTED_VALUE"""),0)</f>
        <v>0</v>
      </c>
      <c r="P190" s="202">
        <f t="shared" ca="1" si="1"/>
        <v>9786</v>
      </c>
    </row>
    <row r="191" spans="1:16" ht="12.75">
      <c r="A191" s="194" t="str">
        <f ca="1">IFERROR(__xludf.DUMMYFUNCTION("""COMPUTED_VALUE"""),"Gurupi")</f>
        <v>Gurupi</v>
      </c>
      <c r="B191" s="194" t="str">
        <f ca="1">IFERROR(__xludf.DUMMYFUNCTION("""COMPUTED_VALUE"""),"Figueiropolis")</f>
        <v>Figueiropolis</v>
      </c>
      <c r="C191" s="195" t="str">
        <f ca="1">IFERROR(__xludf.DUMMYFUNCTION("""COMPUTED_VALUE"""),"A. APOIO COL. EST. ALAIR SENA CONCEICAO")</f>
        <v>A. APOIO COL. EST. ALAIR SENA CONCEICAO</v>
      </c>
      <c r="D191" s="196" t="str">
        <f ca="1">IFERROR(__xludf.DUMMYFUNCTION("""COMPUTED_VALUE"""),"01257080000128")</f>
        <v>01257080000128</v>
      </c>
      <c r="E191" s="197" t="str">
        <f ca="1">IFERROR(__xludf.DUMMYFUNCTION("""COMPUTED_VALUE"""),"001")</f>
        <v>001</v>
      </c>
      <c r="F191" s="197" t="str">
        <f ca="1">IFERROR(__xludf.DUMMYFUNCTION("""COMPUTED_VALUE"""),"3978")</f>
        <v>3978</v>
      </c>
      <c r="G191" s="198" t="str">
        <f ca="1">IFERROR(__xludf.DUMMYFUNCTION("""COMPUTED_VALUE"""),"52639")</f>
        <v>52639</v>
      </c>
      <c r="H191" s="198">
        <f ca="1">IFERROR(__xludf.DUMMYFUNCTION("""COMPUTED_VALUE"""),0)</f>
        <v>0</v>
      </c>
      <c r="I191" s="198">
        <f ca="1">IFERROR(__xludf.DUMMYFUNCTION("""COMPUTED_VALUE"""),0)</f>
        <v>0</v>
      </c>
      <c r="J191" s="198">
        <f ca="1">IFERROR(__xludf.DUMMYFUNCTION("""COMPUTED_VALUE"""),0)</f>
        <v>0</v>
      </c>
      <c r="K191" s="198">
        <f ca="1">IFERROR(__xludf.DUMMYFUNCTION("""COMPUTED_VALUE"""),0)</f>
        <v>0</v>
      </c>
      <c r="L191" s="198">
        <f ca="1">IFERROR(__xludf.DUMMYFUNCTION("""COMPUTED_VALUE"""),0)</f>
        <v>0</v>
      </c>
      <c r="M191" s="198">
        <f ca="1">IFERROR(__xludf.DUMMYFUNCTION("""COMPUTED_VALUE"""),0)</f>
        <v>0</v>
      </c>
      <c r="N191" s="198">
        <f ca="1">IFERROR(__xludf.DUMMYFUNCTION("""COMPUTED_VALUE"""),3612)</f>
        <v>3612</v>
      </c>
      <c r="O191" s="198">
        <f ca="1">IFERROR(__xludf.DUMMYFUNCTION("""COMPUTED_VALUE"""),0)</f>
        <v>0</v>
      </c>
      <c r="P191" s="198">
        <f t="shared" ca="1" si="1"/>
        <v>3612</v>
      </c>
    </row>
    <row r="192" spans="1:16" ht="12.75">
      <c r="A192" s="199" t="str">
        <f ca="1">IFERROR(__xludf.DUMMYFUNCTION("""COMPUTED_VALUE"""),"Gurupi")</f>
        <v>Gurupi</v>
      </c>
      <c r="B192" s="199" t="str">
        <f ca="1">IFERROR(__xludf.DUMMYFUNCTION("""COMPUTED_VALUE"""),"Figueiropolis")</f>
        <v>Figueiropolis</v>
      </c>
      <c r="C192" s="145" t="str">
        <f ca="1">IFERROR(__xludf.DUMMYFUNCTION("""COMPUTED_VALUE"""),"A. APOIO COLEGIO EST. CANDIDO FIGUEIRA")</f>
        <v>A. APOIO COLEGIO EST. CANDIDO FIGUEIRA</v>
      </c>
      <c r="D192" s="200" t="str">
        <f ca="1">IFERROR(__xludf.DUMMYFUNCTION("""COMPUTED_VALUE"""),"01262902000169")</f>
        <v>01262902000169</v>
      </c>
      <c r="E192" s="201" t="str">
        <f ca="1">IFERROR(__xludf.DUMMYFUNCTION("""COMPUTED_VALUE"""),"001")</f>
        <v>001</v>
      </c>
      <c r="F192" s="201" t="str">
        <f ca="1">IFERROR(__xludf.DUMMYFUNCTION("""COMPUTED_VALUE"""),"3978")</f>
        <v>3978</v>
      </c>
      <c r="G192" s="202" t="str">
        <f ca="1">IFERROR(__xludf.DUMMYFUNCTION("""COMPUTED_VALUE"""),"4802X")</f>
        <v>4802X</v>
      </c>
      <c r="H192" s="202">
        <f ca="1">IFERROR(__xludf.DUMMYFUNCTION("""COMPUTED_VALUE"""),0)</f>
        <v>0</v>
      </c>
      <c r="I192" s="202">
        <f ca="1">IFERROR(__xludf.DUMMYFUNCTION("""COMPUTED_VALUE"""),0)</f>
        <v>0</v>
      </c>
      <c r="J192" s="202">
        <f ca="1">IFERROR(__xludf.DUMMYFUNCTION("""COMPUTED_VALUE"""),7098)</f>
        <v>7098</v>
      </c>
      <c r="K192" s="202">
        <f ca="1">IFERROR(__xludf.DUMMYFUNCTION("""COMPUTED_VALUE"""),0)</f>
        <v>0</v>
      </c>
      <c r="L192" s="202">
        <f ca="1">IFERROR(__xludf.DUMMYFUNCTION("""COMPUTED_VALUE"""),0)</f>
        <v>0</v>
      </c>
      <c r="M192" s="202">
        <f ca="1">IFERROR(__xludf.DUMMYFUNCTION("""COMPUTED_VALUE"""),231)</f>
        <v>231</v>
      </c>
      <c r="N192" s="202">
        <f ca="1">IFERROR(__xludf.DUMMYFUNCTION("""COMPUTED_VALUE"""),0)</f>
        <v>0</v>
      </c>
      <c r="O192" s="202">
        <f ca="1">IFERROR(__xludf.DUMMYFUNCTION("""COMPUTED_VALUE"""),0)</f>
        <v>0</v>
      </c>
      <c r="P192" s="202">
        <f t="shared" ca="1" si="1"/>
        <v>7329</v>
      </c>
    </row>
    <row r="193" spans="1:16" ht="12.75">
      <c r="A193" s="194" t="str">
        <f ca="1">IFERROR(__xludf.DUMMYFUNCTION("""COMPUTED_VALUE"""),"Gurupi")</f>
        <v>Gurupi</v>
      </c>
      <c r="B193" s="194" t="str">
        <f ca="1">IFERROR(__xludf.DUMMYFUNCTION("""COMPUTED_VALUE"""),"Formoso do Araguaia")</f>
        <v>Formoso do Araguaia</v>
      </c>
      <c r="C193" s="195" t="str">
        <f ca="1">IFERROR(__xludf.DUMMYFUNCTION("""COMPUTED_VALUE"""),"A.P.E MESTRES DA E. E.BENEDITO P.BANDEIRA")</f>
        <v>A.P.E MESTRES DA E. E.BENEDITO P.BANDEIRA</v>
      </c>
      <c r="D193" s="196" t="str">
        <f ca="1">IFERROR(__xludf.DUMMYFUNCTION("""COMPUTED_VALUE"""),"01136026000124")</f>
        <v>01136026000124</v>
      </c>
      <c r="E193" s="197" t="str">
        <f ca="1">IFERROR(__xludf.DUMMYFUNCTION("""COMPUTED_VALUE"""),"001")</f>
        <v>001</v>
      </c>
      <c r="F193" s="197" t="str">
        <f ca="1">IFERROR(__xludf.DUMMYFUNCTION("""COMPUTED_VALUE"""),"3123")</f>
        <v>3123</v>
      </c>
      <c r="G193" s="198" t="str">
        <f ca="1">IFERROR(__xludf.DUMMYFUNCTION("""COMPUTED_VALUE"""),"0303240")</f>
        <v>0303240</v>
      </c>
      <c r="H193" s="198">
        <f ca="1">IFERROR(__xludf.DUMMYFUNCTION("""COMPUTED_VALUE"""),0)</f>
        <v>0</v>
      </c>
      <c r="I193" s="198">
        <f ca="1">IFERROR(__xludf.DUMMYFUNCTION("""COMPUTED_VALUE"""),0)</f>
        <v>0</v>
      </c>
      <c r="J193" s="198">
        <f ca="1">IFERROR(__xludf.DUMMYFUNCTION("""COMPUTED_VALUE"""),2079)</f>
        <v>2079</v>
      </c>
      <c r="K193" s="198">
        <f ca="1">IFERROR(__xludf.DUMMYFUNCTION("""COMPUTED_VALUE"""),0)</f>
        <v>0</v>
      </c>
      <c r="L193" s="198">
        <f ca="1">IFERROR(__xludf.DUMMYFUNCTION("""COMPUTED_VALUE"""),0)</f>
        <v>0</v>
      </c>
      <c r="M193" s="198">
        <f ca="1">IFERROR(__xludf.DUMMYFUNCTION("""COMPUTED_VALUE"""),0)</f>
        <v>0</v>
      </c>
      <c r="N193" s="198">
        <f ca="1">IFERROR(__xludf.DUMMYFUNCTION("""COMPUTED_VALUE"""),1785)</f>
        <v>1785</v>
      </c>
      <c r="O193" s="198">
        <f ca="1">IFERROR(__xludf.DUMMYFUNCTION("""COMPUTED_VALUE"""),0)</f>
        <v>0</v>
      </c>
      <c r="P193" s="198">
        <f t="shared" ca="1" si="1"/>
        <v>3864</v>
      </c>
    </row>
    <row r="194" spans="1:16" ht="12.75">
      <c r="A194" s="199" t="str">
        <f ca="1">IFERROR(__xludf.DUMMYFUNCTION("""COMPUTED_VALUE"""),"Gurupi")</f>
        <v>Gurupi</v>
      </c>
      <c r="B194" s="199" t="str">
        <f ca="1">IFERROR(__xludf.DUMMYFUNCTION("""COMPUTED_VALUE"""),"Formoso do Araguaia")</f>
        <v>Formoso do Araguaia</v>
      </c>
      <c r="C194" s="145" t="str">
        <f ca="1">IFERROR(__xludf.DUMMYFUNCTION("""COMPUTED_VALUE"""),"A.A. COLEGIO ESTADUAL TIRADENTES")</f>
        <v>A.A. COLEGIO ESTADUAL TIRADENTES</v>
      </c>
      <c r="D194" s="200" t="str">
        <f ca="1">IFERROR(__xludf.DUMMYFUNCTION("""COMPUTED_VALUE"""),"01263350000103")</f>
        <v>01263350000103</v>
      </c>
      <c r="E194" s="201" t="str">
        <f ca="1">IFERROR(__xludf.DUMMYFUNCTION("""COMPUTED_VALUE"""),"001")</f>
        <v>001</v>
      </c>
      <c r="F194" s="201" t="str">
        <f ca="1">IFERROR(__xludf.DUMMYFUNCTION("""COMPUTED_VALUE"""),"3123")</f>
        <v>3123</v>
      </c>
      <c r="G194" s="202" t="str">
        <f ca="1">IFERROR(__xludf.DUMMYFUNCTION("""COMPUTED_VALUE"""),"302988")</f>
        <v>302988</v>
      </c>
      <c r="H194" s="202">
        <f ca="1">IFERROR(__xludf.DUMMYFUNCTION("""COMPUTED_VALUE"""),0)</f>
        <v>0</v>
      </c>
      <c r="I194" s="202">
        <f ca="1">IFERROR(__xludf.DUMMYFUNCTION("""COMPUTED_VALUE"""),0)</f>
        <v>0</v>
      </c>
      <c r="J194" s="202">
        <f ca="1">IFERROR(__xludf.DUMMYFUNCTION("""COMPUTED_VALUE"""),0)</f>
        <v>0</v>
      </c>
      <c r="K194" s="202">
        <f ca="1">IFERROR(__xludf.DUMMYFUNCTION("""COMPUTED_VALUE"""),0)</f>
        <v>0</v>
      </c>
      <c r="L194" s="202">
        <f ca="1">IFERROR(__xludf.DUMMYFUNCTION("""COMPUTED_VALUE"""),0)</f>
        <v>0</v>
      </c>
      <c r="M194" s="202">
        <f ca="1">IFERROR(__xludf.DUMMYFUNCTION("""COMPUTED_VALUE"""),0)</f>
        <v>0</v>
      </c>
      <c r="N194" s="202">
        <f ca="1">IFERROR(__xludf.DUMMYFUNCTION("""COMPUTED_VALUE"""),5376)</f>
        <v>5376</v>
      </c>
      <c r="O194" s="202">
        <f ca="1">IFERROR(__xludf.DUMMYFUNCTION("""COMPUTED_VALUE"""),0)</f>
        <v>0</v>
      </c>
      <c r="P194" s="202">
        <f t="shared" ca="1" si="1"/>
        <v>5376</v>
      </c>
    </row>
    <row r="195" spans="1:16" ht="12.75">
      <c r="A195" s="194" t="str">
        <f ca="1">IFERROR(__xludf.DUMMYFUNCTION("""COMPUTED_VALUE"""),"Gurupi")</f>
        <v>Gurupi</v>
      </c>
      <c r="B195" s="194" t="str">
        <f ca="1">IFERROR(__xludf.DUMMYFUNCTION("""COMPUTED_VALUE"""),"Formoso do Araguaia")</f>
        <v>Formoso do Araguaia</v>
      </c>
      <c r="C195" s="195" t="str">
        <f ca="1">IFERROR(__xludf.DUMMYFUNCTION("""COMPUTED_VALUE"""),"A.A. ESC ESPECIAL ANJO DA GUARDA")</f>
        <v>A.A. ESC ESPECIAL ANJO DA GUARDA</v>
      </c>
      <c r="D195" s="196" t="str">
        <f ca="1">IFERROR(__xludf.DUMMYFUNCTION("""COMPUTED_VALUE"""),"17617389000111")</f>
        <v>17617389000111</v>
      </c>
      <c r="E195" s="197" t="str">
        <f ca="1">IFERROR(__xludf.DUMMYFUNCTION("""COMPUTED_VALUE"""),"001")</f>
        <v>001</v>
      </c>
      <c r="F195" s="197" t="str">
        <f ca="1">IFERROR(__xludf.DUMMYFUNCTION("""COMPUTED_VALUE"""),"3123")</f>
        <v>3123</v>
      </c>
      <c r="G195" s="198" t="str">
        <f ca="1">IFERROR(__xludf.DUMMYFUNCTION("""COMPUTED_VALUE"""),"168211")</f>
        <v>168211</v>
      </c>
      <c r="H195" s="198">
        <f ca="1">IFERROR(__xludf.DUMMYFUNCTION("""COMPUTED_VALUE"""),0)</f>
        <v>0</v>
      </c>
      <c r="I195" s="198">
        <f ca="1">IFERROR(__xludf.DUMMYFUNCTION("""COMPUTED_VALUE"""),0)</f>
        <v>0</v>
      </c>
      <c r="J195" s="198">
        <f ca="1">IFERROR(__xludf.DUMMYFUNCTION("""COMPUTED_VALUE"""),588)</f>
        <v>588</v>
      </c>
      <c r="K195" s="198">
        <f ca="1">IFERROR(__xludf.DUMMYFUNCTION("""COMPUTED_VALUE"""),0)</f>
        <v>0</v>
      </c>
      <c r="L195" s="198">
        <f ca="1">IFERROR(__xludf.DUMMYFUNCTION("""COMPUTED_VALUE"""),0)</f>
        <v>0</v>
      </c>
      <c r="M195" s="198">
        <f ca="1">IFERROR(__xludf.DUMMYFUNCTION("""COMPUTED_VALUE"""),735)</f>
        <v>735</v>
      </c>
      <c r="N195" s="198">
        <f ca="1">IFERROR(__xludf.DUMMYFUNCTION("""COMPUTED_VALUE"""),0)</f>
        <v>0</v>
      </c>
      <c r="O195" s="198">
        <f ca="1">IFERROR(__xludf.DUMMYFUNCTION("""COMPUTED_VALUE"""),1029)</f>
        <v>1029</v>
      </c>
      <c r="P195" s="198">
        <f t="shared" ca="1" si="1"/>
        <v>2352</v>
      </c>
    </row>
    <row r="196" spans="1:16" ht="12.75">
      <c r="A196" s="199" t="str">
        <f ca="1">IFERROR(__xludf.DUMMYFUNCTION("""COMPUTED_VALUE"""),"Gurupi")</f>
        <v>Gurupi</v>
      </c>
      <c r="B196" s="199" t="str">
        <f ca="1">IFERROR(__xludf.DUMMYFUNCTION("""COMPUTED_VALUE"""),"Formoso do Araguaia")</f>
        <v>Formoso do Araguaia</v>
      </c>
      <c r="C196" s="145" t="str">
        <f ca="1">IFERROR(__xludf.DUMMYFUNCTION("""COMPUTED_VALUE"""),"A.A. ESC. EST. DONA GERCINA BORGES TEIXEIRA")</f>
        <v>A.A. ESC. EST. DONA GERCINA BORGES TEIXEIRA</v>
      </c>
      <c r="D196" s="200" t="str">
        <f ca="1">IFERROR(__xludf.DUMMYFUNCTION("""COMPUTED_VALUE"""),"01268334000103")</f>
        <v>01268334000103</v>
      </c>
      <c r="E196" s="201" t="str">
        <f ca="1">IFERROR(__xludf.DUMMYFUNCTION("""COMPUTED_VALUE"""),"001")</f>
        <v>001</v>
      </c>
      <c r="F196" s="201" t="str">
        <f ca="1">IFERROR(__xludf.DUMMYFUNCTION("""COMPUTED_VALUE"""),"3123")</f>
        <v>3123</v>
      </c>
      <c r="G196" s="202" t="str">
        <f ca="1">IFERROR(__xludf.DUMMYFUNCTION("""COMPUTED_VALUE"""),"302880")</f>
        <v>302880</v>
      </c>
      <c r="H196" s="202">
        <f ca="1">IFERROR(__xludf.DUMMYFUNCTION("""COMPUTED_VALUE"""),0)</f>
        <v>0</v>
      </c>
      <c r="I196" s="202">
        <f ca="1">IFERROR(__xludf.DUMMYFUNCTION("""COMPUTED_VALUE"""),0)</f>
        <v>0</v>
      </c>
      <c r="J196" s="202">
        <f ca="1">IFERROR(__xludf.DUMMYFUNCTION("""COMPUTED_VALUE"""),8274)</f>
        <v>8274</v>
      </c>
      <c r="K196" s="202">
        <f ca="1">IFERROR(__xludf.DUMMYFUNCTION("""COMPUTED_VALUE"""),0)</f>
        <v>0</v>
      </c>
      <c r="L196" s="202">
        <f ca="1">IFERROR(__xludf.DUMMYFUNCTION("""COMPUTED_VALUE"""),0)</f>
        <v>0</v>
      </c>
      <c r="M196" s="202">
        <f ca="1">IFERROR(__xludf.DUMMYFUNCTION("""COMPUTED_VALUE"""),630)</f>
        <v>630</v>
      </c>
      <c r="N196" s="202">
        <f ca="1">IFERROR(__xludf.DUMMYFUNCTION("""COMPUTED_VALUE"""),0)</f>
        <v>0</v>
      </c>
      <c r="O196" s="202">
        <f ca="1">IFERROR(__xludf.DUMMYFUNCTION("""COMPUTED_VALUE"""),2394)</f>
        <v>2394</v>
      </c>
      <c r="P196" s="202">
        <f t="shared" ca="1" si="1"/>
        <v>11298</v>
      </c>
    </row>
    <row r="197" spans="1:16" ht="12.75">
      <c r="A197" s="194" t="str">
        <f ca="1">IFERROR(__xludf.DUMMYFUNCTION("""COMPUTED_VALUE"""),"Gurupi")</f>
        <v>Gurupi</v>
      </c>
      <c r="B197" s="194" t="str">
        <f ca="1">IFERROR(__xludf.DUMMYFUNCTION("""COMPUTED_VALUE"""),"Formoso do Araguaia")</f>
        <v>Formoso do Araguaia</v>
      </c>
      <c r="C197" s="195" t="str">
        <f ca="1">IFERROR(__xludf.DUMMYFUNCTION("""COMPUTED_VALUE"""),"ASSOCIAÇÃO DE APOIO DA ESCOLA INDÍGENA TAINÁ DA ALDEIA CANUANA")</f>
        <v>ASSOCIAÇÃO DE APOIO DA ESCOLA INDÍGENA TAINÁ DA ALDEIA CANUANA</v>
      </c>
      <c r="D197" s="196" t="str">
        <f ca="1">IFERROR(__xludf.DUMMYFUNCTION("""COMPUTED_VALUE"""),"27701257000127")</f>
        <v>27701257000127</v>
      </c>
      <c r="E197" s="197" t="str">
        <f ca="1">IFERROR(__xludf.DUMMYFUNCTION("""COMPUTED_VALUE"""),"001")</f>
        <v>001</v>
      </c>
      <c r="F197" s="197" t="str">
        <f ca="1">IFERROR(__xludf.DUMMYFUNCTION("""COMPUTED_VALUE"""),"3123")</f>
        <v>3123</v>
      </c>
      <c r="G197" s="198" t="str">
        <f ca="1">IFERROR(__xludf.DUMMYFUNCTION("""COMPUTED_VALUE"""),"171174")</f>
        <v>171174</v>
      </c>
      <c r="H197" s="198">
        <f ca="1">IFERROR(__xludf.DUMMYFUNCTION("""COMPUTED_VALUE"""),0)</f>
        <v>0</v>
      </c>
      <c r="I197" s="198">
        <f ca="1">IFERROR(__xludf.DUMMYFUNCTION("""COMPUTED_VALUE"""),0)</f>
        <v>0</v>
      </c>
      <c r="J197" s="198">
        <f ca="1">IFERROR(__xludf.DUMMYFUNCTION("""COMPUTED_VALUE"""),0)</f>
        <v>0</v>
      </c>
      <c r="K197" s="198">
        <f ca="1">IFERROR(__xludf.DUMMYFUNCTION("""COMPUTED_VALUE"""),0)</f>
        <v>0</v>
      </c>
      <c r="L197" s="198">
        <f ca="1">IFERROR(__xludf.DUMMYFUNCTION("""COMPUTED_VALUE"""),2751)</f>
        <v>2751</v>
      </c>
      <c r="M197" s="198">
        <f ca="1">IFERROR(__xludf.DUMMYFUNCTION("""COMPUTED_VALUE"""),0)</f>
        <v>0</v>
      </c>
      <c r="N197" s="198">
        <f ca="1">IFERROR(__xludf.DUMMYFUNCTION("""COMPUTED_VALUE"""),0)</f>
        <v>0</v>
      </c>
      <c r="O197" s="198">
        <f ca="1">IFERROR(__xludf.DUMMYFUNCTION("""COMPUTED_VALUE"""),0)</f>
        <v>0</v>
      </c>
      <c r="P197" s="198">
        <f t="shared" ca="1" si="1"/>
        <v>2751</v>
      </c>
    </row>
    <row r="198" spans="1:16" ht="12.75">
      <c r="A198" s="199" t="str">
        <f ca="1">IFERROR(__xludf.DUMMYFUNCTION("""COMPUTED_VALUE"""),"Gurupi")</f>
        <v>Gurupi</v>
      </c>
      <c r="B198" s="199" t="str">
        <f ca="1">IFERROR(__xludf.DUMMYFUNCTION("""COMPUTED_VALUE"""),"Gurupi")</f>
        <v>Gurupi</v>
      </c>
      <c r="C198" s="145" t="str">
        <f ca="1">IFERROR(__xludf.DUMMYFUNCTION("""COMPUTED_VALUE"""),"A.A. ESC. EST.ISOL.E IND.REG.DE GURUPI")</f>
        <v>A.A. ESC. EST.ISOL.E IND.REG.DE GURUPI</v>
      </c>
      <c r="D198" s="200" t="str">
        <f ca="1">IFERROR(__xludf.DUMMYFUNCTION("""COMPUTED_VALUE"""),"03011592000135")</f>
        <v>03011592000135</v>
      </c>
      <c r="E198" s="201" t="str">
        <f ca="1">IFERROR(__xludf.DUMMYFUNCTION("""COMPUTED_VALUE"""),"001")</f>
        <v>001</v>
      </c>
      <c r="F198" s="201" t="str">
        <f ca="1">IFERROR(__xludf.DUMMYFUNCTION("""COMPUTED_VALUE"""),"0794")</f>
        <v>0794</v>
      </c>
      <c r="G198" s="202" t="str">
        <f ca="1">IFERROR(__xludf.DUMMYFUNCTION("""COMPUTED_VALUE"""),"67563")</f>
        <v>67563</v>
      </c>
      <c r="H198" s="202">
        <f ca="1">IFERROR(__xludf.DUMMYFUNCTION("""COMPUTED_VALUE"""),0)</f>
        <v>0</v>
      </c>
      <c r="I198" s="202">
        <f ca="1">IFERROR(__xludf.DUMMYFUNCTION("""COMPUTED_VALUE"""),0)</f>
        <v>0</v>
      </c>
      <c r="J198" s="202">
        <f ca="1">IFERROR(__xludf.DUMMYFUNCTION("""COMPUTED_VALUE"""),0)</f>
        <v>0</v>
      </c>
      <c r="K198" s="202">
        <f ca="1">IFERROR(__xludf.DUMMYFUNCTION("""COMPUTED_VALUE"""),0)</f>
        <v>0</v>
      </c>
      <c r="L198" s="202">
        <f ca="1">IFERROR(__xludf.DUMMYFUNCTION("""COMPUTED_VALUE"""),10521)</f>
        <v>10521</v>
      </c>
      <c r="M198" s="202">
        <f ca="1">IFERROR(__xludf.DUMMYFUNCTION("""COMPUTED_VALUE"""),0)</f>
        <v>0</v>
      </c>
      <c r="N198" s="202">
        <f ca="1">IFERROR(__xludf.DUMMYFUNCTION("""COMPUTED_VALUE"""),0)</f>
        <v>0</v>
      </c>
      <c r="O198" s="202">
        <f ca="1">IFERROR(__xludf.DUMMYFUNCTION("""COMPUTED_VALUE"""),0)</f>
        <v>0</v>
      </c>
      <c r="P198" s="202">
        <f t="shared" ca="1" si="1"/>
        <v>10521</v>
      </c>
    </row>
    <row r="199" spans="1:16" ht="12.75">
      <c r="A199" s="194" t="str">
        <f ca="1">IFERROR(__xludf.DUMMYFUNCTION("""COMPUTED_VALUE"""),"Gurupi")</f>
        <v>Gurupi</v>
      </c>
      <c r="B199" s="194" t="str">
        <f ca="1">IFERROR(__xludf.DUMMYFUNCTION("""COMPUTED_VALUE"""),"Gurupi")</f>
        <v>Gurupi</v>
      </c>
      <c r="C199" s="195" t="str">
        <f ca="1">IFERROR(__xludf.DUMMYFUNCTION("""COMPUTED_VALUE"""),"ASSOC. A. CENTRO DE ENS. MÉDIO ARY R. VALADÃO FILHO")</f>
        <v>ASSOC. A. CENTRO DE ENS. MÉDIO ARY R. VALADÃO FILHO</v>
      </c>
      <c r="D199" s="196" t="str">
        <f ca="1">IFERROR(__xludf.DUMMYFUNCTION("""COMPUTED_VALUE"""),"02152392000130")</f>
        <v>02152392000130</v>
      </c>
      <c r="E199" s="197" t="str">
        <f ca="1">IFERROR(__xludf.DUMMYFUNCTION("""COMPUTED_VALUE"""),"001")</f>
        <v>001</v>
      </c>
      <c r="F199" s="197" t="str">
        <f ca="1">IFERROR(__xludf.DUMMYFUNCTION("""COMPUTED_VALUE"""),"0794")</f>
        <v>0794</v>
      </c>
      <c r="G199" s="198" t="str">
        <f ca="1">IFERROR(__xludf.DUMMYFUNCTION("""COMPUTED_VALUE"""),"420646")</f>
        <v>420646</v>
      </c>
      <c r="H199" s="198">
        <f ca="1">IFERROR(__xludf.DUMMYFUNCTION("""COMPUTED_VALUE"""),0)</f>
        <v>0</v>
      </c>
      <c r="I199" s="198">
        <f ca="1">IFERROR(__xludf.DUMMYFUNCTION("""COMPUTED_VALUE"""),0)</f>
        <v>0</v>
      </c>
      <c r="J199" s="198">
        <f ca="1">IFERROR(__xludf.DUMMYFUNCTION("""COMPUTED_VALUE"""),0)</f>
        <v>0</v>
      </c>
      <c r="K199" s="198">
        <f ca="1">IFERROR(__xludf.DUMMYFUNCTION("""COMPUTED_VALUE"""),0)</f>
        <v>0</v>
      </c>
      <c r="L199" s="198">
        <f ca="1">IFERROR(__xludf.DUMMYFUNCTION("""COMPUTED_VALUE"""),0)</f>
        <v>0</v>
      </c>
      <c r="M199" s="198">
        <f ca="1">IFERROR(__xludf.DUMMYFUNCTION("""COMPUTED_VALUE"""),630)</f>
        <v>630</v>
      </c>
      <c r="N199" s="198">
        <f ca="1">IFERROR(__xludf.DUMMYFUNCTION("""COMPUTED_VALUE"""),16779)</f>
        <v>16779</v>
      </c>
      <c r="O199" s="198">
        <f ca="1">IFERROR(__xludf.DUMMYFUNCTION("""COMPUTED_VALUE"""),0)</f>
        <v>0</v>
      </c>
      <c r="P199" s="198">
        <f t="shared" ca="1" si="1"/>
        <v>17409</v>
      </c>
    </row>
    <row r="200" spans="1:16" ht="12.75">
      <c r="A200" s="199" t="str">
        <f ca="1">IFERROR(__xludf.DUMMYFUNCTION("""COMPUTED_VALUE"""),"Gurupi")</f>
        <v>Gurupi</v>
      </c>
      <c r="B200" s="199" t="str">
        <f ca="1">IFERROR(__xludf.DUMMYFUNCTION("""COMPUTED_VALUE"""),"Gurupi")</f>
        <v>Gurupi</v>
      </c>
      <c r="C200" s="145" t="str">
        <f ca="1">IFERROR(__xludf.DUMMYFUNCTION("""COMPUTED_VALUE"""),"ASSOC. DE APOIO ESC. EST. BOM JESUS")</f>
        <v>ASSOC. DE APOIO ESC. EST. BOM JESUS</v>
      </c>
      <c r="D200" s="200" t="str">
        <f ca="1">IFERROR(__xludf.DUMMYFUNCTION("""COMPUTED_VALUE"""),"01865430000139")</f>
        <v>01865430000139</v>
      </c>
      <c r="E200" s="201" t="str">
        <f ca="1">IFERROR(__xludf.DUMMYFUNCTION("""COMPUTED_VALUE"""),"001")</f>
        <v>001</v>
      </c>
      <c r="F200" s="201" t="str">
        <f ca="1">IFERROR(__xludf.DUMMYFUNCTION("""COMPUTED_VALUE"""),"0794")</f>
        <v>0794</v>
      </c>
      <c r="G200" s="202" t="str">
        <f ca="1">IFERROR(__xludf.DUMMYFUNCTION("""COMPUTED_VALUE"""),"420603")</f>
        <v>420603</v>
      </c>
      <c r="H200" s="202">
        <f ca="1">IFERROR(__xludf.DUMMYFUNCTION("""COMPUTED_VALUE"""),0)</f>
        <v>0</v>
      </c>
      <c r="I200" s="202">
        <f ca="1">IFERROR(__xludf.DUMMYFUNCTION("""COMPUTED_VALUE"""),0)</f>
        <v>0</v>
      </c>
      <c r="J200" s="202">
        <f ca="1">IFERROR(__xludf.DUMMYFUNCTION("""COMPUTED_VALUE"""),0)</f>
        <v>0</v>
      </c>
      <c r="K200" s="202">
        <f ca="1">IFERROR(__xludf.DUMMYFUNCTION("""COMPUTED_VALUE"""),0)</f>
        <v>0</v>
      </c>
      <c r="L200" s="202">
        <f ca="1">IFERROR(__xludf.DUMMYFUNCTION("""COMPUTED_VALUE"""),0)</f>
        <v>0</v>
      </c>
      <c r="M200" s="202">
        <f ca="1">IFERROR(__xludf.DUMMYFUNCTION("""COMPUTED_VALUE"""),336)</f>
        <v>336</v>
      </c>
      <c r="N200" s="202">
        <f ca="1">IFERROR(__xludf.DUMMYFUNCTION("""COMPUTED_VALUE"""),0)</f>
        <v>0</v>
      </c>
      <c r="O200" s="202">
        <f ca="1">IFERROR(__xludf.DUMMYFUNCTION("""COMPUTED_VALUE"""),0)</f>
        <v>0</v>
      </c>
      <c r="P200" s="202">
        <f t="shared" ca="1" si="1"/>
        <v>336</v>
      </c>
    </row>
    <row r="201" spans="1:16" ht="12.75">
      <c r="A201" s="194" t="str">
        <f ca="1">IFERROR(__xludf.DUMMYFUNCTION("""COMPUTED_VALUE"""),"Gurupi")</f>
        <v>Gurupi</v>
      </c>
      <c r="B201" s="194" t="str">
        <f ca="1">IFERROR(__xludf.DUMMYFUNCTION("""COMPUTED_VALUE"""),"Gurupi")</f>
        <v>Gurupi</v>
      </c>
      <c r="C201" s="195" t="str">
        <f ca="1">IFERROR(__xludf.DUMMYFUNCTION("""COMPUTED_VALUE"""),"ASSOC. DE APOIO COL. EST. DE GURUPI")</f>
        <v>ASSOC. DE APOIO COL. EST. DE GURUPI</v>
      </c>
      <c r="D201" s="196" t="str">
        <f ca="1">IFERROR(__xludf.DUMMYFUNCTION("""COMPUTED_VALUE"""),"01887135000183")</f>
        <v>01887135000183</v>
      </c>
      <c r="E201" s="197" t="str">
        <f ca="1">IFERROR(__xludf.DUMMYFUNCTION("""COMPUTED_VALUE"""),"001")</f>
        <v>001</v>
      </c>
      <c r="F201" s="197" t="str">
        <f ca="1">IFERROR(__xludf.DUMMYFUNCTION("""COMPUTED_VALUE"""),"0794")</f>
        <v>0794</v>
      </c>
      <c r="G201" s="198" t="str">
        <f ca="1">IFERROR(__xludf.DUMMYFUNCTION("""COMPUTED_VALUE"""),"420700")</f>
        <v>420700</v>
      </c>
      <c r="H201" s="198">
        <f ca="1">IFERROR(__xludf.DUMMYFUNCTION("""COMPUTED_VALUE"""),0)</f>
        <v>0</v>
      </c>
      <c r="I201" s="198">
        <f ca="1">IFERROR(__xludf.DUMMYFUNCTION("""COMPUTED_VALUE"""),0)</f>
        <v>0</v>
      </c>
      <c r="J201" s="198">
        <f ca="1">IFERROR(__xludf.DUMMYFUNCTION("""COMPUTED_VALUE"""),0)</f>
        <v>0</v>
      </c>
      <c r="K201" s="198">
        <f ca="1">IFERROR(__xludf.DUMMYFUNCTION("""COMPUTED_VALUE"""),0)</f>
        <v>0</v>
      </c>
      <c r="L201" s="198">
        <f ca="1">IFERROR(__xludf.DUMMYFUNCTION("""COMPUTED_VALUE"""),0)</f>
        <v>0</v>
      </c>
      <c r="M201" s="198">
        <f ca="1">IFERROR(__xludf.DUMMYFUNCTION("""COMPUTED_VALUE"""),168)</f>
        <v>168</v>
      </c>
      <c r="N201" s="198">
        <f ca="1">IFERROR(__xludf.DUMMYFUNCTION("""COMPUTED_VALUE"""),0)</f>
        <v>0</v>
      </c>
      <c r="O201" s="198">
        <f ca="1">IFERROR(__xludf.DUMMYFUNCTION("""COMPUTED_VALUE"""),0)</f>
        <v>0</v>
      </c>
      <c r="P201" s="198">
        <f t="shared" ca="1" si="1"/>
        <v>168</v>
      </c>
    </row>
    <row r="202" spans="1:16" ht="12.75">
      <c r="A202" s="199" t="str">
        <f ca="1">IFERROR(__xludf.DUMMYFUNCTION("""COMPUTED_VALUE"""),"Gurupi")</f>
        <v>Gurupi</v>
      </c>
      <c r="B202" s="199" t="str">
        <f ca="1">IFERROR(__xludf.DUMMYFUNCTION("""COMPUTED_VALUE"""),"Gurupi")</f>
        <v>Gurupi</v>
      </c>
      <c r="C202" s="145" t="str">
        <f ca="1">IFERROR(__xludf.DUMMYFUNCTION("""COMPUTED_VALUE"""),"A.A.  DO COL. PAROQUIAL BERNARDO SAYAO")</f>
        <v>A.A.  DO COL. PAROQUIAL BERNARDO SAYAO</v>
      </c>
      <c r="D202" s="200" t="str">
        <f ca="1">IFERROR(__xludf.DUMMYFUNCTION("""COMPUTED_VALUE"""),"01865371000107")</f>
        <v>01865371000107</v>
      </c>
      <c r="E202" s="201" t="str">
        <f ca="1">IFERROR(__xludf.DUMMYFUNCTION("""COMPUTED_VALUE"""),"001")</f>
        <v>001</v>
      </c>
      <c r="F202" s="201" t="str">
        <f ca="1">IFERROR(__xludf.DUMMYFUNCTION("""COMPUTED_VALUE"""),"0794")</f>
        <v>0794</v>
      </c>
      <c r="G202" s="202" t="str">
        <f ca="1">IFERROR(__xludf.DUMMYFUNCTION("""COMPUTED_VALUE"""),"66796")</f>
        <v>66796</v>
      </c>
      <c r="H202" s="202">
        <f ca="1">IFERROR(__xludf.DUMMYFUNCTION("""COMPUTED_VALUE"""),0)</f>
        <v>0</v>
      </c>
      <c r="I202" s="202">
        <f ca="1">IFERROR(__xludf.DUMMYFUNCTION("""COMPUTED_VALUE"""),0)</f>
        <v>0</v>
      </c>
      <c r="J202" s="202">
        <f ca="1">IFERROR(__xludf.DUMMYFUNCTION("""COMPUTED_VALUE"""),10899)</f>
        <v>10899</v>
      </c>
      <c r="K202" s="202">
        <f ca="1">IFERROR(__xludf.DUMMYFUNCTION("""COMPUTED_VALUE"""),0)</f>
        <v>0</v>
      </c>
      <c r="L202" s="202">
        <f ca="1">IFERROR(__xludf.DUMMYFUNCTION("""COMPUTED_VALUE"""),0)</f>
        <v>0</v>
      </c>
      <c r="M202" s="202">
        <f ca="1">IFERROR(__xludf.DUMMYFUNCTION("""COMPUTED_VALUE"""),693)</f>
        <v>693</v>
      </c>
      <c r="N202" s="202">
        <f ca="1">IFERROR(__xludf.DUMMYFUNCTION("""COMPUTED_VALUE"""),0)</f>
        <v>0</v>
      </c>
      <c r="O202" s="202">
        <f ca="1">IFERROR(__xludf.DUMMYFUNCTION("""COMPUTED_VALUE"""),0)</f>
        <v>0</v>
      </c>
      <c r="P202" s="202">
        <f t="shared" ca="1" si="1"/>
        <v>11592</v>
      </c>
    </row>
    <row r="203" spans="1:16" ht="12.75">
      <c r="A203" s="194" t="str">
        <f ca="1">IFERROR(__xludf.DUMMYFUNCTION("""COMPUTED_VALUE"""),"Gurupi")</f>
        <v>Gurupi</v>
      </c>
      <c r="B203" s="194" t="str">
        <f ca="1">IFERROR(__xludf.DUMMYFUNCTION("""COMPUTED_VALUE"""),"Gurupi")</f>
        <v>Gurupi</v>
      </c>
      <c r="C203" s="195" t="str">
        <f ca="1">IFERROR(__xludf.DUMMYFUNCTION("""COMPUTED_VALUE"""),"A.P.M.AL.MAIORES DE ID.C.POSITIVO GURUPI")</f>
        <v>A.P.M.AL.MAIORES DE ID.C.POSITIVO GURUPI</v>
      </c>
      <c r="D203" s="196" t="str">
        <f ca="1">IFERROR(__xludf.DUMMYFUNCTION("""COMPUTED_VALUE"""),"01865432000128")</f>
        <v>01865432000128</v>
      </c>
      <c r="E203" s="197" t="str">
        <f ca="1">IFERROR(__xludf.DUMMYFUNCTION("""COMPUTED_VALUE"""),"104")</f>
        <v>104</v>
      </c>
      <c r="F203" s="197" t="str">
        <f ca="1">IFERROR(__xludf.DUMMYFUNCTION("""COMPUTED_VALUE"""),"0793")</f>
        <v>0793</v>
      </c>
      <c r="G203" s="198" t="str">
        <f ca="1">IFERROR(__xludf.DUMMYFUNCTION("""COMPUTED_VALUE"""),"12138")</f>
        <v>12138</v>
      </c>
      <c r="H203" s="198">
        <f ca="1">IFERROR(__xludf.DUMMYFUNCTION("""COMPUTED_VALUE"""),0)</f>
        <v>0</v>
      </c>
      <c r="I203" s="198">
        <f ca="1">IFERROR(__xludf.DUMMYFUNCTION("""COMPUTED_VALUE"""),0)</f>
        <v>0</v>
      </c>
      <c r="J203" s="198">
        <f ca="1">IFERROR(__xludf.DUMMYFUNCTION("""COMPUTED_VALUE"""),9177)</f>
        <v>9177</v>
      </c>
      <c r="K203" s="198">
        <f ca="1">IFERROR(__xludf.DUMMYFUNCTION("""COMPUTED_VALUE"""),0)</f>
        <v>0</v>
      </c>
      <c r="L203" s="198">
        <f ca="1">IFERROR(__xludf.DUMMYFUNCTION("""COMPUTED_VALUE"""),0)</f>
        <v>0</v>
      </c>
      <c r="M203" s="198">
        <f ca="1">IFERROR(__xludf.DUMMYFUNCTION("""COMPUTED_VALUE"""),0)</f>
        <v>0</v>
      </c>
      <c r="N203" s="198">
        <f ca="1">IFERROR(__xludf.DUMMYFUNCTION("""COMPUTED_VALUE"""),0)</f>
        <v>0</v>
      </c>
      <c r="O203" s="198">
        <f ca="1">IFERROR(__xludf.DUMMYFUNCTION("""COMPUTED_VALUE"""),0)</f>
        <v>0</v>
      </c>
      <c r="P203" s="198">
        <f t="shared" ca="1" si="1"/>
        <v>9177</v>
      </c>
    </row>
    <row r="204" spans="1:16" ht="12.75">
      <c r="A204" s="199" t="str">
        <f ca="1">IFERROR(__xludf.DUMMYFUNCTION("""COMPUTED_VALUE"""),"Gurupi")</f>
        <v>Gurupi</v>
      </c>
      <c r="B204" s="199" t="str">
        <f ca="1">IFERROR(__xludf.DUMMYFUNCTION("""COMPUTED_VALUE"""),"Gurupi")</f>
        <v>Gurupi</v>
      </c>
      <c r="C204" s="145" t="str">
        <f ca="1">IFERROR(__xludf.DUMMYFUNCTION("""COMPUTED_VALUE"""),"INSTITUTO SOCIAL EVANG DE GURUPI/EDUC. EVANG. EBENÉZER")</f>
        <v>INSTITUTO SOCIAL EVANG DE GURUPI/EDUC. EVANG. EBENÉZER</v>
      </c>
      <c r="D204" s="200" t="str">
        <f ca="1">IFERROR(__xludf.DUMMYFUNCTION("""COMPUTED_VALUE"""),"17194297000176")</f>
        <v>17194297000176</v>
      </c>
      <c r="E204" s="201" t="str">
        <f ca="1">IFERROR(__xludf.DUMMYFUNCTION("""COMPUTED_VALUE"""),"001")</f>
        <v>001</v>
      </c>
      <c r="F204" s="201" t="str">
        <f ca="1">IFERROR(__xludf.DUMMYFUNCTION("""COMPUTED_VALUE"""),"0794")</f>
        <v>0794</v>
      </c>
      <c r="G204" s="202" t="str">
        <f ca="1">IFERROR(__xludf.DUMMYFUNCTION("""COMPUTED_VALUE"""),"493066")</f>
        <v>493066</v>
      </c>
      <c r="H204" s="202">
        <f ca="1">IFERROR(__xludf.DUMMYFUNCTION("""COMPUTED_VALUE"""),0)</f>
        <v>0</v>
      </c>
      <c r="I204" s="202">
        <f ca="1">IFERROR(__xludf.DUMMYFUNCTION("""COMPUTED_VALUE"""),0)</f>
        <v>0</v>
      </c>
      <c r="J204" s="202">
        <f ca="1">IFERROR(__xludf.DUMMYFUNCTION("""COMPUTED_VALUE"""),15750)</f>
        <v>15750</v>
      </c>
      <c r="K204" s="202">
        <f ca="1">IFERROR(__xludf.DUMMYFUNCTION("""COMPUTED_VALUE"""),0)</f>
        <v>0</v>
      </c>
      <c r="L204" s="202">
        <f ca="1">IFERROR(__xludf.DUMMYFUNCTION("""COMPUTED_VALUE"""),0)</f>
        <v>0</v>
      </c>
      <c r="M204" s="202">
        <f ca="1">IFERROR(__xludf.DUMMYFUNCTION("""COMPUTED_VALUE"""),0)</f>
        <v>0</v>
      </c>
      <c r="N204" s="202">
        <f ca="1">IFERROR(__xludf.DUMMYFUNCTION("""COMPUTED_VALUE"""),0)</f>
        <v>0</v>
      </c>
      <c r="O204" s="202">
        <f ca="1">IFERROR(__xludf.DUMMYFUNCTION("""COMPUTED_VALUE"""),0)</f>
        <v>0</v>
      </c>
      <c r="P204" s="202">
        <f t="shared" ca="1" si="1"/>
        <v>15750</v>
      </c>
    </row>
    <row r="205" spans="1:16" ht="12.75">
      <c r="A205" s="194" t="str">
        <f ca="1">IFERROR(__xludf.DUMMYFUNCTION("""COMPUTED_VALUE"""),"Gurupi")</f>
        <v>Gurupi</v>
      </c>
      <c r="B205" s="194" t="str">
        <f ca="1">IFERROR(__xludf.DUMMYFUNCTION("""COMPUTED_VALUE"""),"Gurupi")</f>
        <v>Gurupi</v>
      </c>
      <c r="C205" s="195" t="str">
        <f ca="1">IFERROR(__xludf.DUMMYFUNCTION("""COMPUTED_VALUE"""),"ASSOCIAÇÃO DE APOIO A ESCOLA ESPECIAL SÃO FRANCISCO DE ASSIS")</f>
        <v>ASSOCIAÇÃO DE APOIO A ESCOLA ESPECIAL SÃO FRANCISCO DE ASSIS</v>
      </c>
      <c r="D205" s="196" t="str">
        <f ca="1">IFERROR(__xludf.DUMMYFUNCTION("""COMPUTED_VALUE"""),"07947356000186")</f>
        <v>07947356000186</v>
      </c>
      <c r="E205" s="197" t="str">
        <f ca="1">IFERROR(__xludf.DUMMYFUNCTION("""COMPUTED_VALUE"""),"001")</f>
        <v>001</v>
      </c>
      <c r="F205" s="197" t="str">
        <f ca="1">IFERROR(__xludf.DUMMYFUNCTION("""COMPUTED_VALUE"""),"0794")</f>
        <v>0794</v>
      </c>
      <c r="G205" s="198" t="str">
        <f ca="1">IFERROR(__xludf.DUMMYFUNCTION("""COMPUTED_VALUE"""),"431109")</f>
        <v>431109</v>
      </c>
      <c r="H205" s="198">
        <f ca="1">IFERROR(__xludf.DUMMYFUNCTION("""COMPUTED_VALUE"""),0)</f>
        <v>0</v>
      </c>
      <c r="I205" s="198">
        <f ca="1">IFERROR(__xludf.DUMMYFUNCTION("""COMPUTED_VALUE"""),420)</f>
        <v>420</v>
      </c>
      <c r="J205" s="198">
        <f ca="1">IFERROR(__xludf.DUMMYFUNCTION("""COMPUTED_VALUE"""),462)</f>
        <v>462</v>
      </c>
      <c r="K205" s="198">
        <f ca="1">IFERROR(__xludf.DUMMYFUNCTION("""COMPUTED_VALUE"""),0)</f>
        <v>0</v>
      </c>
      <c r="L205" s="198">
        <f ca="1">IFERROR(__xludf.DUMMYFUNCTION("""COMPUTED_VALUE"""),0)</f>
        <v>0</v>
      </c>
      <c r="M205" s="198">
        <f ca="1">IFERROR(__xludf.DUMMYFUNCTION("""COMPUTED_VALUE"""),378)</f>
        <v>378</v>
      </c>
      <c r="N205" s="198">
        <f ca="1">IFERROR(__xludf.DUMMYFUNCTION("""COMPUTED_VALUE"""),0)</f>
        <v>0</v>
      </c>
      <c r="O205" s="198">
        <f ca="1">IFERROR(__xludf.DUMMYFUNCTION("""COMPUTED_VALUE"""),2352)</f>
        <v>2352</v>
      </c>
      <c r="P205" s="198">
        <f t="shared" ca="1" si="1"/>
        <v>3612</v>
      </c>
    </row>
    <row r="206" spans="1:16" ht="12.75">
      <c r="A206" s="199" t="str">
        <f ca="1">IFERROR(__xludf.DUMMYFUNCTION("""COMPUTED_VALUE"""),"Gurupi")</f>
        <v>Gurupi</v>
      </c>
      <c r="B206" s="199" t="str">
        <f ca="1">IFERROR(__xludf.DUMMYFUNCTION("""COMPUTED_VALUE"""),"Gurupi")</f>
        <v>Gurupi</v>
      </c>
      <c r="C206" s="145" t="str">
        <f ca="1">IFERROR(__xludf.DUMMYFUNCTION("""COMPUTED_VALUE"""),"A.A. ESC. EST. DR. JOAQUIM P. DA COSTA")</f>
        <v>A.A. ESC. EST. DR. JOAQUIM P. DA COSTA</v>
      </c>
      <c r="D206" s="200" t="str">
        <f ca="1">IFERROR(__xludf.DUMMYFUNCTION("""COMPUTED_VALUE"""),"01865386000167")</f>
        <v>01865386000167</v>
      </c>
      <c r="E206" s="201" t="str">
        <f ca="1">IFERROR(__xludf.DUMMYFUNCTION("""COMPUTED_VALUE"""),"001")</f>
        <v>001</v>
      </c>
      <c r="F206" s="201" t="str">
        <f ca="1">IFERROR(__xludf.DUMMYFUNCTION("""COMPUTED_VALUE"""),"0794")</f>
        <v>0794</v>
      </c>
      <c r="G206" s="202" t="str">
        <f ca="1">IFERROR(__xludf.DUMMYFUNCTION("""COMPUTED_VALUE"""),"67288")</f>
        <v>67288</v>
      </c>
      <c r="H206" s="202">
        <f ca="1">IFERROR(__xludf.DUMMYFUNCTION("""COMPUTED_VALUE"""),0)</f>
        <v>0</v>
      </c>
      <c r="I206" s="202">
        <f ca="1">IFERROR(__xludf.DUMMYFUNCTION("""COMPUTED_VALUE"""),0)</f>
        <v>0</v>
      </c>
      <c r="J206" s="202">
        <f ca="1">IFERROR(__xludf.DUMMYFUNCTION("""COMPUTED_VALUE"""),4536)</f>
        <v>4536</v>
      </c>
      <c r="K206" s="202">
        <f ca="1">IFERROR(__xludf.DUMMYFUNCTION("""COMPUTED_VALUE"""),0)</f>
        <v>0</v>
      </c>
      <c r="L206" s="202">
        <f ca="1">IFERROR(__xludf.DUMMYFUNCTION("""COMPUTED_VALUE"""),0)</f>
        <v>0</v>
      </c>
      <c r="M206" s="202">
        <f ca="1">IFERROR(__xludf.DUMMYFUNCTION("""COMPUTED_VALUE"""),651)</f>
        <v>651</v>
      </c>
      <c r="N206" s="202">
        <f ca="1">IFERROR(__xludf.DUMMYFUNCTION("""COMPUTED_VALUE"""),14364)</f>
        <v>14364</v>
      </c>
      <c r="O206" s="202">
        <f ca="1">IFERROR(__xludf.DUMMYFUNCTION("""COMPUTED_VALUE"""),1722)</f>
        <v>1722</v>
      </c>
      <c r="P206" s="202">
        <f t="shared" ca="1" si="1"/>
        <v>21273</v>
      </c>
    </row>
    <row r="207" spans="1:16" ht="12.75">
      <c r="A207" s="194" t="str">
        <f ca="1">IFERROR(__xludf.DUMMYFUNCTION("""COMPUTED_VALUE"""),"Gurupi")</f>
        <v>Gurupi</v>
      </c>
      <c r="B207" s="194" t="str">
        <f ca="1">IFERROR(__xludf.DUMMYFUNCTION("""COMPUTED_VALUE"""),"Gurupi")</f>
        <v>Gurupi</v>
      </c>
      <c r="C207" s="195" t="str">
        <f ca="1">IFERROR(__xludf.DUMMYFUNCTION("""COMPUTED_VALUE"""),"A.A. ESCOLAR DA ESC. EST. DR.WALDIR LINS")</f>
        <v>A.A. ESCOLAR DA ESC. EST. DR.WALDIR LINS</v>
      </c>
      <c r="D207" s="196" t="str">
        <f ca="1">IFERROR(__xludf.DUMMYFUNCTION("""COMPUTED_VALUE"""),"01936535000131")</f>
        <v>01936535000131</v>
      </c>
      <c r="E207" s="197" t="str">
        <f ca="1">IFERROR(__xludf.DUMMYFUNCTION("""COMPUTED_VALUE"""),"001")</f>
        <v>001</v>
      </c>
      <c r="F207" s="197" t="str">
        <f ca="1">IFERROR(__xludf.DUMMYFUNCTION("""COMPUTED_VALUE"""),"0794")</f>
        <v>0794</v>
      </c>
      <c r="G207" s="198" t="str">
        <f ca="1">IFERROR(__xludf.DUMMYFUNCTION("""COMPUTED_VALUE"""),"66966")</f>
        <v>66966</v>
      </c>
      <c r="H207" s="198">
        <f ca="1">IFERROR(__xludf.DUMMYFUNCTION("""COMPUTED_VALUE"""),0)</f>
        <v>0</v>
      </c>
      <c r="I207" s="198">
        <f ca="1">IFERROR(__xludf.DUMMYFUNCTION("""COMPUTED_VALUE"""),0)</f>
        <v>0</v>
      </c>
      <c r="J207" s="198">
        <f ca="1">IFERROR(__xludf.DUMMYFUNCTION("""COMPUTED_VALUE"""),126)</f>
        <v>126</v>
      </c>
      <c r="K207" s="198">
        <f ca="1">IFERROR(__xludf.DUMMYFUNCTION("""COMPUTED_VALUE"""),0)</f>
        <v>0</v>
      </c>
      <c r="L207" s="198">
        <f ca="1">IFERROR(__xludf.DUMMYFUNCTION("""COMPUTED_VALUE"""),0)</f>
        <v>0</v>
      </c>
      <c r="M207" s="198">
        <f ca="1">IFERROR(__xludf.DUMMYFUNCTION("""COMPUTED_VALUE"""),252)</f>
        <v>252</v>
      </c>
      <c r="N207" s="198">
        <f ca="1">IFERROR(__xludf.DUMMYFUNCTION("""COMPUTED_VALUE"""),2646)</f>
        <v>2646</v>
      </c>
      <c r="O207" s="198">
        <f ca="1">IFERROR(__xludf.DUMMYFUNCTION("""COMPUTED_VALUE"""),0)</f>
        <v>0</v>
      </c>
      <c r="P207" s="198">
        <f t="shared" ca="1" si="1"/>
        <v>3024</v>
      </c>
    </row>
    <row r="208" spans="1:16" ht="12.75">
      <c r="A208" s="199" t="str">
        <f ca="1">IFERROR(__xludf.DUMMYFUNCTION("""COMPUTED_VALUE"""),"Gurupi")</f>
        <v>Gurupi</v>
      </c>
      <c r="B208" s="199" t="str">
        <f ca="1">IFERROR(__xludf.DUMMYFUNCTION("""COMPUTED_VALUE"""),"Gurupi")</f>
        <v>Gurupi</v>
      </c>
      <c r="C208" s="145" t="str">
        <f ca="1">IFERROR(__xludf.DUMMYFUNCTION("""COMPUTED_VALUE"""),"A. EDUCACIONAL PRES. COSTA E SILVA")</f>
        <v>A. EDUCACIONAL PRES. COSTA E SILVA</v>
      </c>
      <c r="D208" s="200" t="str">
        <f ca="1">IFERROR(__xludf.DUMMYFUNCTION("""COMPUTED_VALUE"""),"01888719000173")</f>
        <v>01888719000173</v>
      </c>
      <c r="E208" s="201" t="str">
        <f ca="1">IFERROR(__xludf.DUMMYFUNCTION("""COMPUTED_VALUE"""),"001")</f>
        <v>001</v>
      </c>
      <c r="F208" s="201" t="str">
        <f ca="1">IFERROR(__xludf.DUMMYFUNCTION("""COMPUTED_VALUE"""),"0794")</f>
        <v>0794</v>
      </c>
      <c r="G208" s="202" t="str">
        <f ca="1">IFERROR(__xludf.DUMMYFUNCTION("""COMPUTED_VALUE"""),"67490")</f>
        <v>67490</v>
      </c>
      <c r="H208" s="202">
        <f ca="1">IFERROR(__xludf.DUMMYFUNCTION("""COMPUTED_VALUE"""),0)</f>
        <v>0</v>
      </c>
      <c r="I208" s="202">
        <f ca="1">IFERROR(__xludf.DUMMYFUNCTION("""COMPUTED_VALUE"""),0)</f>
        <v>0</v>
      </c>
      <c r="J208" s="202">
        <f ca="1">IFERROR(__xludf.DUMMYFUNCTION("""COMPUTED_VALUE"""),0)</f>
        <v>0</v>
      </c>
      <c r="K208" s="202">
        <f ca="1">IFERROR(__xludf.DUMMYFUNCTION("""COMPUTED_VALUE"""),0)</f>
        <v>0</v>
      </c>
      <c r="L208" s="202">
        <f ca="1">IFERROR(__xludf.DUMMYFUNCTION("""COMPUTED_VALUE"""),0)</f>
        <v>0</v>
      </c>
      <c r="M208" s="202">
        <f ca="1">IFERROR(__xludf.DUMMYFUNCTION("""COMPUTED_VALUE"""),588)</f>
        <v>588</v>
      </c>
      <c r="N208" s="202">
        <f ca="1">IFERROR(__xludf.DUMMYFUNCTION("""COMPUTED_VALUE"""),0)</f>
        <v>0</v>
      </c>
      <c r="O208" s="202">
        <f ca="1">IFERROR(__xludf.DUMMYFUNCTION("""COMPUTED_VALUE"""),0)</f>
        <v>0</v>
      </c>
      <c r="P208" s="202">
        <f t="shared" ca="1" si="1"/>
        <v>588</v>
      </c>
    </row>
    <row r="209" spans="1:16" ht="12.75">
      <c r="A209" s="194" t="str">
        <f ca="1">IFERROR(__xludf.DUMMYFUNCTION("""COMPUTED_VALUE"""),"Gurupi")</f>
        <v>Gurupi</v>
      </c>
      <c r="B209" s="194" t="str">
        <f ca="1">IFERROR(__xludf.DUMMYFUNCTION("""COMPUTED_VALUE"""),"Gurupi")</f>
        <v>Gurupi</v>
      </c>
      <c r="C209" s="195" t="str">
        <f ca="1">IFERROR(__xludf.DUMMYFUNCTION("""COMPUTED_VALUE"""),"A.A. ESC. EST. HERCILIA CARVALHO DA SILVA")</f>
        <v>A.A. ESC. EST. HERCILIA CARVALHO DA SILVA</v>
      </c>
      <c r="D209" s="196" t="str">
        <f ca="1">IFERROR(__xludf.DUMMYFUNCTION("""COMPUTED_VALUE"""),"01465790000143")</f>
        <v>01465790000143</v>
      </c>
      <c r="E209" s="197" t="str">
        <f ca="1">IFERROR(__xludf.DUMMYFUNCTION("""COMPUTED_VALUE"""),"001")</f>
        <v>001</v>
      </c>
      <c r="F209" s="197" t="str">
        <f ca="1">IFERROR(__xludf.DUMMYFUNCTION("""COMPUTED_VALUE"""),"0794")</f>
        <v>0794</v>
      </c>
      <c r="G209" s="198" t="str">
        <f ca="1">IFERROR(__xludf.DUMMYFUNCTION("""COMPUTED_VALUE"""),"66834")</f>
        <v>66834</v>
      </c>
      <c r="H209" s="198">
        <f ca="1">IFERROR(__xludf.DUMMYFUNCTION("""COMPUTED_VALUE"""),0)</f>
        <v>0</v>
      </c>
      <c r="I209" s="198">
        <f ca="1">IFERROR(__xludf.DUMMYFUNCTION("""COMPUTED_VALUE"""),0)</f>
        <v>0</v>
      </c>
      <c r="J209" s="198">
        <f ca="1">IFERROR(__xludf.DUMMYFUNCTION("""COMPUTED_VALUE"""),6615)</f>
        <v>6615</v>
      </c>
      <c r="K209" s="198">
        <f ca="1">IFERROR(__xludf.DUMMYFUNCTION("""COMPUTED_VALUE"""),0)</f>
        <v>0</v>
      </c>
      <c r="L209" s="198">
        <f ca="1">IFERROR(__xludf.DUMMYFUNCTION("""COMPUTED_VALUE"""),0)</f>
        <v>0</v>
      </c>
      <c r="M209" s="198">
        <f ca="1">IFERROR(__xludf.DUMMYFUNCTION("""COMPUTED_VALUE"""),420)</f>
        <v>420</v>
      </c>
      <c r="N209" s="198">
        <f ca="1">IFERROR(__xludf.DUMMYFUNCTION("""COMPUTED_VALUE"""),4095)</f>
        <v>4095</v>
      </c>
      <c r="O209" s="198">
        <f ca="1">IFERROR(__xludf.DUMMYFUNCTION("""COMPUTED_VALUE"""),0)</f>
        <v>0</v>
      </c>
      <c r="P209" s="198">
        <f t="shared" ca="1" si="1"/>
        <v>11130</v>
      </c>
    </row>
    <row r="210" spans="1:16" ht="12.75">
      <c r="A210" s="199" t="str">
        <f ca="1">IFERROR(__xludf.DUMMYFUNCTION("""COMPUTED_VALUE"""),"Gurupi")</f>
        <v>Gurupi</v>
      </c>
      <c r="B210" s="199" t="str">
        <f ca="1">IFERROR(__xludf.DUMMYFUNCTION("""COMPUTED_VALUE"""),"Gurupi")</f>
        <v>Gurupi</v>
      </c>
      <c r="C210" s="145" t="str">
        <f ca="1">IFERROR(__xludf.DUMMYFUNCTION("""COMPUTED_VALUE"""),"A.A. DA ESCOLA ESTADUAL RUI BARBOSA")</f>
        <v>A.A. DA ESCOLA ESTADUAL RUI BARBOSA</v>
      </c>
      <c r="D210" s="200" t="str">
        <f ca="1">IFERROR(__xludf.DUMMYFUNCTION("""COMPUTED_VALUE"""),"43753475000161")</f>
        <v>43753475000161</v>
      </c>
      <c r="E210" s="201" t="str">
        <f ca="1">IFERROR(__xludf.DUMMYFUNCTION("""COMPUTED_VALUE"""),"001")</f>
        <v>001</v>
      </c>
      <c r="F210" s="201" t="str">
        <f ca="1">IFERROR(__xludf.DUMMYFUNCTION("""COMPUTED_VALUE"""),"0794")</f>
        <v>0794</v>
      </c>
      <c r="G210" s="202" t="str">
        <f ca="1">IFERROR(__xludf.DUMMYFUNCTION("""COMPUTED_VALUE"""),"682969")</f>
        <v>682969</v>
      </c>
      <c r="H210" s="202">
        <f ca="1">IFERROR(__xludf.DUMMYFUNCTION("""COMPUTED_VALUE"""),0)</f>
        <v>0</v>
      </c>
      <c r="I210" s="202">
        <f ca="1">IFERROR(__xludf.DUMMYFUNCTION("""COMPUTED_VALUE"""),0)</f>
        <v>0</v>
      </c>
      <c r="J210" s="202">
        <f ca="1">IFERROR(__xludf.DUMMYFUNCTION("""COMPUTED_VALUE"""),0)</f>
        <v>0</v>
      </c>
      <c r="K210" s="202">
        <f ca="1">IFERROR(__xludf.DUMMYFUNCTION("""COMPUTED_VALUE"""),0)</f>
        <v>0</v>
      </c>
      <c r="L210" s="202">
        <f ca="1">IFERROR(__xludf.DUMMYFUNCTION("""COMPUTED_VALUE"""),0)</f>
        <v>0</v>
      </c>
      <c r="M210" s="202">
        <f ca="1">IFERROR(__xludf.DUMMYFUNCTION("""COMPUTED_VALUE"""),0)</f>
        <v>0</v>
      </c>
      <c r="N210" s="202">
        <f ca="1">IFERROR(__xludf.DUMMYFUNCTION("""COMPUTED_VALUE"""),0)</f>
        <v>0</v>
      </c>
      <c r="O210" s="202">
        <f ca="1">IFERROR(__xludf.DUMMYFUNCTION("""COMPUTED_VALUE"""),5187)</f>
        <v>5187</v>
      </c>
      <c r="P210" s="202">
        <f t="shared" ca="1" si="1"/>
        <v>5187</v>
      </c>
    </row>
    <row r="211" spans="1:16" ht="12.75">
      <c r="A211" s="194" t="str">
        <f ca="1">IFERROR(__xludf.DUMMYFUNCTION("""COMPUTED_VALUE"""),"Gurupi")</f>
        <v>Gurupi</v>
      </c>
      <c r="B211" s="194" t="str">
        <f ca="1">IFERROR(__xludf.DUMMYFUNCTION("""COMPUTED_VALUE"""),"Gurupi")</f>
        <v>Gurupi</v>
      </c>
      <c r="C211" s="195" t="str">
        <f ca="1">IFERROR(__xludf.DUMMYFUNCTION("""COMPUTED_VALUE"""),"A. DE PAIS E MESTRES/ESC. EST. VILA GUARACY")</f>
        <v>A. DE PAIS E MESTRES/ESC. EST. VILA GUARACY</v>
      </c>
      <c r="D211" s="196" t="str">
        <f ca="1">IFERROR(__xludf.DUMMYFUNCTION("""COMPUTED_VALUE"""),"01918955000195")</f>
        <v>01918955000195</v>
      </c>
      <c r="E211" s="197" t="str">
        <f ca="1">IFERROR(__xludf.DUMMYFUNCTION("""COMPUTED_VALUE"""),"001")</f>
        <v>001</v>
      </c>
      <c r="F211" s="197" t="str">
        <f ca="1">IFERROR(__xludf.DUMMYFUNCTION("""COMPUTED_VALUE"""),"0794")</f>
        <v>0794</v>
      </c>
      <c r="G211" s="198" t="str">
        <f ca="1">IFERROR(__xludf.DUMMYFUNCTION("""COMPUTED_VALUE"""),"67008")</f>
        <v>67008</v>
      </c>
      <c r="H211" s="198">
        <f ca="1">IFERROR(__xludf.DUMMYFUNCTION("""COMPUTED_VALUE"""),0)</f>
        <v>0</v>
      </c>
      <c r="I211" s="198">
        <f ca="1">IFERROR(__xludf.DUMMYFUNCTION("""COMPUTED_VALUE"""),0)</f>
        <v>0</v>
      </c>
      <c r="J211" s="198">
        <f ca="1">IFERROR(__xludf.DUMMYFUNCTION("""COMPUTED_VALUE"""),3780)</f>
        <v>3780</v>
      </c>
      <c r="K211" s="198">
        <f ca="1">IFERROR(__xludf.DUMMYFUNCTION("""COMPUTED_VALUE"""),0)</f>
        <v>0</v>
      </c>
      <c r="L211" s="198">
        <f ca="1">IFERROR(__xludf.DUMMYFUNCTION("""COMPUTED_VALUE"""),0)</f>
        <v>0</v>
      </c>
      <c r="M211" s="198">
        <f ca="1">IFERROR(__xludf.DUMMYFUNCTION("""COMPUTED_VALUE"""),315)</f>
        <v>315</v>
      </c>
      <c r="N211" s="198">
        <f ca="1">IFERROR(__xludf.DUMMYFUNCTION("""COMPUTED_VALUE"""),0)</f>
        <v>0</v>
      </c>
      <c r="O211" s="198">
        <f ca="1">IFERROR(__xludf.DUMMYFUNCTION("""COMPUTED_VALUE"""),0)</f>
        <v>0</v>
      </c>
      <c r="P211" s="198">
        <f t="shared" ca="1" si="1"/>
        <v>4095</v>
      </c>
    </row>
    <row r="212" spans="1:16" ht="12.75">
      <c r="A212" s="199" t="str">
        <f ca="1">IFERROR(__xludf.DUMMYFUNCTION("""COMPUTED_VALUE"""),"Gurupi")</f>
        <v>Gurupi</v>
      </c>
      <c r="B212" s="199" t="str">
        <f ca="1">IFERROR(__xludf.DUMMYFUNCTION("""COMPUTED_VALUE"""),"Gurupi")</f>
        <v>Gurupi</v>
      </c>
      <c r="C212" s="145" t="str">
        <f ca="1">IFERROR(__xludf.DUMMYFUNCTION("""COMPUTED_VALUE"""),"ASSOC APOIO INSTITUTO EDUCACIONAL PASSO A PASSO")</f>
        <v>ASSOC APOIO INSTITUTO EDUCACIONAL PASSO A PASSO</v>
      </c>
      <c r="D212" s="200" t="str">
        <f ca="1">IFERROR(__xludf.DUMMYFUNCTION("""COMPUTED_VALUE"""),"10450172000110")</f>
        <v>10450172000110</v>
      </c>
      <c r="E212" s="201" t="str">
        <f ca="1">IFERROR(__xludf.DUMMYFUNCTION("""COMPUTED_VALUE"""),"001")</f>
        <v>001</v>
      </c>
      <c r="F212" s="201" t="str">
        <f ca="1">IFERROR(__xludf.DUMMYFUNCTION("""COMPUTED_VALUE"""),"0794")</f>
        <v>0794</v>
      </c>
      <c r="G212" s="202" t="str">
        <f ca="1">IFERROR(__xludf.DUMMYFUNCTION("""COMPUTED_VALUE"""),"414263")</f>
        <v>414263</v>
      </c>
      <c r="H212" s="202">
        <f ca="1">IFERROR(__xludf.DUMMYFUNCTION("""COMPUTED_VALUE"""),0)</f>
        <v>0</v>
      </c>
      <c r="I212" s="202">
        <f ca="1">IFERROR(__xludf.DUMMYFUNCTION("""COMPUTED_VALUE"""),0)</f>
        <v>0</v>
      </c>
      <c r="J212" s="202">
        <f ca="1">IFERROR(__xludf.DUMMYFUNCTION("""COMPUTED_VALUE"""),8946)</f>
        <v>8946</v>
      </c>
      <c r="K212" s="202">
        <f ca="1">IFERROR(__xludf.DUMMYFUNCTION("""COMPUTED_VALUE"""),0)</f>
        <v>0</v>
      </c>
      <c r="L212" s="202">
        <f ca="1">IFERROR(__xludf.DUMMYFUNCTION("""COMPUTED_VALUE"""),0)</f>
        <v>0</v>
      </c>
      <c r="M212" s="202">
        <f ca="1">IFERROR(__xludf.DUMMYFUNCTION("""COMPUTED_VALUE"""),0)</f>
        <v>0</v>
      </c>
      <c r="N212" s="202">
        <f ca="1">IFERROR(__xludf.DUMMYFUNCTION("""COMPUTED_VALUE"""),0)</f>
        <v>0</v>
      </c>
      <c r="O212" s="202">
        <f ca="1">IFERROR(__xludf.DUMMYFUNCTION("""COMPUTED_VALUE"""),0)</f>
        <v>0</v>
      </c>
      <c r="P212" s="202">
        <f t="shared" ca="1" si="1"/>
        <v>8946</v>
      </c>
    </row>
    <row r="213" spans="1:16" ht="12.75">
      <c r="A213" s="194" t="str">
        <f ca="1">IFERROR(__xludf.DUMMYFUNCTION("""COMPUTED_VALUE"""),"Gurupi")</f>
        <v>Gurupi</v>
      </c>
      <c r="B213" s="194" t="str">
        <f ca="1">IFERROR(__xludf.DUMMYFUNCTION("""COMPUTED_VALUE"""),"Gurupi")</f>
        <v>Gurupi</v>
      </c>
      <c r="C213" s="195" t="str">
        <f ca="1">IFERROR(__xludf.DUMMYFUNCTION("""COMPUTED_VALUE"""),"A.A. DO INSTITUTO PRESBITERIANO ARAGUAIA")</f>
        <v>A.A. DO INSTITUTO PRESBITERIANO ARAGUAIA</v>
      </c>
      <c r="D213" s="196" t="str">
        <f ca="1">IFERROR(__xludf.DUMMYFUNCTION("""COMPUTED_VALUE"""),"03060918000114")</f>
        <v>03060918000114</v>
      </c>
      <c r="E213" s="197" t="str">
        <f ca="1">IFERROR(__xludf.DUMMYFUNCTION("""COMPUTED_VALUE"""),"104")</f>
        <v>104</v>
      </c>
      <c r="F213" s="197" t="str">
        <f ca="1">IFERROR(__xludf.DUMMYFUNCTION("""COMPUTED_VALUE"""),"0793")</f>
        <v>0793</v>
      </c>
      <c r="G213" s="198" t="str">
        <f ca="1">IFERROR(__xludf.DUMMYFUNCTION("""COMPUTED_VALUE"""),"12090")</f>
        <v>12090</v>
      </c>
      <c r="H213" s="198">
        <f ca="1">IFERROR(__xludf.DUMMYFUNCTION("""COMPUTED_VALUE"""),0)</f>
        <v>0</v>
      </c>
      <c r="I213" s="198">
        <f ca="1">IFERROR(__xludf.DUMMYFUNCTION("""COMPUTED_VALUE"""),0)</f>
        <v>0</v>
      </c>
      <c r="J213" s="198">
        <f ca="1">IFERROR(__xludf.DUMMYFUNCTION("""COMPUTED_VALUE"""),13293)</f>
        <v>13293</v>
      </c>
      <c r="K213" s="198">
        <f ca="1">IFERROR(__xludf.DUMMYFUNCTION("""COMPUTED_VALUE"""),0)</f>
        <v>0</v>
      </c>
      <c r="L213" s="198">
        <f ca="1">IFERROR(__xludf.DUMMYFUNCTION("""COMPUTED_VALUE"""),0)</f>
        <v>0</v>
      </c>
      <c r="M213" s="198">
        <f ca="1">IFERROR(__xludf.DUMMYFUNCTION("""COMPUTED_VALUE"""),567)</f>
        <v>567</v>
      </c>
      <c r="N213" s="198">
        <f ca="1">IFERROR(__xludf.DUMMYFUNCTION("""COMPUTED_VALUE"""),9660)</f>
        <v>9660</v>
      </c>
      <c r="O213" s="198">
        <f ca="1">IFERROR(__xludf.DUMMYFUNCTION("""COMPUTED_VALUE"""),0)</f>
        <v>0</v>
      </c>
      <c r="P213" s="198">
        <f t="shared" ca="1" si="1"/>
        <v>23520</v>
      </c>
    </row>
    <row r="214" spans="1:16" ht="12.75">
      <c r="A214" s="199" t="str">
        <f ca="1">IFERROR(__xludf.DUMMYFUNCTION("""COMPUTED_VALUE"""),"Gurupi")</f>
        <v>Gurupi</v>
      </c>
      <c r="B214" s="199" t="str">
        <f ca="1">IFERROR(__xludf.DUMMYFUNCTION("""COMPUTED_VALUE"""),"Gurupi")</f>
        <v>Gurupi</v>
      </c>
      <c r="C214" s="145" t="str">
        <f ca="1">IFERROR(__xludf.DUMMYFUNCTION("""COMPUTED_VALUE"""),"A.A. DO INSTITUTO PRESBITERIANO EDUCACIONAL")</f>
        <v>A.A. DO INSTITUTO PRESBITERIANO EDUCACIONAL</v>
      </c>
      <c r="D214" s="200" t="str">
        <f ca="1">IFERROR(__xludf.DUMMYFUNCTION("""COMPUTED_VALUE"""),"07217559000117")</f>
        <v>07217559000117</v>
      </c>
      <c r="E214" s="201" t="str">
        <f ca="1">IFERROR(__xludf.DUMMYFUNCTION("""COMPUTED_VALUE"""),"104")</f>
        <v>104</v>
      </c>
      <c r="F214" s="201" t="str">
        <f ca="1">IFERROR(__xludf.DUMMYFUNCTION("""COMPUTED_VALUE"""),"0793")</f>
        <v>0793</v>
      </c>
      <c r="G214" s="202" t="str">
        <f ca="1">IFERROR(__xludf.DUMMYFUNCTION("""COMPUTED_VALUE"""),"2663")</f>
        <v>2663</v>
      </c>
      <c r="H214" s="202">
        <f ca="1">IFERROR(__xludf.DUMMYFUNCTION("""COMPUTED_VALUE"""),0)</f>
        <v>0</v>
      </c>
      <c r="I214" s="202">
        <f ca="1">IFERROR(__xludf.DUMMYFUNCTION("""COMPUTED_VALUE"""),0)</f>
        <v>0</v>
      </c>
      <c r="J214" s="202">
        <f ca="1">IFERROR(__xludf.DUMMYFUNCTION("""COMPUTED_VALUE"""),5523)</f>
        <v>5523</v>
      </c>
      <c r="K214" s="202">
        <f ca="1">IFERROR(__xludf.DUMMYFUNCTION("""COMPUTED_VALUE"""),0)</f>
        <v>0</v>
      </c>
      <c r="L214" s="202">
        <f ca="1">IFERROR(__xludf.DUMMYFUNCTION("""COMPUTED_VALUE"""),0)</f>
        <v>0</v>
      </c>
      <c r="M214" s="202">
        <f ca="1">IFERROR(__xludf.DUMMYFUNCTION("""COMPUTED_VALUE"""),0)</f>
        <v>0</v>
      </c>
      <c r="N214" s="202">
        <f ca="1">IFERROR(__xludf.DUMMYFUNCTION("""COMPUTED_VALUE"""),0)</f>
        <v>0</v>
      </c>
      <c r="O214" s="202">
        <f ca="1">IFERROR(__xludf.DUMMYFUNCTION("""COMPUTED_VALUE"""),0)</f>
        <v>0</v>
      </c>
      <c r="P214" s="202">
        <f t="shared" ca="1" si="1"/>
        <v>5523</v>
      </c>
    </row>
    <row r="215" spans="1:16" ht="12.75">
      <c r="A215" s="194" t="str">
        <f ca="1">IFERROR(__xludf.DUMMYFUNCTION("""COMPUTED_VALUE"""),"Gurupi")</f>
        <v>Gurupi</v>
      </c>
      <c r="B215" s="194" t="str">
        <f ca="1">IFERROR(__xludf.DUMMYFUNCTION("""COMPUTED_VALUE"""),"Jau do Tocantins")</f>
        <v>Jau do Tocantins</v>
      </c>
      <c r="C215" s="195" t="str">
        <f ca="1">IFERROR(__xludf.DUMMYFUNCTION("""COMPUTED_VALUE"""),"AAEC PEDRO LUIZ BONFIM/ADELÁIDE FRANCISCO SOARES")</f>
        <v>AAEC PEDRO LUIZ BONFIM/ADELÁIDE FRANCISCO SOARES</v>
      </c>
      <c r="D215" s="196" t="str">
        <f ca="1">IFERROR(__xludf.DUMMYFUNCTION("""COMPUTED_VALUE"""),"02080228000164")</f>
        <v>02080228000164</v>
      </c>
      <c r="E215" s="197" t="str">
        <f ca="1">IFERROR(__xludf.DUMMYFUNCTION("""COMPUTED_VALUE"""),"001")</f>
        <v>001</v>
      </c>
      <c r="F215" s="197" t="str">
        <f ca="1">IFERROR(__xludf.DUMMYFUNCTION("""COMPUTED_VALUE"""),"0794")</f>
        <v>0794</v>
      </c>
      <c r="G215" s="198" t="str">
        <f ca="1">IFERROR(__xludf.DUMMYFUNCTION("""COMPUTED_VALUE"""),"420743")</f>
        <v>420743</v>
      </c>
      <c r="H215" s="198">
        <f ca="1">IFERROR(__xludf.DUMMYFUNCTION("""COMPUTED_VALUE"""),0)</f>
        <v>0</v>
      </c>
      <c r="I215" s="198">
        <f ca="1">IFERROR(__xludf.DUMMYFUNCTION("""COMPUTED_VALUE"""),0)</f>
        <v>0</v>
      </c>
      <c r="J215" s="198">
        <f ca="1">IFERROR(__xludf.DUMMYFUNCTION("""COMPUTED_VALUE"""),0)</f>
        <v>0</v>
      </c>
      <c r="K215" s="198">
        <f ca="1">IFERROR(__xludf.DUMMYFUNCTION("""COMPUTED_VALUE"""),0)</f>
        <v>0</v>
      </c>
      <c r="L215" s="198">
        <f ca="1">IFERROR(__xludf.DUMMYFUNCTION("""COMPUTED_VALUE"""),0)</f>
        <v>0</v>
      </c>
      <c r="M215" s="198">
        <f ca="1">IFERROR(__xludf.DUMMYFUNCTION("""COMPUTED_VALUE"""),0)</f>
        <v>0</v>
      </c>
      <c r="N215" s="198">
        <f ca="1">IFERROR(__xludf.DUMMYFUNCTION("""COMPUTED_VALUE"""),2982)</f>
        <v>2982</v>
      </c>
      <c r="O215" s="198">
        <f ca="1">IFERROR(__xludf.DUMMYFUNCTION("""COMPUTED_VALUE"""),0)</f>
        <v>0</v>
      </c>
      <c r="P215" s="198">
        <f t="shared" ca="1" si="1"/>
        <v>2982</v>
      </c>
    </row>
    <row r="216" spans="1:16" ht="12.75">
      <c r="A216" s="199" t="str">
        <f ca="1">IFERROR(__xludf.DUMMYFUNCTION("""COMPUTED_VALUE"""),"Gurupi")</f>
        <v>Gurupi</v>
      </c>
      <c r="B216" s="199" t="str">
        <f ca="1">IFERROR(__xludf.DUMMYFUNCTION("""COMPUTED_VALUE"""),"Palmeiropolis")</f>
        <v>Palmeiropolis</v>
      </c>
      <c r="C216" s="145" t="str">
        <f ca="1">IFERROR(__xludf.DUMMYFUNCTION("""COMPUTED_VALUE"""),"A.A. ESCOLA ESTADUAL PROFESSORA ONEIDES")</f>
        <v>A.A. ESCOLA ESTADUAL PROFESSORA ONEIDES</v>
      </c>
      <c r="D216" s="200" t="str">
        <f ca="1">IFERROR(__xludf.DUMMYFUNCTION("""COMPUTED_VALUE"""),"01262903000103")</f>
        <v>01262903000103</v>
      </c>
      <c r="E216" s="201" t="str">
        <f ca="1">IFERROR(__xludf.DUMMYFUNCTION("""COMPUTED_VALUE"""),"001")</f>
        <v>001</v>
      </c>
      <c r="F216" s="201" t="str">
        <f ca="1">IFERROR(__xludf.DUMMYFUNCTION("""COMPUTED_VALUE"""),"4608")</f>
        <v>4608</v>
      </c>
      <c r="G216" s="202" t="str">
        <f ca="1">IFERROR(__xludf.DUMMYFUNCTION("""COMPUTED_VALUE"""),"79758")</f>
        <v>79758</v>
      </c>
      <c r="H216" s="202">
        <f ca="1">IFERROR(__xludf.DUMMYFUNCTION("""COMPUTED_VALUE"""),0)</f>
        <v>0</v>
      </c>
      <c r="I216" s="202">
        <f ca="1">IFERROR(__xludf.DUMMYFUNCTION("""COMPUTED_VALUE"""),0)</f>
        <v>0</v>
      </c>
      <c r="J216" s="202">
        <f ca="1">IFERROR(__xludf.DUMMYFUNCTION("""COMPUTED_VALUE"""),4725)</f>
        <v>4725</v>
      </c>
      <c r="K216" s="202">
        <f ca="1">IFERROR(__xludf.DUMMYFUNCTION("""COMPUTED_VALUE"""),0)</f>
        <v>0</v>
      </c>
      <c r="L216" s="202">
        <f ca="1">IFERROR(__xludf.DUMMYFUNCTION("""COMPUTED_VALUE"""),0)</f>
        <v>0</v>
      </c>
      <c r="M216" s="202">
        <f ca="1">IFERROR(__xludf.DUMMYFUNCTION("""COMPUTED_VALUE"""),504)</f>
        <v>504</v>
      </c>
      <c r="N216" s="202">
        <f ca="1">IFERROR(__xludf.DUMMYFUNCTION("""COMPUTED_VALUE"""),3423)</f>
        <v>3423</v>
      </c>
      <c r="O216" s="202">
        <f ca="1">IFERROR(__xludf.DUMMYFUNCTION("""COMPUTED_VALUE"""),294)</f>
        <v>294</v>
      </c>
      <c r="P216" s="202">
        <f t="shared" ca="1" si="1"/>
        <v>8946</v>
      </c>
    </row>
    <row r="217" spans="1:16" ht="12.75">
      <c r="A217" s="194" t="str">
        <f ca="1">IFERROR(__xludf.DUMMYFUNCTION("""COMPUTED_VALUE"""),"Gurupi")</f>
        <v>Gurupi</v>
      </c>
      <c r="B217" s="194" t="str">
        <f ca="1">IFERROR(__xludf.DUMMYFUNCTION("""COMPUTED_VALUE"""),"Palmeiropolis")</f>
        <v>Palmeiropolis</v>
      </c>
      <c r="C217" s="195" t="str">
        <f ca="1">IFERROR(__xludf.DUMMYFUNCTION("""COMPUTED_VALUE"""),"A. A.DO COLEGIO EST. DE PALMEIROPOLIS (COLÉGIO MILITAR)")</f>
        <v>A. A.DO COLEGIO EST. DE PALMEIROPOLIS (COLÉGIO MILITAR)</v>
      </c>
      <c r="D217" s="196" t="str">
        <f ca="1">IFERROR(__xludf.DUMMYFUNCTION("""COMPUTED_VALUE"""),"01210496000190")</f>
        <v>01210496000190</v>
      </c>
      <c r="E217" s="197" t="str">
        <f ca="1">IFERROR(__xludf.DUMMYFUNCTION("""COMPUTED_VALUE"""),"001")</f>
        <v>001</v>
      </c>
      <c r="F217" s="197" t="str">
        <f ca="1">IFERROR(__xludf.DUMMYFUNCTION("""COMPUTED_VALUE"""),"1303")</f>
        <v>1303</v>
      </c>
      <c r="G217" s="198" t="str">
        <f ca="1">IFERROR(__xludf.DUMMYFUNCTION("""COMPUTED_VALUE"""),"97438")</f>
        <v>97438</v>
      </c>
      <c r="H217" s="198">
        <f ca="1">IFERROR(__xludf.DUMMYFUNCTION("""COMPUTED_VALUE"""),0)</f>
        <v>0</v>
      </c>
      <c r="I217" s="198">
        <f ca="1">IFERROR(__xludf.DUMMYFUNCTION("""COMPUTED_VALUE"""),0)</f>
        <v>0</v>
      </c>
      <c r="J217" s="198">
        <f ca="1">IFERROR(__xludf.DUMMYFUNCTION("""COMPUTED_VALUE"""),4914)</f>
        <v>4914</v>
      </c>
      <c r="K217" s="198">
        <f ca="1">IFERROR(__xludf.DUMMYFUNCTION("""COMPUTED_VALUE"""),0)</f>
        <v>0</v>
      </c>
      <c r="L217" s="198">
        <f ca="1">IFERROR(__xludf.DUMMYFUNCTION("""COMPUTED_VALUE"""),0)</f>
        <v>0</v>
      </c>
      <c r="M217" s="198">
        <f ca="1">IFERROR(__xludf.DUMMYFUNCTION("""COMPUTED_VALUE"""),294)</f>
        <v>294</v>
      </c>
      <c r="N217" s="198">
        <f ca="1">IFERROR(__xludf.DUMMYFUNCTION("""COMPUTED_VALUE"""),3507)</f>
        <v>3507</v>
      </c>
      <c r="O217" s="198">
        <f ca="1">IFERROR(__xludf.DUMMYFUNCTION("""COMPUTED_VALUE"""),0)</f>
        <v>0</v>
      </c>
      <c r="P217" s="198">
        <f t="shared" ca="1" si="1"/>
        <v>8715</v>
      </c>
    </row>
    <row r="218" spans="1:16" ht="12.75">
      <c r="A218" s="199" t="str">
        <f ca="1">IFERROR(__xludf.DUMMYFUNCTION("""COMPUTED_VALUE"""),"Gurupi")</f>
        <v>Gurupi</v>
      </c>
      <c r="B218" s="199" t="str">
        <f ca="1">IFERROR(__xludf.DUMMYFUNCTION("""COMPUTED_VALUE"""),"Peixe")</f>
        <v>Peixe</v>
      </c>
      <c r="C218" s="145" t="str">
        <f ca="1">IFERROR(__xludf.DUMMYFUNCTION("""COMPUTED_VALUE"""),"A.A. AO COLEGIO ESTADUAL D. ALANO")</f>
        <v>A.A. AO COLEGIO ESTADUAL D. ALANO</v>
      </c>
      <c r="D218" s="200" t="str">
        <f ca="1">IFERROR(__xludf.DUMMYFUNCTION("""COMPUTED_VALUE"""),"01133705000140")</f>
        <v>01133705000140</v>
      </c>
      <c r="E218" s="201" t="str">
        <f ca="1">IFERROR(__xludf.DUMMYFUNCTION("""COMPUTED_VALUE"""),"001")</f>
        <v>001</v>
      </c>
      <c r="F218" s="201" t="str">
        <f ca="1">IFERROR(__xludf.DUMMYFUNCTION("""COMPUTED_VALUE"""),"3979")</f>
        <v>3979</v>
      </c>
      <c r="G218" s="202" t="str">
        <f ca="1">IFERROR(__xludf.DUMMYFUNCTION("""COMPUTED_VALUE"""),"53155")</f>
        <v>53155</v>
      </c>
      <c r="H218" s="202">
        <f ca="1">IFERROR(__xludf.DUMMYFUNCTION("""COMPUTED_VALUE"""),0)</f>
        <v>0</v>
      </c>
      <c r="I218" s="202">
        <f ca="1">IFERROR(__xludf.DUMMYFUNCTION("""COMPUTED_VALUE"""),0)</f>
        <v>0</v>
      </c>
      <c r="J218" s="202">
        <f ca="1">IFERROR(__xludf.DUMMYFUNCTION("""COMPUTED_VALUE"""),0)</f>
        <v>0</v>
      </c>
      <c r="K218" s="202">
        <f ca="1">IFERROR(__xludf.DUMMYFUNCTION("""COMPUTED_VALUE"""),0)</f>
        <v>0</v>
      </c>
      <c r="L218" s="202">
        <f ca="1">IFERROR(__xludf.DUMMYFUNCTION("""COMPUTED_VALUE"""),0)</f>
        <v>0</v>
      </c>
      <c r="M218" s="202">
        <f ca="1">IFERROR(__xludf.DUMMYFUNCTION("""COMPUTED_VALUE"""),0)</f>
        <v>0</v>
      </c>
      <c r="N218" s="202">
        <f ca="1">IFERROR(__xludf.DUMMYFUNCTION("""COMPUTED_VALUE"""),5565)</f>
        <v>5565</v>
      </c>
      <c r="O218" s="202">
        <f ca="1">IFERROR(__xludf.DUMMYFUNCTION("""COMPUTED_VALUE"""),966)</f>
        <v>966</v>
      </c>
      <c r="P218" s="202">
        <f t="shared" ca="1" si="1"/>
        <v>6531</v>
      </c>
    </row>
    <row r="219" spans="1:16" ht="12.75">
      <c r="A219" s="194" t="str">
        <f ca="1">IFERROR(__xludf.DUMMYFUNCTION("""COMPUTED_VALUE"""),"Gurupi")</f>
        <v>Gurupi</v>
      </c>
      <c r="B219" s="194" t="str">
        <f ca="1">IFERROR(__xludf.DUMMYFUNCTION("""COMPUTED_VALUE"""),"Peixe")</f>
        <v>Peixe</v>
      </c>
      <c r="C219" s="195" t="str">
        <f ca="1">IFERROR(__xludf.DUMMYFUNCTION("""COMPUTED_VALUE"""),"A.A.  ESC. EST.TANCREDO DE ALMEIDA NEVES")</f>
        <v>A.A.  ESC. EST.TANCREDO DE ALMEIDA NEVES</v>
      </c>
      <c r="D219" s="196" t="str">
        <f ca="1">IFERROR(__xludf.DUMMYFUNCTION("""COMPUTED_VALUE"""),"01136008000142")</f>
        <v>01136008000142</v>
      </c>
      <c r="E219" s="197" t="str">
        <f ca="1">IFERROR(__xludf.DUMMYFUNCTION("""COMPUTED_VALUE"""),"001")</f>
        <v>001</v>
      </c>
      <c r="F219" s="197" t="str">
        <f ca="1">IFERROR(__xludf.DUMMYFUNCTION("""COMPUTED_VALUE"""),"3979")</f>
        <v>3979</v>
      </c>
      <c r="G219" s="198" t="str">
        <f ca="1">IFERROR(__xludf.DUMMYFUNCTION("""COMPUTED_VALUE"""),"52914")</f>
        <v>52914</v>
      </c>
      <c r="H219" s="198">
        <f ca="1">IFERROR(__xludf.DUMMYFUNCTION("""COMPUTED_VALUE"""),0)</f>
        <v>0</v>
      </c>
      <c r="I219" s="198">
        <f ca="1">IFERROR(__xludf.DUMMYFUNCTION("""COMPUTED_VALUE"""),0)</f>
        <v>0</v>
      </c>
      <c r="J219" s="198">
        <f ca="1">IFERROR(__xludf.DUMMYFUNCTION("""COMPUTED_VALUE"""),7791)</f>
        <v>7791</v>
      </c>
      <c r="K219" s="198">
        <f ca="1">IFERROR(__xludf.DUMMYFUNCTION("""COMPUTED_VALUE"""),0)</f>
        <v>0</v>
      </c>
      <c r="L219" s="198">
        <f ca="1">IFERROR(__xludf.DUMMYFUNCTION("""COMPUTED_VALUE"""),0)</f>
        <v>0</v>
      </c>
      <c r="M219" s="198">
        <f ca="1">IFERROR(__xludf.DUMMYFUNCTION("""COMPUTED_VALUE"""),0)</f>
        <v>0</v>
      </c>
      <c r="N219" s="198">
        <f ca="1">IFERROR(__xludf.DUMMYFUNCTION("""COMPUTED_VALUE"""),0)</f>
        <v>0</v>
      </c>
      <c r="O219" s="198">
        <f ca="1">IFERROR(__xludf.DUMMYFUNCTION("""COMPUTED_VALUE"""),0)</f>
        <v>0</v>
      </c>
      <c r="P219" s="198">
        <f t="shared" ca="1" si="1"/>
        <v>7791</v>
      </c>
    </row>
    <row r="220" spans="1:16" ht="12.75">
      <c r="A220" s="199" t="str">
        <f ca="1">IFERROR(__xludf.DUMMYFUNCTION("""COMPUTED_VALUE"""),"Gurupi")</f>
        <v>Gurupi</v>
      </c>
      <c r="B220" s="199" t="str">
        <f ca="1">IFERROR(__xludf.DUMMYFUNCTION("""COMPUTED_VALUE"""),"Sandolandia")</f>
        <v>Sandolandia</v>
      </c>
      <c r="C220" s="145" t="str">
        <f ca="1">IFERROR(__xludf.DUMMYFUNCTION("""COMPUTED_VALUE"""),"A.A. A ESC. EST.NOSSA SENHORA APARECIDA")</f>
        <v>A.A. A ESC. EST.NOSSA SENHORA APARECIDA</v>
      </c>
      <c r="D220" s="200" t="str">
        <f ca="1">IFERROR(__xludf.DUMMYFUNCTION("""COMPUTED_VALUE"""),"01393269000148")</f>
        <v>01393269000148</v>
      </c>
      <c r="E220" s="201" t="str">
        <f ca="1">IFERROR(__xludf.DUMMYFUNCTION("""COMPUTED_VALUE"""),"001")</f>
        <v>001</v>
      </c>
      <c r="F220" s="201" t="str">
        <f ca="1">IFERROR(__xludf.DUMMYFUNCTION("""COMPUTED_VALUE"""),"1304")</f>
        <v>1304</v>
      </c>
      <c r="G220" s="202" t="str">
        <f ca="1">IFERROR(__xludf.DUMMYFUNCTION("""COMPUTED_VALUE"""),"105163")</f>
        <v>105163</v>
      </c>
      <c r="H220" s="202">
        <f ca="1">IFERROR(__xludf.DUMMYFUNCTION("""COMPUTED_VALUE"""),0)</f>
        <v>0</v>
      </c>
      <c r="I220" s="202">
        <f ca="1">IFERROR(__xludf.DUMMYFUNCTION("""COMPUTED_VALUE"""),0)</f>
        <v>0</v>
      </c>
      <c r="J220" s="202">
        <f ca="1">IFERROR(__xludf.DUMMYFUNCTION("""COMPUTED_VALUE"""),4809)</f>
        <v>4809</v>
      </c>
      <c r="K220" s="202">
        <f ca="1">IFERROR(__xludf.DUMMYFUNCTION("""COMPUTED_VALUE"""),0)</f>
        <v>0</v>
      </c>
      <c r="L220" s="202">
        <f ca="1">IFERROR(__xludf.DUMMYFUNCTION("""COMPUTED_VALUE"""),0)</f>
        <v>0</v>
      </c>
      <c r="M220" s="202">
        <f ca="1">IFERROR(__xludf.DUMMYFUNCTION("""COMPUTED_VALUE"""),399)</f>
        <v>399</v>
      </c>
      <c r="N220" s="202">
        <f ca="1">IFERROR(__xludf.DUMMYFUNCTION("""COMPUTED_VALUE"""),2667)</f>
        <v>2667</v>
      </c>
      <c r="O220" s="202">
        <f ca="1">IFERROR(__xludf.DUMMYFUNCTION("""COMPUTED_VALUE"""),0)</f>
        <v>0</v>
      </c>
      <c r="P220" s="202">
        <f t="shared" ca="1" si="1"/>
        <v>7875</v>
      </c>
    </row>
    <row r="221" spans="1:16" ht="12.75">
      <c r="A221" s="194" t="str">
        <f ca="1">IFERROR(__xludf.DUMMYFUNCTION("""COMPUTED_VALUE"""),"Gurupi")</f>
        <v>Gurupi</v>
      </c>
      <c r="B221" s="194" t="str">
        <f ca="1">IFERROR(__xludf.DUMMYFUNCTION("""COMPUTED_VALUE"""),"Sandolandia")</f>
        <v>Sandolandia</v>
      </c>
      <c r="C221" s="195" t="str">
        <f ca="1">IFERROR(__xludf.DUMMYFUNCTION("""COMPUTED_VALUE"""),"ASS. DE APOIO ESC. EST.PE.JOSE DE ANCHIETA")</f>
        <v>ASS. DE APOIO ESC. EST.PE.JOSE DE ANCHIETA</v>
      </c>
      <c r="D221" s="196" t="str">
        <f ca="1">IFERROR(__xludf.DUMMYFUNCTION("""COMPUTED_VALUE"""),"01190190000110")</f>
        <v>01190190000110</v>
      </c>
      <c r="E221" s="197" t="str">
        <f ca="1">IFERROR(__xludf.DUMMYFUNCTION("""COMPUTED_VALUE"""),"001")</f>
        <v>001</v>
      </c>
      <c r="F221" s="197" t="str">
        <f ca="1">IFERROR(__xludf.DUMMYFUNCTION("""COMPUTED_VALUE"""),"1304")</f>
        <v>1304</v>
      </c>
      <c r="G221" s="198" t="str">
        <f ca="1">IFERROR(__xludf.DUMMYFUNCTION("""COMPUTED_VALUE"""),"105171")</f>
        <v>105171</v>
      </c>
      <c r="H221" s="198">
        <f ca="1">IFERROR(__xludf.DUMMYFUNCTION("""COMPUTED_VALUE"""),0)</f>
        <v>0</v>
      </c>
      <c r="I221" s="198">
        <f ca="1">IFERROR(__xludf.DUMMYFUNCTION("""COMPUTED_VALUE"""),0)</f>
        <v>0</v>
      </c>
      <c r="J221" s="198">
        <f ca="1">IFERROR(__xludf.DUMMYFUNCTION("""COMPUTED_VALUE"""),882)</f>
        <v>882</v>
      </c>
      <c r="K221" s="198">
        <f ca="1">IFERROR(__xludf.DUMMYFUNCTION("""COMPUTED_VALUE"""),0)</f>
        <v>0</v>
      </c>
      <c r="L221" s="198">
        <f ca="1">IFERROR(__xludf.DUMMYFUNCTION("""COMPUTED_VALUE"""),0)</f>
        <v>0</v>
      </c>
      <c r="M221" s="198">
        <f ca="1">IFERROR(__xludf.DUMMYFUNCTION("""COMPUTED_VALUE"""),0)</f>
        <v>0</v>
      </c>
      <c r="N221" s="198">
        <f ca="1">IFERROR(__xludf.DUMMYFUNCTION("""COMPUTED_VALUE"""),378)</f>
        <v>378</v>
      </c>
      <c r="O221" s="198">
        <f ca="1">IFERROR(__xludf.DUMMYFUNCTION("""COMPUTED_VALUE"""),0)</f>
        <v>0</v>
      </c>
      <c r="P221" s="198">
        <f t="shared" ca="1" si="1"/>
        <v>1260</v>
      </c>
    </row>
    <row r="222" spans="1:16" ht="12.75">
      <c r="A222" s="199" t="str">
        <f ca="1">IFERROR(__xludf.DUMMYFUNCTION("""COMPUTED_VALUE"""),"Gurupi")</f>
        <v>Gurupi</v>
      </c>
      <c r="B222" s="199" t="str">
        <f ca="1">IFERROR(__xludf.DUMMYFUNCTION("""COMPUTED_VALUE"""),"Sao Salvador do Tocantins")</f>
        <v>Sao Salvador do Tocantins</v>
      </c>
      <c r="C222" s="145" t="str">
        <f ca="1">IFERROR(__xludf.DUMMYFUNCTION("""COMPUTED_VALUE"""),"A.A DA ESCOLA ESTADUAL RETIRO")</f>
        <v>A.A DA ESCOLA ESTADUAL RETIRO</v>
      </c>
      <c r="D222" s="200" t="str">
        <f ca="1">IFERROR(__xludf.DUMMYFUNCTION("""COMPUTED_VALUE"""),"04205236000115")</f>
        <v>04205236000115</v>
      </c>
      <c r="E222" s="201" t="str">
        <f ca="1">IFERROR(__xludf.DUMMYFUNCTION("""COMPUTED_VALUE"""),"001")</f>
        <v>001</v>
      </c>
      <c r="F222" s="201" t="str">
        <f ca="1">IFERROR(__xludf.DUMMYFUNCTION("""COMPUTED_VALUE"""),"4608")</f>
        <v>4608</v>
      </c>
      <c r="G222" s="202" t="str">
        <f ca="1">IFERROR(__xludf.DUMMYFUNCTION("""COMPUTED_VALUE"""),"73563")</f>
        <v>73563</v>
      </c>
      <c r="H222" s="202">
        <f ca="1">IFERROR(__xludf.DUMMYFUNCTION("""COMPUTED_VALUE"""),0)</f>
        <v>0</v>
      </c>
      <c r="I222" s="202">
        <f ca="1">IFERROR(__xludf.DUMMYFUNCTION("""COMPUTED_VALUE"""),0)</f>
        <v>0</v>
      </c>
      <c r="J222" s="202">
        <f ca="1">IFERROR(__xludf.DUMMYFUNCTION("""COMPUTED_VALUE"""),1512)</f>
        <v>1512</v>
      </c>
      <c r="K222" s="202">
        <f ca="1">IFERROR(__xludf.DUMMYFUNCTION("""COMPUTED_VALUE"""),0)</f>
        <v>0</v>
      </c>
      <c r="L222" s="202">
        <f ca="1">IFERROR(__xludf.DUMMYFUNCTION("""COMPUTED_VALUE"""),0)</f>
        <v>0</v>
      </c>
      <c r="M222" s="202">
        <f ca="1">IFERROR(__xludf.DUMMYFUNCTION("""COMPUTED_VALUE"""),0)</f>
        <v>0</v>
      </c>
      <c r="N222" s="202">
        <f ca="1">IFERROR(__xludf.DUMMYFUNCTION("""COMPUTED_VALUE"""),672)</f>
        <v>672</v>
      </c>
      <c r="O222" s="202">
        <f ca="1">IFERROR(__xludf.DUMMYFUNCTION("""COMPUTED_VALUE"""),0)</f>
        <v>0</v>
      </c>
      <c r="P222" s="202">
        <f t="shared" ca="1" si="1"/>
        <v>2184</v>
      </c>
    </row>
    <row r="223" spans="1:16" ht="12.75">
      <c r="A223" s="194" t="str">
        <f ca="1">IFERROR(__xludf.DUMMYFUNCTION("""COMPUTED_VALUE"""),"Gurupi")</f>
        <v>Gurupi</v>
      </c>
      <c r="B223" s="194" t="str">
        <f ca="1">IFERROR(__xludf.DUMMYFUNCTION("""COMPUTED_VALUE"""),"Sao Valerio da Natividade")</f>
        <v>Sao Valerio da Natividade</v>
      </c>
      <c r="C223" s="195" t="str">
        <f ca="1">IFERROR(__xludf.DUMMYFUNCTION("""COMPUTED_VALUE"""),"A.P.M.E ALUNOS COL. EST. REGINA S. CAMPOS")</f>
        <v>A.P.M.E ALUNOS COL. EST. REGINA S. CAMPOS</v>
      </c>
      <c r="D223" s="196" t="str">
        <f ca="1">IFERROR(__xludf.DUMMYFUNCTION("""COMPUTED_VALUE"""),"01431377000168")</f>
        <v>01431377000168</v>
      </c>
      <c r="E223" s="197" t="str">
        <f ca="1">IFERROR(__xludf.DUMMYFUNCTION("""COMPUTED_VALUE"""),"001")</f>
        <v>001</v>
      </c>
      <c r="F223" s="197" t="str">
        <f ca="1">IFERROR(__xludf.DUMMYFUNCTION("""COMPUTED_VALUE"""),"0794")</f>
        <v>0794</v>
      </c>
      <c r="G223" s="198" t="str">
        <f ca="1">IFERROR(__xludf.DUMMYFUNCTION("""COMPUTED_VALUE"""),"52477")</f>
        <v>52477</v>
      </c>
      <c r="H223" s="198">
        <f ca="1">IFERROR(__xludf.DUMMYFUNCTION("""COMPUTED_VALUE"""),0)</f>
        <v>0</v>
      </c>
      <c r="I223" s="198">
        <f ca="1">IFERROR(__xludf.DUMMYFUNCTION("""COMPUTED_VALUE"""),0)</f>
        <v>0</v>
      </c>
      <c r="J223" s="198">
        <f ca="1">IFERROR(__xludf.DUMMYFUNCTION("""COMPUTED_VALUE"""),3297)</f>
        <v>3297</v>
      </c>
      <c r="K223" s="198">
        <f ca="1">IFERROR(__xludf.DUMMYFUNCTION("""COMPUTED_VALUE"""),0)</f>
        <v>0</v>
      </c>
      <c r="L223" s="198">
        <f ca="1">IFERROR(__xludf.DUMMYFUNCTION("""COMPUTED_VALUE"""),0)</f>
        <v>0</v>
      </c>
      <c r="M223" s="198">
        <f ca="1">IFERROR(__xludf.DUMMYFUNCTION("""COMPUTED_VALUE"""),420)</f>
        <v>420</v>
      </c>
      <c r="N223" s="198">
        <f ca="1">IFERROR(__xludf.DUMMYFUNCTION("""COMPUTED_VALUE"""),4179)</f>
        <v>4179</v>
      </c>
      <c r="O223" s="198">
        <f ca="1">IFERROR(__xludf.DUMMYFUNCTION("""COMPUTED_VALUE"""),0)</f>
        <v>0</v>
      </c>
      <c r="P223" s="198">
        <f t="shared" ca="1" si="1"/>
        <v>7896</v>
      </c>
    </row>
    <row r="224" spans="1:16" ht="12.75">
      <c r="A224" s="199" t="str">
        <f ca="1">IFERROR(__xludf.DUMMYFUNCTION("""COMPUTED_VALUE"""),"Gurupi")</f>
        <v>Gurupi</v>
      </c>
      <c r="B224" s="199" t="str">
        <f ca="1">IFERROR(__xludf.DUMMYFUNCTION("""COMPUTED_VALUE"""),"Sucupira")</f>
        <v>Sucupira</v>
      </c>
      <c r="C224" s="145" t="str">
        <f ca="1">IFERROR(__xludf.DUMMYFUNCTION("""COMPUTED_VALUE"""),"AS. APOIO ESCOLA ESTADUAL OLAVO BILAC")</f>
        <v>AS. APOIO ESCOLA ESTADUAL OLAVO BILAC</v>
      </c>
      <c r="D224" s="200" t="str">
        <f ca="1">IFERROR(__xludf.DUMMYFUNCTION("""COMPUTED_VALUE"""),"01268287000106")</f>
        <v>01268287000106</v>
      </c>
      <c r="E224" s="201" t="str">
        <f ca="1">IFERROR(__xludf.DUMMYFUNCTION("""COMPUTED_VALUE"""),"001")</f>
        <v>001</v>
      </c>
      <c r="F224" s="201" t="str">
        <f ca="1">IFERROR(__xludf.DUMMYFUNCTION("""COMPUTED_VALUE"""),"0794")</f>
        <v>0794</v>
      </c>
      <c r="G224" s="202" t="str">
        <f ca="1">IFERROR(__xludf.DUMMYFUNCTION("""COMPUTED_VALUE"""),"245852")</f>
        <v>245852</v>
      </c>
      <c r="H224" s="202">
        <f ca="1">IFERROR(__xludf.DUMMYFUNCTION("""COMPUTED_VALUE"""),0)</f>
        <v>0</v>
      </c>
      <c r="I224" s="202">
        <f ca="1">IFERROR(__xludf.DUMMYFUNCTION("""COMPUTED_VALUE"""),0)</f>
        <v>0</v>
      </c>
      <c r="J224" s="202">
        <f ca="1">IFERROR(__xludf.DUMMYFUNCTION("""COMPUTED_VALUE"""),2877)</f>
        <v>2877</v>
      </c>
      <c r="K224" s="202">
        <f ca="1">IFERROR(__xludf.DUMMYFUNCTION("""COMPUTED_VALUE"""),0)</f>
        <v>0</v>
      </c>
      <c r="L224" s="202">
        <f ca="1">IFERROR(__xludf.DUMMYFUNCTION("""COMPUTED_VALUE"""),0)</f>
        <v>0</v>
      </c>
      <c r="M224" s="202">
        <f ca="1">IFERROR(__xludf.DUMMYFUNCTION("""COMPUTED_VALUE"""),0)</f>
        <v>0</v>
      </c>
      <c r="N224" s="202">
        <f ca="1">IFERROR(__xludf.DUMMYFUNCTION("""COMPUTED_VALUE"""),1470)</f>
        <v>1470</v>
      </c>
      <c r="O224" s="202">
        <f ca="1">IFERROR(__xludf.DUMMYFUNCTION("""COMPUTED_VALUE"""),0)</f>
        <v>0</v>
      </c>
      <c r="P224" s="202">
        <f t="shared" ca="1" si="1"/>
        <v>4347</v>
      </c>
    </row>
    <row r="225" spans="1:16" ht="12.75">
      <c r="A225" s="194" t="str">
        <f ca="1">IFERROR(__xludf.DUMMYFUNCTION("""COMPUTED_VALUE"""),"Gurupi")</f>
        <v>Gurupi</v>
      </c>
      <c r="B225" s="194" t="str">
        <f ca="1">IFERROR(__xludf.DUMMYFUNCTION("""COMPUTED_VALUE"""),"Talisma")</f>
        <v>Talisma</v>
      </c>
      <c r="C225" s="195" t="str">
        <f ca="1">IFERROR(__xludf.DUMMYFUNCTION("""COMPUTED_VALUE"""),"A.A.  DO COLEGIO ESTADUAL DE TALISMA")</f>
        <v>A.A.  DO COLEGIO ESTADUAL DE TALISMA</v>
      </c>
      <c r="D225" s="196" t="str">
        <f ca="1">IFERROR(__xludf.DUMMYFUNCTION("""COMPUTED_VALUE"""),"07547605000146")</f>
        <v>07547605000146</v>
      </c>
      <c r="E225" s="197" t="str">
        <f ca="1">IFERROR(__xludf.DUMMYFUNCTION("""COMPUTED_VALUE"""),"001")</f>
        <v>001</v>
      </c>
      <c r="F225" s="197" t="str">
        <f ca="1">IFERROR(__xludf.DUMMYFUNCTION("""COMPUTED_VALUE"""),"1303")</f>
        <v>1303</v>
      </c>
      <c r="G225" s="198" t="str">
        <f ca="1">IFERROR(__xludf.DUMMYFUNCTION("""COMPUTED_VALUE"""),"155446")</f>
        <v>155446</v>
      </c>
      <c r="H225" s="198">
        <f ca="1">IFERROR(__xludf.DUMMYFUNCTION("""COMPUTED_VALUE"""),0)</f>
        <v>0</v>
      </c>
      <c r="I225" s="198">
        <f ca="1">IFERROR(__xludf.DUMMYFUNCTION("""COMPUTED_VALUE"""),0)</f>
        <v>0</v>
      </c>
      <c r="J225" s="198">
        <f ca="1">IFERROR(__xludf.DUMMYFUNCTION("""COMPUTED_VALUE"""),0)</f>
        <v>0</v>
      </c>
      <c r="K225" s="198">
        <f ca="1">IFERROR(__xludf.DUMMYFUNCTION("""COMPUTED_VALUE"""),0)</f>
        <v>0</v>
      </c>
      <c r="L225" s="198">
        <f ca="1">IFERROR(__xludf.DUMMYFUNCTION("""COMPUTED_VALUE"""),0)</f>
        <v>0</v>
      </c>
      <c r="M225" s="198">
        <f ca="1">IFERROR(__xludf.DUMMYFUNCTION("""COMPUTED_VALUE"""),0)</f>
        <v>0</v>
      </c>
      <c r="N225" s="198">
        <f ca="1">IFERROR(__xludf.DUMMYFUNCTION("""COMPUTED_VALUE"""),1932)</f>
        <v>1932</v>
      </c>
      <c r="O225" s="198">
        <f ca="1">IFERROR(__xludf.DUMMYFUNCTION("""COMPUTED_VALUE"""),378)</f>
        <v>378</v>
      </c>
      <c r="P225" s="198">
        <f t="shared" ca="1" si="1"/>
        <v>2310</v>
      </c>
    </row>
    <row r="226" spans="1:16" ht="12.75">
      <c r="A226" s="199" t="str">
        <f ca="1">IFERROR(__xludf.DUMMYFUNCTION("""COMPUTED_VALUE"""),"Miracema")</f>
        <v>Miracema</v>
      </c>
      <c r="B226" s="199" t="str">
        <f ca="1">IFERROR(__xludf.DUMMYFUNCTION("""COMPUTED_VALUE"""),"dois Irmaos do Tocantins")</f>
        <v>dois Irmaos do Tocantins</v>
      </c>
      <c r="C226" s="145" t="str">
        <f ca="1">IFERROR(__xludf.DUMMYFUNCTION("""COMPUTED_VALUE"""),"A.C.E. COL PRES. CASTELO BRANCO")</f>
        <v>A.C.E. COL PRES. CASTELO BRANCO</v>
      </c>
      <c r="D226" s="200" t="str">
        <f ca="1">IFERROR(__xludf.DUMMYFUNCTION("""COMPUTED_VALUE"""),"01034882000179")</f>
        <v>01034882000179</v>
      </c>
      <c r="E226" s="201" t="str">
        <f ca="1">IFERROR(__xludf.DUMMYFUNCTION("""COMPUTED_VALUE"""),"001")</f>
        <v>001</v>
      </c>
      <c r="F226" s="201" t="str">
        <f ca="1">IFERROR(__xludf.DUMMYFUNCTION("""COMPUTED_VALUE"""),"0862")</f>
        <v>0862</v>
      </c>
      <c r="G226" s="202" t="str">
        <f ca="1">IFERROR(__xludf.DUMMYFUNCTION("""COMPUTED_VALUE"""),"68950")</f>
        <v>68950</v>
      </c>
      <c r="H226" s="202">
        <f ca="1">IFERROR(__xludf.DUMMYFUNCTION("""COMPUTED_VALUE"""),0)</f>
        <v>0</v>
      </c>
      <c r="I226" s="202">
        <f ca="1">IFERROR(__xludf.DUMMYFUNCTION("""COMPUTED_VALUE"""),0)</f>
        <v>0</v>
      </c>
      <c r="J226" s="202">
        <f ca="1">IFERROR(__xludf.DUMMYFUNCTION("""COMPUTED_VALUE"""),7518)</f>
        <v>7518</v>
      </c>
      <c r="K226" s="202">
        <f ca="1">IFERROR(__xludf.DUMMYFUNCTION("""COMPUTED_VALUE"""),0)</f>
        <v>0</v>
      </c>
      <c r="L226" s="202">
        <f ca="1">IFERROR(__xludf.DUMMYFUNCTION("""COMPUTED_VALUE"""),0)</f>
        <v>0</v>
      </c>
      <c r="M226" s="202">
        <f ca="1">IFERROR(__xludf.DUMMYFUNCTION("""COMPUTED_VALUE"""),294)</f>
        <v>294</v>
      </c>
      <c r="N226" s="202">
        <f ca="1">IFERROR(__xludf.DUMMYFUNCTION("""COMPUTED_VALUE"""),4494)</f>
        <v>4494</v>
      </c>
      <c r="O226" s="202">
        <f ca="1">IFERROR(__xludf.DUMMYFUNCTION("""COMPUTED_VALUE"""),0)</f>
        <v>0</v>
      </c>
      <c r="P226" s="202">
        <f t="shared" ca="1" si="1"/>
        <v>12306</v>
      </c>
    </row>
    <row r="227" spans="1:16" ht="12.75">
      <c r="A227" s="194" t="str">
        <f ca="1">IFERROR(__xludf.DUMMYFUNCTION("""COMPUTED_VALUE"""),"Miracema")</f>
        <v>Miracema</v>
      </c>
      <c r="B227" s="194" t="str">
        <f ca="1">IFERROR(__xludf.DUMMYFUNCTION("""COMPUTED_VALUE"""),"dois Irmaos do Tocantins")</f>
        <v>dois Irmaos do Tocantins</v>
      </c>
      <c r="C227" s="195" t="str">
        <f ca="1">IFERROR(__xludf.DUMMYFUNCTION("""COMPUTED_VALUE"""),"ASSOC. DE APOIO A ESCOLA ESPECIAL CLOVIS DE ASSIS")</f>
        <v>ASSOC. DE APOIO A ESCOLA ESPECIAL CLOVIS DE ASSIS</v>
      </c>
      <c r="D227" s="196" t="str">
        <f ca="1">IFERROR(__xludf.DUMMYFUNCTION("""COMPUTED_VALUE"""),"09327390000183")</f>
        <v>09327390000183</v>
      </c>
      <c r="E227" s="197" t="str">
        <f ca="1">IFERROR(__xludf.DUMMYFUNCTION("""COMPUTED_VALUE"""),"001")</f>
        <v>001</v>
      </c>
      <c r="F227" s="197" t="str">
        <f ca="1">IFERROR(__xludf.DUMMYFUNCTION("""COMPUTED_VALUE"""),"0862")</f>
        <v>0862</v>
      </c>
      <c r="G227" s="198" t="str">
        <f ca="1">IFERROR(__xludf.DUMMYFUNCTION("""COMPUTED_VALUE"""),"211087")</f>
        <v>211087</v>
      </c>
      <c r="H227" s="198">
        <f ca="1">IFERROR(__xludf.DUMMYFUNCTION("""COMPUTED_VALUE"""),0)</f>
        <v>0</v>
      </c>
      <c r="I227" s="198">
        <f ca="1">IFERROR(__xludf.DUMMYFUNCTION("""COMPUTED_VALUE"""),0)</f>
        <v>0</v>
      </c>
      <c r="J227" s="198">
        <f ca="1">IFERROR(__xludf.DUMMYFUNCTION("""COMPUTED_VALUE"""),252)</f>
        <v>252</v>
      </c>
      <c r="K227" s="198">
        <f ca="1">IFERROR(__xludf.DUMMYFUNCTION("""COMPUTED_VALUE"""),0)</f>
        <v>0</v>
      </c>
      <c r="L227" s="198">
        <f ca="1">IFERROR(__xludf.DUMMYFUNCTION("""COMPUTED_VALUE"""),0)</f>
        <v>0</v>
      </c>
      <c r="M227" s="198">
        <f ca="1">IFERROR(__xludf.DUMMYFUNCTION("""COMPUTED_VALUE"""),987)</f>
        <v>987</v>
      </c>
      <c r="N227" s="198">
        <f ca="1">IFERROR(__xludf.DUMMYFUNCTION("""COMPUTED_VALUE"""),0)</f>
        <v>0</v>
      </c>
      <c r="O227" s="198">
        <f ca="1">IFERROR(__xludf.DUMMYFUNCTION("""COMPUTED_VALUE"""),798)</f>
        <v>798</v>
      </c>
      <c r="P227" s="198">
        <f t="shared" ca="1" si="1"/>
        <v>2037</v>
      </c>
    </row>
    <row r="228" spans="1:16" ht="12.75">
      <c r="A228" s="199" t="str">
        <f ca="1">IFERROR(__xludf.DUMMYFUNCTION("""COMPUTED_VALUE"""),"Miracema")</f>
        <v>Miracema</v>
      </c>
      <c r="B228" s="199" t="str">
        <f ca="1">IFERROR(__xludf.DUMMYFUNCTION("""COMPUTED_VALUE"""),"Lizarda")</f>
        <v>Lizarda</v>
      </c>
      <c r="C228" s="145" t="str">
        <f ca="1">IFERROR(__xludf.DUMMYFUNCTION("""COMPUTED_VALUE"""),"A. ESC. COMUN. DO COL. EST. 31 DE MARCO")</f>
        <v>A. ESC. COMUN. DO COL. EST. 31 DE MARCO</v>
      </c>
      <c r="D228" s="200" t="str">
        <f ca="1">IFERROR(__xludf.DUMMYFUNCTION("""COMPUTED_VALUE"""),"01232873000192")</f>
        <v>01232873000192</v>
      </c>
      <c r="E228" s="201" t="str">
        <f ca="1">IFERROR(__xludf.DUMMYFUNCTION("""COMPUTED_VALUE"""),"001")</f>
        <v>001</v>
      </c>
      <c r="F228" s="201" t="str">
        <f ca="1">IFERROR(__xludf.DUMMYFUNCTION("""COMPUTED_VALUE"""),"0862")</f>
        <v>0862</v>
      </c>
      <c r="G228" s="202" t="str">
        <f ca="1">IFERROR(__xludf.DUMMYFUNCTION("""COMPUTED_VALUE"""),"68969")</f>
        <v>68969</v>
      </c>
      <c r="H228" s="202">
        <f ca="1">IFERROR(__xludf.DUMMYFUNCTION("""COMPUTED_VALUE"""),0)</f>
        <v>0</v>
      </c>
      <c r="I228" s="202">
        <f ca="1">IFERROR(__xludf.DUMMYFUNCTION("""COMPUTED_VALUE"""),0)</f>
        <v>0</v>
      </c>
      <c r="J228" s="202">
        <f ca="1">IFERROR(__xludf.DUMMYFUNCTION("""COMPUTED_VALUE"""),3990)</f>
        <v>3990</v>
      </c>
      <c r="K228" s="202">
        <f ca="1">IFERROR(__xludf.DUMMYFUNCTION("""COMPUTED_VALUE"""),0)</f>
        <v>0</v>
      </c>
      <c r="L228" s="202">
        <f ca="1">IFERROR(__xludf.DUMMYFUNCTION("""COMPUTED_VALUE"""),0)</f>
        <v>0</v>
      </c>
      <c r="M228" s="202">
        <f ca="1">IFERROR(__xludf.DUMMYFUNCTION("""COMPUTED_VALUE"""),252)</f>
        <v>252</v>
      </c>
      <c r="N228" s="202">
        <f ca="1">IFERROR(__xludf.DUMMYFUNCTION("""COMPUTED_VALUE"""),3528)</f>
        <v>3528</v>
      </c>
      <c r="O228" s="202">
        <f ca="1">IFERROR(__xludf.DUMMYFUNCTION("""COMPUTED_VALUE"""),0)</f>
        <v>0</v>
      </c>
      <c r="P228" s="202">
        <f t="shared" ca="1" si="1"/>
        <v>7770</v>
      </c>
    </row>
    <row r="229" spans="1:16" ht="12.75">
      <c r="A229" s="194" t="str">
        <f ca="1">IFERROR(__xludf.DUMMYFUNCTION("""COMPUTED_VALUE"""),"Miracema")</f>
        <v>Miracema</v>
      </c>
      <c r="B229" s="194" t="str">
        <f ca="1">IFERROR(__xludf.DUMMYFUNCTION("""COMPUTED_VALUE"""),"Lizarda")</f>
        <v>Lizarda</v>
      </c>
      <c r="C229" s="195" t="str">
        <f ca="1">IFERROR(__xludf.DUMMYFUNCTION("""COMPUTED_VALUE"""),"ESCOLA ESTADUAL AYRTON SENNA")</f>
        <v>ESCOLA ESTADUAL AYRTON SENNA</v>
      </c>
      <c r="D229" s="196" t="str">
        <f ca="1">IFERROR(__xludf.DUMMYFUNCTION("""COMPUTED_VALUE"""),"11406586000105")</f>
        <v>11406586000105</v>
      </c>
      <c r="E229" s="197" t="str">
        <f ca="1">IFERROR(__xludf.DUMMYFUNCTION("""COMPUTED_VALUE"""),"001")</f>
        <v>001</v>
      </c>
      <c r="F229" s="197" t="str">
        <f ca="1">IFERROR(__xludf.DUMMYFUNCTION("""COMPUTED_VALUE"""),"0862")</f>
        <v>0862</v>
      </c>
      <c r="G229" s="198" t="str">
        <f ca="1">IFERROR(__xludf.DUMMYFUNCTION("""COMPUTED_VALUE"""),"270393")</f>
        <v>270393</v>
      </c>
      <c r="H229" s="198">
        <f ca="1">IFERROR(__xludf.DUMMYFUNCTION("""COMPUTED_VALUE"""),0)</f>
        <v>0</v>
      </c>
      <c r="I229" s="198">
        <f ca="1">IFERROR(__xludf.DUMMYFUNCTION("""COMPUTED_VALUE"""),0)</f>
        <v>0</v>
      </c>
      <c r="J229" s="198">
        <f ca="1">IFERROR(__xludf.DUMMYFUNCTION("""COMPUTED_VALUE"""),1491)</f>
        <v>1491</v>
      </c>
      <c r="K229" s="198">
        <f ca="1">IFERROR(__xludf.DUMMYFUNCTION("""COMPUTED_VALUE"""),0)</f>
        <v>0</v>
      </c>
      <c r="L229" s="198">
        <f ca="1">IFERROR(__xludf.DUMMYFUNCTION("""COMPUTED_VALUE"""),0)</f>
        <v>0</v>
      </c>
      <c r="M229" s="198">
        <f ca="1">IFERROR(__xludf.DUMMYFUNCTION("""COMPUTED_VALUE"""),105)</f>
        <v>105</v>
      </c>
      <c r="N229" s="198">
        <f ca="1">IFERROR(__xludf.DUMMYFUNCTION("""COMPUTED_VALUE"""),630)</f>
        <v>630</v>
      </c>
      <c r="O229" s="198">
        <f ca="1">IFERROR(__xludf.DUMMYFUNCTION("""COMPUTED_VALUE"""),0)</f>
        <v>0</v>
      </c>
      <c r="P229" s="198">
        <f t="shared" ca="1" si="1"/>
        <v>2226</v>
      </c>
    </row>
    <row r="230" spans="1:16" ht="12.75">
      <c r="A230" s="199" t="str">
        <f ca="1">IFERROR(__xludf.DUMMYFUNCTION("""COMPUTED_VALUE"""),"Miracema")</f>
        <v>Miracema</v>
      </c>
      <c r="B230" s="199" t="str">
        <f ca="1">IFERROR(__xludf.DUMMYFUNCTION("""COMPUTED_VALUE"""),"Miracema do Tocantins")</f>
        <v>Miracema do Tocantins</v>
      </c>
      <c r="C230" s="145" t="str">
        <f ca="1">IFERROR(__xludf.DUMMYFUNCTION("""COMPUTED_VALUE"""),"ASSOCIAÇÃO DE APOIO ÀS ESCOLAS INDIGENAS XERENTE")</f>
        <v>ASSOCIAÇÃO DE APOIO ÀS ESCOLAS INDIGENAS XERENTE</v>
      </c>
      <c r="D230" s="200" t="str">
        <f ca="1">IFERROR(__xludf.DUMMYFUNCTION("""COMPUTED_VALUE"""),"07671600000120")</f>
        <v>07671600000120</v>
      </c>
      <c r="E230" s="201" t="str">
        <f ca="1">IFERROR(__xludf.DUMMYFUNCTION("""COMPUTED_VALUE"""),"001")</f>
        <v>001</v>
      </c>
      <c r="F230" s="201" t="str">
        <f ca="1">IFERROR(__xludf.DUMMYFUNCTION("""COMPUTED_VALUE"""),"0862")</f>
        <v>0862</v>
      </c>
      <c r="G230" s="202" t="str">
        <f ca="1">IFERROR(__xludf.DUMMYFUNCTION("""COMPUTED_VALUE"""),"185884")</f>
        <v>185884</v>
      </c>
      <c r="H230" s="202">
        <f ca="1">IFERROR(__xludf.DUMMYFUNCTION("""COMPUTED_VALUE"""),0)</f>
        <v>0</v>
      </c>
      <c r="I230" s="202">
        <f ca="1">IFERROR(__xludf.DUMMYFUNCTION("""COMPUTED_VALUE"""),0)</f>
        <v>0</v>
      </c>
      <c r="J230" s="202">
        <f ca="1">IFERROR(__xludf.DUMMYFUNCTION("""COMPUTED_VALUE"""),0)</f>
        <v>0</v>
      </c>
      <c r="K230" s="202">
        <f ca="1">IFERROR(__xludf.DUMMYFUNCTION("""COMPUTED_VALUE"""),0)</f>
        <v>0</v>
      </c>
      <c r="L230" s="202">
        <f ca="1">IFERROR(__xludf.DUMMYFUNCTION("""COMPUTED_VALUE"""),25641)</f>
        <v>25641</v>
      </c>
      <c r="M230" s="202">
        <f ca="1">IFERROR(__xludf.DUMMYFUNCTION("""COMPUTED_VALUE"""),0)</f>
        <v>0</v>
      </c>
      <c r="N230" s="202">
        <f ca="1">IFERROR(__xludf.DUMMYFUNCTION("""COMPUTED_VALUE"""),0)</f>
        <v>0</v>
      </c>
      <c r="O230" s="202">
        <f ca="1">IFERROR(__xludf.DUMMYFUNCTION("""COMPUTED_VALUE"""),0)</f>
        <v>0</v>
      </c>
      <c r="P230" s="202">
        <f t="shared" ca="1" si="1"/>
        <v>25641</v>
      </c>
    </row>
    <row r="231" spans="1:16" ht="12.75">
      <c r="A231" s="194" t="str">
        <f ca="1">IFERROR(__xludf.DUMMYFUNCTION("""COMPUTED_VALUE"""),"Miracema")</f>
        <v>Miracema</v>
      </c>
      <c r="B231" s="194" t="str">
        <f ca="1">IFERROR(__xludf.DUMMYFUNCTION("""COMPUTED_VALUE"""),"Miracema do Tocantins")</f>
        <v>Miracema do Tocantins</v>
      </c>
      <c r="C231" s="195" t="str">
        <f ca="1">IFERROR(__xludf.DUMMYFUNCTION("""COMPUTED_VALUE"""),"ASSOC ESC COM COL EST FILOMENA MOREIRA DE PAULA")</f>
        <v>ASSOC ESC COM COL EST FILOMENA MOREIRA DE PAULA</v>
      </c>
      <c r="D231" s="196" t="str">
        <f ca="1">IFERROR(__xludf.DUMMYFUNCTION("""COMPUTED_VALUE"""),"00900200000109")</f>
        <v>00900200000109</v>
      </c>
      <c r="E231" s="197" t="str">
        <f ca="1">IFERROR(__xludf.DUMMYFUNCTION("""COMPUTED_VALUE"""),"001")</f>
        <v>001</v>
      </c>
      <c r="F231" s="197" t="str">
        <f ca="1">IFERROR(__xludf.DUMMYFUNCTION("""COMPUTED_VALUE"""),"0862")</f>
        <v>0862</v>
      </c>
      <c r="G231" s="198" t="str">
        <f ca="1">IFERROR(__xludf.DUMMYFUNCTION("""COMPUTED_VALUE"""),"97527")</f>
        <v>97527</v>
      </c>
      <c r="H231" s="198">
        <f ca="1">IFERROR(__xludf.DUMMYFUNCTION("""COMPUTED_VALUE"""),0)</f>
        <v>0</v>
      </c>
      <c r="I231" s="198">
        <f ca="1">IFERROR(__xludf.DUMMYFUNCTION("""COMPUTED_VALUE"""),0)</f>
        <v>0</v>
      </c>
      <c r="J231" s="198">
        <f ca="1">IFERROR(__xludf.DUMMYFUNCTION("""COMPUTED_VALUE"""),0)</f>
        <v>0</v>
      </c>
      <c r="K231" s="198">
        <f ca="1">IFERROR(__xludf.DUMMYFUNCTION("""COMPUTED_VALUE"""),0)</f>
        <v>0</v>
      </c>
      <c r="L231" s="198">
        <f ca="1">IFERROR(__xludf.DUMMYFUNCTION("""COMPUTED_VALUE"""),0)</f>
        <v>0</v>
      </c>
      <c r="M231" s="198">
        <f ca="1">IFERROR(__xludf.DUMMYFUNCTION("""COMPUTED_VALUE"""),357)</f>
        <v>357</v>
      </c>
      <c r="N231" s="198">
        <f ca="1">IFERROR(__xludf.DUMMYFUNCTION("""COMPUTED_VALUE"""),0)</f>
        <v>0</v>
      </c>
      <c r="O231" s="198">
        <f ca="1">IFERROR(__xludf.DUMMYFUNCTION("""COMPUTED_VALUE"""),0)</f>
        <v>0</v>
      </c>
      <c r="P231" s="198">
        <f t="shared" ca="1" si="1"/>
        <v>357</v>
      </c>
    </row>
    <row r="232" spans="1:16" ht="12.75">
      <c r="A232" s="199" t="str">
        <f ca="1">IFERROR(__xludf.DUMMYFUNCTION("""COMPUTED_VALUE"""),"Miracema")</f>
        <v>Miracema</v>
      </c>
      <c r="B232" s="199" t="str">
        <f ca="1">IFERROR(__xludf.DUMMYFUNCTION("""COMPUTED_VALUE"""),"Miracema do Tocantins")</f>
        <v>Miracema do Tocantins</v>
      </c>
      <c r="C232" s="145" t="str">
        <f ca="1">IFERROR(__xludf.DUMMYFUNCTION("""COMPUTED_VALUE"""),"ASS. DE APOIO AO CEM SANTA TEREZINHA")</f>
        <v>ASS. DE APOIO AO CEM SANTA TEREZINHA</v>
      </c>
      <c r="D232" s="200" t="str">
        <f ca="1">IFERROR(__xludf.DUMMYFUNCTION("""COMPUTED_VALUE"""),"01085211000137")</f>
        <v>01085211000137</v>
      </c>
      <c r="E232" s="201" t="str">
        <f ca="1">IFERROR(__xludf.DUMMYFUNCTION("""COMPUTED_VALUE"""),"001")</f>
        <v>001</v>
      </c>
      <c r="F232" s="201" t="str">
        <f ca="1">IFERROR(__xludf.DUMMYFUNCTION("""COMPUTED_VALUE"""),"0862")</f>
        <v>0862</v>
      </c>
      <c r="G232" s="202" t="str">
        <f ca="1">IFERROR(__xludf.DUMMYFUNCTION("""COMPUTED_VALUE"""),"244589")</f>
        <v>244589</v>
      </c>
      <c r="H232" s="202">
        <f ca="1">IFERROR(__xludf.DUMMYFUNCTION("""COMPUTED_VALUE"""),0)</f>
        <v>0</v>
      </c>
      <c r="I232" s="202">
        <f ca="1">IFERROR(__xludf.DUMMYFUNCTION("""COMPUTED_VALUE"""),0)</f>
        <v>0</v>
      </c>
      <c r="J232" s="202">
        <f ca="1">IFERROR(__xludf.DUMMYFUNCTION("""COMPUTED_VALUE"""),6573)</f>
        <v>6573</v>
      </c>
      <c r="K232" s="202">
        <f ca="1">IFERROR(__xludf.DUMMYFUNCTION("""COMPUTED_VALUE"""),0)</f>
        <v>0</v>
      </c>
      <c r="L232" s="202">
        <f ca="1">IFERROR(__xludf.DUMMYFUNCTION("""COMPUTED_VALUE"""),0)</f>
        <v>0</v>
      </c>
      <c r="M232" s="202">
        <f ca="1">IFERROR(__xludf.DUMMYFUNCTION("""COMPUTED_VALUE"""),504)</f>
        <v>504</v>
      </c>
      <c r="N232" s="202">
        <f ca="1">IFERROR(__xludf.DUMMYFUNCTION("""COMPUTED_VALUE"""),4284)</f>
        <v>4284</v>
      </c>
      <c r="O232" s="202">
        <f ca="1">IFERROR(__xludf.DUMMYFUNCTION("""COMPUTED_VALUE"""),0)</f>
        <v>0</v>
      </c>
      <c r="P232" s="202">
        <f t="shared" ca="1" si="1"/>
        <v>11361</v>
      </c>
    </row>
    <row r="233" spans="1:16" ht="12.75">
      <c r="A233" s="194" t="str">
        <f ca="1">IFERROR(__xludf.DUMMYFUNCTION("""COMPUTED_VALUE"""),"Miracema")</f>
        <v>Miracema</v>
      </c>
      <c r="B233" s="194" t="str">
        <f ca="1">IFERROR(__xludf.DUMMYFUNCTION("""COMPUTED_VALUE"""),"Miracema do Tocantins")</f>
        <v>Miracema do Tocantins</v>
      </c>
      <c r="C233" s="195" t="str">
        <f ca="1">IFERROR(__xludf.DUMMYFUNCTION("""COMPUTED_VALUE"""),"SOCIEDADE EDUCADORA FEMININA/COLÉGIO TOCANTINS")</f>
        <v>SOCIEDADE EDUCADORA FEMININA/COLÉGIO TOCANTINS</v>
      </c>
      <c r="D233" s="196" t="str">
        <f ca="1">IFERROR(__xludf.DUMMYFUNCTION("""COMPUTED_VALUE"""),"61373585000694")</f>
        <v>61373585000694</v>
      </c>
      <c r="E233" s="197" t="str">
        <f ca="1">IFERROR(__xludf.DUMMYFUNCTION("""COMPUTED_VALUE"""),"001")</f>
        <v>001</v>
      </c>
      <c r="F233" s="197" t="str">
        <f ca="1">IFERROR(__xludf.DUMMYFUNCTION("""COMPUTED_VALUE"""),"0862")</f>
        <v>0862</v>
      </c>
      <c r="G233" s="198" t="str">
        <f ca="1">IFERROR(__xludf.DUMMYFUNCTION("""COMPUTED_VALUE"""),"69086")</f>
        <v>69086</v>
      </c>
      <c r="H233" s="198">
        <f ca="1">IFERROR(__xludf.DUMMYFUNCTION("""COMPUTED_VALUE"""),0)</f>
        <v>0</v>
      </c>
      <c r="I233" s="198">
        <f ca="1">IFERROR(__xludf.DUMMYFUNCTION("""COMPUTED_VALUE"""),0)</f>
        <v>0</v>
      </c>
      <c r="J233" s="198">
        <f ca="1">IFERROR(__xludf.DUMMYFUNCTION("""COMPUTED_VALUE"""),4830)</f>
        <v>4830</v>
      </c>
      <c r="K233" s="198">
        <f ca="1">IFERROR(__xludf.DUMMYFUNCTION("""COMPUTED_VALUE"""),0)</f>
        <v>0</v>
      </c>
      <c r="L233" s="198">
        <f ca="1">IFERROR(__xludf.DUMMYFUNCTION("""COMPUTED_VALUE"""),0)</f>
        <v>0</v>
      </c>
      <c r="M233" s="198">
        <f ca="1">IFERROR(__xludf.DUMMYFUNCTION("""COMPUTED_VALUE"""),273)</f>
        <v>273</v>
      </c>
      <c r="N233" s="198">
        <f ca="1">IFERROR(__xludf.DUMMYFUNCTION("""COMPUTED_VALUE"""),4914)</f>
        <v>4914</v>
      </c>
      <c r="O233" s="198">
        <f ca="1">IFERROR(__xludf.DUMMYFUNCTION("""COMPUTED_VALUE"""),0)</f>
        <v>0</v>
      </c>
      <c r="P233" s="198">
        <f t="shared" ca="1" si="1"/>
        <v>10017</v>
      </c>
    </row>
    <row r="234" spans="1:16" ht="12.75">
      <c r="A234" s="199" t="str">
        <f ca="1">IFERROR(__xludf.DUMMYFUNCTION("""COMPUTED_VALUE"""),"Miracema")</f>
        <v>Miracema</v>
      </c>
      <c r="B234" s="199" t="str">
        <f ca="1">IFERROR(__xludf.DUMMYFUNCTION("""COMPUTED_VALUE"""),"Miracema do Tocantins")</f>
        <v>Miracema do Tocantins</v>
      </c>
      <c r="C234" s="145" t="str">
        <f ca="1">IFERROR(__xludf.DUMMYFUNCTION("""COMPUTED_VALUE"""),"A.P.A.DOS EXECEPCIONAIS DE MIRACEMA - APAE")</f>
        <v>A.P.A.DOS EXECEPCIONAIS DE MIRACEMA - APAE</v>
      </c>
      <c r="D234" s="200" t="str">
        <f ca="1">IFERROR(__xludf.DUMMYFUNCTION("""COMPUTED_VALUE"""),"38146965000160")</f>
        <v>38146965000160</v>
      </c>
      <c r="E234" s="201" t="str">
        <f ca="1">IFERROR(__xludf.DUMMYFUNCTION("""COMPUTED_VALUE"""),"001")</f>
        <v>001</v>
      </c>
      <c r="F234" s="201" t="str">
        <f ca="1">IFERROR(__xludf.DUMMYFUNCTION("""COMPUTED_VALUE"""),"0862")</f>
        <v>0862</v>
      </c>
      <c r="G234" s="202" t="str">
        <f ca="1">IFERROR(__xludf.DUMMYFUNCTION("""COMPUTED_VALUE"""),"93734")</f>
        <v>93734</v>
      </c>
      <c r="H234" s="202">
        <f ca="1">IFERROR(__xludf.DUMMYFUNCTION("""COMPUTED_VALUE"""),0)</f>
        <v>0</v>
      </c>
      <c r="I234" s="202">
        <f ca="1">IFERROR(__xludf.DUMMYFUNCTION("""COMPUTED_VALUE"""),336)</f>
        <v>336</v>
      </c>
      <c r="J234" s="202">
        <f ca="1">IFERROR(__xludf.DUMMYFUNCTION("""COMPUTED_VALUE"""),483)</f>
        <v>483</v>
      </c>
      <c r="K234" s="202">
        <f ca="1">IFERROR(__xludf.DUMMYFUNCTION("""COMPUTED_VALUE"""),0)</f>
        <v>0</v>
      </c>
      <c r="L234" s="202">
        <f ca="1">IFERROR(__xludf.DUMMYFUNCTION("""COMPUTED_VALUE"""),0)</f>
        <v>0</v>
      </c>
      <c r="M234" s="202">
        <f ca="1">IFERROR(__xludf.DUMMYFUNCTION("""COMPUTED_VALUE"""),1785)</f>
        <v>1785</v>
      </c>
      <c r="N234" s="202">
        <f ca="1">IFERROR(__xludf.DUMMYFUNCTION("""COMPUTED_VALUE"""),0)</f>
        <v>0</v>
      </c>
      <c r="O234" s="202">
        <f ca="1">IFERROR(__xludf.DUMMYFUNCTION("""COMPUTED_VALUE"""),1554)</f>
        <v>1554</v>
      </c>
      <c r="P234" s="202">
        <f t="shared" ca="1" si="1"/>
        <v>4158</v>
      </c>
    </row>
    <row r="235" spans="1:16" ht="12.75">
      <c r="A235" s="194" t="str">
        <f ca="1">IFERROR(__xludf.DUMMYFUNCTION("""COMPUTED_VALUE"""),"Miracema")</f>
        <v>Miracema</v>
      </c>
      <c r="B235" s="194" t="str">
        <f ca="1">IFERROR(__xludf.DUMMYFUNCTION("""COMPUTED_VALUE"""),"Miracema do Tocantins")</f>
        <v>Miracema do Tocantins</v>
      </c>
      <c r="C235" s="195" t="str">
        <f ca="1">IFERROR(__xludf.DUMMYFUNCTION("""COMPUTED_VALUE"""),"A.COM.DA ESC. EST. JOSE D. VASCONCELOS")</f>
        <v>A.COM.DA ESC. EST. JOSE D. VASCONCELOS</v>
      </c>
      <c r="D235" s="196" t="str">
        <f ca="1">IFERROR(__xludf.DUMMYFUNCTION("""COMPUTED_VALUE"""),"01068379000134")</f>
        <v>01068379000134</v>
      </c>
      <c r="E235" s="197" t="str">
        <f ca="1">IFERROR(__xludf.DUMMYFUNCTION("""COMPUTED_VALUE"""),"001")</f>
        <v>001</v>
      </c>
      <c r="F235" s="197" t="str">
        <f ca="1">IFERROR(__xludf.DUMMYFUNCTION("""COMPUTED_VALUE"""),"0862")</f>
        <v>0862</v>
      </c>
      <c r="G235" s="198" t="str">
        <f ca="1">IFERROR(__xludf.DUMMYFUNCTION("""COMPUTED_VALUE"""),"69035")</f>
        <v>69035</v>
      </c>
      <c r="H235" s="198">
        <f ca="1">IFERROR(__xludf.DUMMYFUNCTION("""COMPUTED_VALUE"""),0)</f>
        <v>0</v>
      </c>
      <c r="I235" s="198">
        <f ca="1">IFERROR(__xludf.DUMMYFUNCTION("""COMPUTED_VALUE"""),0)</f>
        <v>0</v>
      </c>
      <c r="J235" s="198">
        <f ca="1">IFERROR(__xludf.DUMMYFUNCTION("""COMPUTED_VALUE"""),3423)</f>
        <v>3423</v>
      </c>
      <c r="K235" s="198">
        <f ca="1">IFERROR(__xludf.DUMMYFUNCTION("""COMPUTED_VALUE"""),0)</f>
        <v>0</v>
      </c>
      <c r="L235" s="198">
        <f ca="1">IFERROR(__xludf.DUMMYFUNCTION("""COMPUTED_VALUE"""),0)</f>
        <v>0</v>
      </c>
      <c r="M235" s="198">
        <f ca="1">IFERROR(__xludf.DUMMYFUNCTION("""COMPUTED_VALUE"""),399)</f>
        <v>399</v>
      </c>
      <c r="N235" s="198">
        <f ca="1">IFERROR(__xludf.DUMMYFUNCTION("""COMPUTED_VALUE"""),4914)</f>
        <v>4914</v>
      </c>
      <c r="O235" s="198">
        <f ca="1">IFERROR(__xludf.DUMMYFUNCTION("""COMPUTED_VALUE"""),147)</f>
        <v>147</v>
      </c>
      <c r="P235" s="198">
        <f t="shared" ca="1" si="1"/>
        <v>8883</v>
      </c>
    </row>
    <row r="236" spans="1:16" ht="12.75">
      <c r="A236" s="199" t="str">
        <f ca="1">IFERROR(__xludf.DUMMYFUNCTION("""COMPUTED_VALUE"""),"Miracema")</f>
        <v>Miracema</v>
      </c>
      <c r="B236" s="199" t="str">
        <f ca="1">IFERROR(__xludf.DUMMYFUNCTION("""COMPUTED_VALUE"""),"Miracema do Tocantins")</f>
        <v>Miracema do Tocantins</v>
      </c>
      <c r="C236" s="145" t="str">
        <f ca="1">IFERROR(__xludf.DUMMYFUNCTION("""COMPUTED_VALUE"""),"A.P.M.A. ESC. CONV. ONESINA BANDEIRA")</f>
        <v>A.P.M.A. ESC. CONV. ONESINA BANDEIRA</v>
      </c>
      <c r="D236" s="200" t="str">
        <f ca="1">IFERROR(__xludf.DUMMYFUNCTION("""COMPUTED_VALUE"""),"01133700000117")</f>
        <v>01133700000117</v>
      </c>
      <c r="E236" s="201" t="str">
        <f ca="1">IFERROR(__xludf.DUMMYFUNCTION("""COMPUTED_VALUE"""),"001")</f>
        <v>001</v>
      </c>
      <c r="F236" s="201" t="str">
        <f ca="1">IFERROR(__xludf.DUMMYFUNCTION("""COMPUTED_VALUE"""),"0862")</f>
        <v>0862</v>
      </c>
      <c r="G236" s="202" t="str">
        <f ca="1">IFERROR(__xludf.DUMMYFUNCTION("""COMPUTED_VALUE"""),"69051")</f>
        <v>69051</v>
      </c>
      <c r="H236" s="202">
        <f ca="1">IFERROR(__xludf.DUMMYFUNCTION("""COMPUTED_VALUE"""),0)</f>
        <v>0</v>
      </c>
      <c r="I236" s="202">
        <f ca="1">IFERROR(__xludf.DUMMYFUNCTION("""COMPUTED_VALUE"""),0)</f>
        <v>0</v>
      </c>
      <c r="J236" s="202">
        <f ca="1">IFERROR(__xludf.DUMMYFUNCTION("""COMPUTED_VALUE"""),8400)</f>
        <v>8400</v>
      </c>
      <c r="K236" s="202">
        <f ca="1">IFERROR(__xludf.DUMMYFUNCTION("""COMPUTED_VALUE"""),0)</f>
        <v>0</v>
      </c>
      <c r="L236" s="202">
        <f ca="1">IFERROR(__xludf.DUMMYFUNCTION("""COMPUTED_VALUE"""),0)</f>
        <v>0</v>
      </c>
      <c r="M236" s="202">
        <f ca="1">IFERROR(__xludf.DUMMYFUNCTION("""COMPUTED_VALUE"""),399)</f>
        <v>399</v>
      </c>
      <c r="N236" s="202">
        <f ca="1">IFERROR(__xludf.DUMMYFUNCTION("""COMPUTED_VALUE"""),1596)</f>
        <v>1596</v>
      </c>
      <c r="O236" s="202">
        <f ca="1">IFERROR(__xludf.DUMMYFUNCTION("""COMPUTED_VALUE"""),5397)</f>
        <v>5397</v>
      </c>
      <c r="P236" s="202">
        <f t="shared" ca="1" si="1"/>
        <v>15792</v>
      </c>
    </row>
    <row r="237" spans="1:16" ht="12.75">
      <c r="A237" s="194" t="str">
        <f ca="1">IFERROR(__xludf.DUMMYFUNCTION("""COMPUTED_VALUE"""),"Miracema")</f>
        <v>Miracema</v>
      </c>
      <c r="B237" s="194" t="str">
        <f ca="1">IFERROR(__xludf.DUMMYFUNCTION("""COMPUTED_VALUE"""),"Miracema do Tocantins")</f>
        <v>Miracema do Tocantins</v>
      </c>
      <c r="C237" s="195" t="str">
        <f ca="1">IFERROR(__xludf.DUMMYFUNCTION("""COMPUTED_VALUE"""),"A.A.  DA ESCOLA ESTADUAL OSCAR SARDINHA")</f>
        <v>A.A.  DA ESCOLA ESTADUAL OSCAR SARDINHA</v>
      </c>
      <c r="D237" s="196" t="str">
        <f ca="1">IFERROR(__xludf.DUMMYFUNCTION("""COMPUTED_VALUE"""),"01197158000166")</f>
        <v>01197158000166</v>
      </c>
      <c r="E237" s="197" t="str">
        <f ca="1">IFERROR(__xludf.DUMMYFUNCTION("""COMPUTED_VALUE"""),"001")</f>
        <v>001</v>
      </c>
      <c r="F237" s="197" t="str">
        <f ca="1">IFERROR(__xludf.DUMMYFUNCTION("""COMPUTED_VALUE"""),"0862")</f>
        <v>0862</v>
      </c>
      <c r="G237" s="198" t="str">
        <f ca="1">IFERROR(__xludf.DUMMYFUNCTION("""COMPUTED_VALUE"""),"6906X")</f>
        <v>6906X</v>
      </c>
      <c r="H237" s="198">
        <f ca="1">IFERROR(__xludf.DUMMYFUNCTION("""COMPUTED_VALUE"""),0)</f>
        <v>0</v>
      </c>
      <c r="I237" s="198">
        <f ca="1">IFERROR(__xludf.DUMMYFUNCTION("""COMPUTED_VALUE"""),0)</f>
        <v>0</v>
      </c>
      <c r="J237" s="198">
        <f ca="1">IFERROR(__xludf.DUMMYFUNCTION("""COMPUTED_VALUE"""),2247)</f>
        <v>2247</v>
      </c>
      <c r="K237" s="198">
        <f ca="1">IFERROR(__xludf.DUMMYFUNCTION("""COMPUTED_VALUE"""),0)</f>
        <v>0</v>
      </c>
      <c r="L237" s="198">
        <f ca="1">IFERROR(__xludf.DUMMYFUNCTION("""COMPUTED_VALUE"""),0)</f>
        <v>0</v>
      </c>
      <c r="M237" s="198">
        <f ca="1">IFERROR(__xludf.DUMMYFUNCTION("""COMPUTED_VALUE"""),231)</f>
        <v>231</v>
      </c>
      <c r="N237" s="198">
        <f ca="1">IFERROR(__xludf.DUMMYFUNCTION("""COMPUTED_VALUE"""),0)</f>
        <v>0</v>
      </c>
      <c r="O237" s="198">
        <f ca="1">IFERROR(__xludf.DUMMYFUNCTION("""COMPUTED_VALUE"""),0)</f>
        <v>0</v>
      </c>
      <c r="P237" s="198">
        <f t="shared" ca="1" si="1"/>
        <v>2478</v>
      </c>
    </row>
    <row r="238" spans="1:16" ht="12.75">
      <c r="A238" s="199" t="str">
        <f ca="1">IFERROR(__xludf.DUMMYFUNCTION("""COMPUTED_VALUE"""),"Miracema")</f>
        <v>Miracema</v>
      </c>
      <c r="B238" s="199" t="str">
        <f ca="1">IFERROR(__xludf.DUMMYFUNCTION("""COMPUTED_VALUE"""),"Miranorte")</f>
        <v>Miranorte</v>
      </c>
      <c r="C238" s="145" t="str">
        <f ca="1">IFERROR(__xludf.DUMMYFUNCTION("""COMPUTED_VALUE"""),"ASSOC. COM. DO COL. RUI BRASIL CAVALCANTE")</f>
        <v>ASSOC. COM. DO COL. RUI BRASIL CAVALCANTE</v>
      </c>
      <c r="D238" s="200" t="str">
        <f ca="1">IFERROR(__xludf.DUMMYFUNCTION("""COMPUTED_VALUE"""),"01112765000186")</f>
        <v>01112765000186</v>
      </c>
      <c r="E238" s="201" t="str">
        <f ca="1">IFERROR(__xludf.DUMMYFUNCTION("""COMPUTED_VALUE"""),"001")</f>
        <v>001</v>
      </c>
      <c r="F238" s="201" t="str">
        <f ca="1">IFERROR(__xludf.DUMMYFUNCTION("""COMPUTED_VALUE"""),"4560")</f>
        <v>4560</v>
      </c>
      <c r="G238" s="202" t="str">
        <f ca="1">IFERROR(__xludf.DUMMYFUNCTION("""COMPUTED_VALUE"""),"78905")</f>
        <v>78905</v>
      </c>
      <c r="H238" s="202">
        <f ca="1">IFERROR(__xludf.DUMMYFUNCTION("""COMPUTED_VALUE"""),0)</f>
        <v>0</v>
      </c>
      <c r="I238" s="202">
        <f ca="1">IFERROR(__xludf.DUMMYFUNCTION("""COMPUTED_VALUE"""),0)</f>
        <v>0</v>
      </c>
      <c r="J238" s="202">
        <f ca="1">IFERROR(__xludf.DUMMYFUNCTION("""COMPUTED_VALUE"""),0)</f>
        <v>0</v>
      </c>
      <c r="K238" s="202">
        <f ca="1">IFERROR(__xludf.DUMMYFUNCTION("""COMPUTED_VALUE"""),0)</f>
        <v>0</v>
      </c>
      <c r="L238" s="202">
        <f ca="1">IFERROR(__xludf.DUMMYFUNCTION("""COMPUTED_VALUE"""),0)</f>
        <v>0</v>
      </c>
      <c r="M238" s="202">
        <f ca="1">IFERROR(__xludf.DUMMYFUNCTION("""COMPUTED_VALUE"""),357)</f>
        <v>357</v>
      </c>
      <c r="N238" s="202">
        <f ca="1">IFERROR(__xludf.DUMMYFUNCTION("""COMPUTED_VALUE"""),10962)</f>
        <v>10962</v>
      </c>
      <c r="O238" s="202">
        <f ca="1">IFERROR(__xludf.DUMMYFUNCTION("""COMPUTED_VALUE"""),1890)</f>
        <v>1890</v>
      </c>
      <c r="P238" s="202">
        <f t="shared" ca="1" si="1"/>
        <v>13209</v>
      </c>
    </row>
    <row r="239" spans="1:16" ht="12.75">
      <c r="A239" s="194" t="str">
        <f ca="1">IFERROR(__xludf.DUMMYFUNCTION("""COMPUTED_VALUE"""),"Miracema")</f>
        <v>Miracema</v>
      </c>
      <c r="B239" s="194" t="str">
        <f ca="1">IFERROR(__xludf.DUMMYFUNCTION("""COMPUTED_VALUE"""),"Miranorte")</f>
        <v>Miranorte</v>
      </c>
      <c r="C239" s="195" t="str">
        <f ca="1">IFERROR(__xludf.DUMMYFUNCTION("""COMPUTED_VALUE"""),"A.A. C.E.NOSSA SENHORA DA PROVIDENCIA")</f>
        <v>A.A. C.E.NOSSA SENHORA DA PROVIDENCIA</v>
      </c>
      <c r="D239" s="196" t="str">
        <f ca="1">IFERROR(__xludf.DUMMYFUNCTION("""COMPUTED_VALUE"""),"01190186000151")</f>
        <v>01190186000151</v>
      </c>
      <c r="E239" s="197" t="str">
        <f ca="1">IFERROR(__xludf.DUMMYFUNCTION("""COMPUTED_VALUE"""),"001")</f>
        <v>001</v>
      </c>
      <c r="F239" s="197" t="str">
        <f ca="1">IFERROR(__xludf.DUMMYFUNCTION("""COMPUTED_VALUE"""),"4560")</f>
        <v>4560</v>
      </c>
      <c r="G239" s="198" t="str">
        <f ca="1">IFERROR(__xludf.DUMMYFUNCTION("""COMPUTED_VALUE"""),"7778X")</f>
        <v>7778X</v>
      </c>
      <c r="H239" s="198">
        <f ca="1">IFERROR(__xludf.DUMMYFUNCTION("""COMPUTED_VALUE"""),0)</f>
        <v>0</v>
      </c>
      <c r="I239" s="198">
        <f ca="1">IFERROR(__xludf.DUMMYFUNCTION("""COMPUTED_VALUE"""),0)</f>
        <v>0</v>
      </c>
      <c r="J239" s="198">
        <f ca="1">IFERROR(__xludf.DUMMYFUNCTION("""COMPUTED_VALUE"""),16275)</f>
        <v>16275</v>
      </c>
      <c r="K239" s="198">
        <f ca="1">IFERROR(__xludf.DUMMYFUNCTION("""COMPUTED_VALUE"""),0)</f>
        <v>0</v>
      </c>
      <c r="L239" s="198">
        <f ca="1">IFERROR(__xludf.DUMMYFUNCTION("""COMPUTED_VALUE"""),0)</f>
        <v>0</v>
      </c>
      <c r="M239" s="198">
        <f ca="1">IFERROR(__xludf.DUMMYFUNCTION("""COMPUTED_VALUE"""),252)</f>
        <v>252</v>
      </c>
      <c r="N239" s="198">
        <f ca="1">IFERROR(__xludf.DUMMYFUNCTION("""COMPUTED_VALUE"""),0)</f>
        <v>0</v>
      </c>
      <c r="O239" s="198">
        <f ca="1">IFERROR(__xludf.DUMMYFUNCTION("""COMPUTED_VALUE"""),0)</f>
        <v>0</v>
      </c>
      <c r="P239" s="198">
        <f t="shared" ca="1" si="1"/>
        <v>16527</v>
      </c>
    </row>
    <row r="240" spans="1:16" ht="12.75">
      <c r="A240" s="199" t="str">
        <f ca="1">IFERROR(__xludf.DUMMYFUNCTION("""COMPUTED_VALUE"""),"Miracema")</f>
        <v>Miracema</v>
      </c>
      <c r="B240" s="199" t="str">
        <f ca="1">IFERROR(__xludf.DUMMYFUNCTION("""COMPUTED_VALUE"""),"Miranorte")</f>
        <v>Miranorte</v>
      </c>
      <c r="C240" s="145" t="str">
        <f ca="1">IFERROR(__xludf.DUMMYFUNCTION("""COMPUTED_VALUE"""),"A.A ESC. ESPECIAL CORAÇÃO DE MARIA")</f>
        <v>A.A ESC. ESPECIAL CORAÇÃO DE MARIA</v>
      </c>
      <c r="D240" s="200" t="str">
        <f ca="1">IFERROR(__xludf.DUMMYFUNCTION("""COMPUTED_VALUE"""),"07968866000130")</f>
        <v>07968866000130</v>
      </c>
      <c r="E240" s="201" t="str">
        <f ca="1">IFERROR(__xludf.DUMMYFUNCTION("""COMPUTED_VALUE"""),"001")</f>
        <v>001</v>
      </c>
      <c r="F240" s="201" t="str">
        <f ca="1">IFERROR(__xludf.DUMMYFUNCTION("""COMPUTED_VALUE"""),"0862")</f>
        <v>0862</v>
      </c>
      <c r="G240" s="202" t="str">
        <f ca="1">IFERROR(__xludf.DUMMYFUNCTION("""COMPUTED_VALUE"""),"265217")</f>
        <v>265217</v>
      </c>
      <c r="H240" s="202">
        <f ca="1">IFERROR(__xludf.DUMMYFUNCTION("""COMPUTED_VALUE"""),0)</f>
        <v>0</v>
      </c>
      <c r="I240" s="202">
        <f ca="1">IFERROR(__xludf.DUMMYFUNCTION("""COMPUTED_VALUE"""),252)</f>
        <v>252</v>
      </c>
      <c r="J240" s="202">
        <f ca="1">IFERROR(__xludf.DUMMYFUNCTION("""COMPUTED_VALUE"""),168)</f>
        <v>168</v>
      </c>
      <c r="K240" s="202">
        <f ca="1">IFERROR(__xludf.DUMMYFUNCTION("""COMPUTED_VALUE"""),0)</f>
        <v>0</v>
      </c>
      <c r="L240" s="202">
        <f ca="1">IFERROR(__xludf.DUMMYFUNCTION("""COMPUTED_VALUE"""),0)</f>
        <v>0</v>
      </c>
      <c r="M240" s="202">
        <f ca="1">IFERROR(__xludf.DUMMYFUNCTION("""COMPUTED_VALUE"""),1344)</f>
        <v>1344</v>
      </c>
      <c r="N240" s="202">
        <f ca="1">IFERROR(__xludf.DUMMYFUNCTION("""COMPUTED_VALUE"""),0)</f>
        <v>0</v>
      </c>
      <c r="O240" s="202">
        <f ca="1">IFERROR(__xludf.DUMMYFUNCTION("""COMPUTED_VALUE"""),1092)</f>
        <v>1092</v>
      </c>
      <c r="P240" s="202">
        <f t="shared" ca="1" si="1"/>
        <v>2856</v>
      </c>
    </row>
    <row r="241" spans="1:16" ht="12.75">
      <c r="A241" s="194" t="str">
        <f ca="1">IFERROR(__xludf.DUMMYFUNCTION("""COMPUTED_VALUE"""),"Miracema")</f>
        <v>Miracema</v>
      </c>
      <c r="B241" s="194" t="str">
        <f ca="1">IFERROR(__xludf.DUMMYFUNCTION("""COMPUTED_VALUE"""),"Rio dos Bois")</f>
        <v>Rio dos Bois</v>
      </c>
      <c r="C241" s="195" t="str">
        <f ca="1">IFERROR(__xludf.DUMMYFUNCTION("""COMPUTED_VALUE"""),"A.A. ESC EST DR. VALDECY PINHEIRO")</f>
        <v>A.A. ESC EST DR. VALDECY PINHEIRO</v>
      </c>
      <c r="D241" s="196" t="str">
        <f ca="1">IFERROR(__xludf.DUMMYFUNCTION("""COMPUTED_VALUE"""),"01079937000167")</f>
        <v>01079937000167</v>
      </c>
      <c r="E241" s="197" t="str">
        <f ca="1">IFERROR(__xludf.DUMMYFUNCTION("""COMPUTED_VALUE"""),"001")</f>
        <v>001</v>
      </c>
      <c r="F241" s="197" t="str">
        <f ca="1">IFERROR(__xludf.DUMMYFUNCTION("""COMPUTED_VALUE"""),"0862")</f>
        <v>0862</v>
      </c>
      <c r="G241" s="198" t="str">
        <f ca="1">IFERROR(__xludf.DUMMYFUNCTION("""COMPUTED_VALUE"""),"69116")</f>
        <v>69116</v>
      </c>
      <c r="H241" s="198">
        <f ca="1">IFERROR(__xludf.DUMMYFUNCTION("""COMPUTED_VALUE"""),0)</f>
        <v>0</v>
      </c>
      <c r="I241" s="198">
        <f ca="1">IFERROR(__xludf.DUMMYFUNCTION("""COMPUTED_VALUE"""),0)</f>
        <v>0</v>
      </c>
      <c r="J241" s="198">
        <f ca="1">IFERROR(__xludf.DUMMYFUNCTION("""COMPUTED_VALUE"""),4326)</f>
        <v>4326</v>
      </c>
      <c r="K241" s="198">
        <f ca="1">IFERROR(__xludf.DUMMYFUNCTION("""COMPUTED_VALUE"""),0)</f>
        <v>0</v>
      </c>
      <c r="L241" s="198">
        <f ca="1">IFERROR(__xludf.DUMMYFUNCTION("""COMPUTED_VALUE"""),0)</f>
        <v>0</v>
      </c>
      <c r="M241" s="198">
        <f ca="1">IFERROR(__xludf.DUMMYFUNCTION("""COMPUTED_VALUE"""),252)</f>
        <v>252</v>
      </c>
      <c r="N241" s="198">
        <f ca="1">IFERROR(__xludf.DUMMYFUNCTION("""COMPUTED_VALUE"""),2100)</f>
        <v>2100</v>
      </c>
      <c r="O241" s="198">
        <f ca="1">IFERROR(__xludf.DUMMYFUNCTION("""COMPUTED_VALUE"""),462)</f>
        <v>462</v>
      </c>
      <c r="P241" s="198">
        <f t="shared" ca="1" si="1"/>
        <v>7140</v>
      </c>
    </row>
    <row r="242" spans="1:16" ht="12.75">
      <c r="A242" s="199" t="str">
        <f ca="1">IFERROR(__xludf.DUMMYFUNCTION("""COMPUTED_VALUE"""),"Miracema")</f>
        <v>Miracema</v>
      </c>
      <c r="B242" s="199" t="str">
        <f ca="1">IFERROR(__xludf.DUMMYFUNCTION("""COMPUTED_VALUE"""),"Tocantinia")</f>
        <v>Tocantinia</v>
      </c>
      <c r="C242" s="145" t="str">
        <f ca="1">IFERROR(__xludf.DUMMYFUNCTION("""COMPUTED_VALUE"""),"ASS. APOIO AO CEM XERENTE WARA")</f>
        <v>ASS. APOIO AO CEM XERENTE WARA</v>
      </c>
      <c r="D242" s="200" t="str">
        <f ca="1">IFERROR(__xludf.DUMMYFUNCTION("""COMPUTED_VALUE"""),"07674098000101")</f>
        <v>07674098000101</v>
      </c>
      <c r="E242" s="201" t="str">
        <f ca="1">IFERROR(__xludf.DUMMYFUNCTION("""COMPUTED_VALUE"""),"001")</f>
        <v>001</v>
      </c>
      <c r="F242" s="201" t="str">
        <f ca="1">IFERROR(__xludf.DUMMYFUNCTION("""COMPUTED_VALUE"""),"0862")</f>
        <v>0862</v>
      </c>
      <c r="G242" s="202" t="str">
        <f ca="1">IFERROR(__xludf.DUMMYFUNCTION("""COMPUTED_VALUE"""),"183407")</f>
        <v>183407</v>
      </c>
      <c r="H242" s="202">
        <f ca="1">IFERROR(__xludf.DUMMYFUNCTION("""COMPUTED_VALUE"""),0)</f>
        <v>0</v>
      </c>
      <c r="I242" s="202">
        <f ca="1">IFERROR(__xludf.DUMMYFUNCTION("""COMPUTED_VALUE"""),0)</f>
        <v>0</v>
      </c>
      <c r="J242" s="202">
        <f ca="1">IFERROR(__xludf.DUMMYFUNCTION("""COMPUTED_VALUE"""),0)</f>
        <v>0</v>
      </c>
      <c r="K242" s="202">
        <f ca="1">IFERROR(__xludf.DUMMYFUNCTION("""COMPUTED_VALUE"""),0)</f>
        <v>0</v>
      </c>
      <c r="L242" s="202">
        <f ca="1">IFERROR(__xludf.DUMMYFUNCTION("""COMPUTED_VALUE"""),0)</f>
        <v>0</v>
      </c>
      <c r="M242" s="202">
        <f ca="1">IFERROR(__xludf.DUMMYFUNCTION("""COMPUTED_VALUE"""),441)</f>
        <v>441</v>
      </c>
      <c r="N242" s="202">
        <f ca="1">IFERROR(__xludf.DUMMYFUNCTION("""COMPUTED_VALUE"""),0)</f>
        <v>0</v>
      </c>
      <c r="O242" s="202">
        <f ca="1">IFERROR(__xludf.DUMMYFUNCTION("""COMPUTED_VALUE"""),0)</f>
        <v>0</v>
      </c>
      <c r="P242" s="202">
        <f t="shared" ca="1" si="1"/>
        <v>441</v>
      </c>
    </row>
    <row r="243" spans="1:16" ht="12.75">
      <c r="A243" s="194" t="str">
        <f ca="1">IFERROR(__xludf.DUMMYFUNCTION("""COMPUTED_VALUE"""),"Miracema")</f>
        <v>Miracema</v>
      </c>
      <c r="B243" s="194" t="str">
        <f ca="1">IFERROR(__xludf.DUMMYFUNCTION("""COMPUTED_VALUE"""),"Tocantinia")</f>
        <v>Tocantinia</v>
      </c>
      <c r="C243" s="195" t="str">
        <f ca="1">IFERROR(__xludf.DUMMYFUNCTION("""COMPUTED_VALUE"""),"A.COM.DO COLEGIO FREI ANTONIO CONVENIADO")</f>
        <v>A.COM.DO COLEGIO FREI ANTONIO CONVENIADO</v>
      </c>
      <c r="D243" s="196" t="str">
        <f ca="1">IFERROR(__xludf.DUMMYFUNCTION("""COMPUTED_VALUE"""),"01066427000155")</f>
        <v>01066427000155</v>
      </c>
      <c r="E243" s="197" t="str">
        <f ca="1">IFERROR(__xludf.DUMMYFUNCTION("""COMPUTED_VALUE"""),"001")</f>
        <v>001</v>
      </c>
      <c r="F243" s="197" t="str">
        <f ca="1">IFERROR(__xludf.DUMMYFUNCTION("""COMPUTED_VALUE"""),"0862")</f>
        <v>0862</v>
      </c>
      <c r="G243" s="198" t="str">
        <f ca="1">IFERROR(__xludf.DUMMYFUNCTION("""COMPUTED_VALUE"""),"68985")</f>
        <v>68985</v>
      </c>
      <c r="H243" s="198">
        <f ca="1">IFERROR(__xludf.DUMMYFUNCTION("""COMPUTED_VALUE"""),0)</f>
        <v>0</v>
      </c>
      <c r="I243" s="198">
        <f ca="1">IFERROR(__xludf.DUMMYFUNCTION("""COMPUTED_VALUE"""),0)</f>
        <v>0</v>
      </c>
      <c r="J243" s="198">
        <f ca="1">IFERROR(__xludf.DUMMYFUNCTION("""COMPUTED_VALUE"""),0)</f>
        <v>0</v>
      </c>
      <c r="K243" s="198">
        <f ca="1">IFERROR(__xludf.DUMMYFUNCTION("""COMPUTED_VALUE"""),0)</f>
        <v>0</v>
      </c>
      <c r="L243" s="198">
        <f ca="1">IFERROR(__xludf.DUMMYFUNCTION("""COMPUTED_VALUE"""),0)</f>
        <v>0</v>
      </c>
      <c r="M243" s="198">
        <f ca="1">IFERROR(__xludf.DUMMYFUNCTION("""COMPUTED_VALUE"""),189)</f>
        <v>189</v>
      </c>
      <c r="N243" s="198">
        <f ca="1">IFERROR(__xludf.DUMMYFUNCTION("""COMPUTED_VALUE"""),0)</f>
        <v>0</v>
      </c>
      <c r="O243" s="198">
        <f ca="1">IFERROR(__xludf.DUMMYFUNCTION("""COMPUTED_VALUE"""),0)</f>
        <v>0</v>
      </c>
      <c r="P243" s="198">
        <f t="shared" ca="1" si="1"/>
        <v>189</v>
      </c>
    </row>
    <row r="244" spans="1:16" ht="12.75">
      <c r="A244" s="199" t="str">
        <f ca="1">IFERROR(__xludf.DUMMYFUNCTION("""COMPUTED_VALUE"""),"Miracema")</f>
        <v>Miracema</v>
      </c>
      <c r="B244" s="199" t="str">
        <f ca="1">IFERROR(__xludf.DUMMYFUNCTION("""COMPUTED_VALUE"""),"Tocantinia")</f>
        <v>Tocantinia</v>
      </c>
      <c r="C244" s="145" t="str">
        <f ca="1">IFERROR(__xludf.DUMMYFUNCTION("""COMPUTED_VALUE"""),"ASSOC. DE PAIS E MEST. DO COL. EST. BATISTA PROFª BEATRIZ R. DA SILVA")</f>
        <v>ASSOC. DE PAIS E MEST. DO COL. EST. BATISTA PROFª BEATRIZ R. DA SILVA</v>
      </c>
      <c r="D244" s="200" t="str">
        <f ca="1">IFERROR(__xludf.DUMMYFUNCTION("""COMPUTED_VALUE"""),"15132209000186")</f>
        <v>15132209000186</v>
      </c>
      <c r="E244" s="201" t="str">
        <f ca="1">IFERROR(__xludf.DUMMYFUNCTION("""COMPUTED_VALUE"""),"001")</f>
        <v>001</v>
      </c>
      <c r="F244" s="201" t="str">
        <f ca="1">IFERROR(__xludf.DUMMYFUNCTION("""COMPUTED_VALUE"""),"0862")</f>
        <v>0862</v>
      </c>
      <c r="G244" s="202" t="str">
        <f ca="1">IFERROR(__xludf.DUMMYFUNCTION("""COMPUTED_VALUE"""),"277037")</f>
        <v>277037</v>
      </c>
      <c r="H244" s="202">
        <f ca="1">IFERROR(__xludf.DUMMYFUNCTION("""COMPUTED_VALUE"""),0)</f>
        <v>0</v>
      </c>
      <c r="I244" s="202">
        <f ca="1">IFERROR(__xludf.DUMMYFUNCTION("""COMPUTED_VALUE"""),0)</f>
        <v>0</v>
      </c>
      <c r="J244" s="202">
        <f ca="1">IFERROR(__xludf.DUMMYFUNCTION("""COMPUTED_VALUE"""),0)</f>
        <v>0</v>
      </c>
      <c r="K244" s="202">
        <f ca="1">IFERROR(__xludf.DUMMYFUNCTION("""COMPUTED_VALUE"""),0)</f>
        <v>0</v>
      </c>
      <c r="L244" s="202">
        <f ca="1">IFERROR(__xludf.DUMMYFUNCTION("""COMPUTED_VALUE"""),0)</f>
        <v>0</v>
      </c>
      <c r="M244" s="202">
        <f ca="1">IFERROR(__xludf.DUMMYFUNCTION("""COMPUTED_VALUE"""),0)</f>
        <v>0</v>
      </c>
      <c r="N244" s="202">
        <f ca="1">IFERROR(__xludf.DUMMYFUNCTION("""COMPUTED_VALUE"""),3864)</f>
        <v>3864</v>
      </c>
      <c r="O244" s="202">
        <f ca="1">IFERROR(__xludf.DUMMYFUNCTION("""COMPUTED_VALUE"""),672)</f>
        <v>672</v>
      </c>
      <c r="P244" s="202">
        <f t="shared" ca="1" si="1"/>
        <v>4536</v>
      </c>
    </row>
    <row r="245" spans="1:16" ht="12.75">
      <c r="A245" s="194" t="str">
        <f ca="1">IFERROR(__xludf.DUMMYFUNCTION("""COMPUTED_VALUE"""),"Palmas")</f>
        <v>Palmas</v>
      </c>
      <c r="B245" s="194" t="str">
        <f ca="1">IFERROR(__xludf.DUMMYFUNCTION("""COMPUTED_VALUE"""),"Aparecida do Rio Negro")</f>
        <v>Aparecida do Rio Negro</v>
      </c>
      <c r="C245" s="195" t="str">
        <f ca="1">IFERROR(__xludf.DUMMYFUNCTION("""COMPUTED_VALUE"""),"ASS. DE AP. DO COL. EST. MEIRA MATOS")</f>
        <v>ASS. DE AP. DO COL. EST. MEIRA MATOS</v>
      </c>
      <c r="D245" s="196" t="str">
        <f ca="1">IFERROR(__xludf.DUMMYFUNCTION("""COMPUTED_VALUE"""),"01186452000172")</f>
        <v>01186452000172</v>
      </c>
      <c r="E245" s="197" t="str">
        <f ca="1">IFERROR(__xludf.DUMMYFUNCTION("""COMPUTED_VALUE"""),"001")</f>
        <v>001</v>
      </c>
      <c r="F245" s="197" t="str">
        <f ca="1">IFERROR(__xludf.DUMMYFUNCTION("""COMPUTED_VALUE"""),"1505")</f>
        <v>1505</v>
      </c>
      <c r="G245" s="198" t="str">
        <f ca="1">IFERROR(__xludf.DUMMYFUNCTION("""COMPUTED_VALUE"""),"327972")</f>
        <v>327972</v>
      </c>
      <c r="H245" s="198">
        <f ca="1">IFERROR(__xludf.DUMMYFUNCTION("""COMPUTED_VALUE"""),0)</f>
        <v>0</v>
      </c>
      <c r="I245" s="198">
        <f ca="1">IFERROR(__xludf.DUMMYFUNCTION("""COMPUTED_VALUE"""),0)</f>
        <v>0</v>
      </c>
      <c r="J245" s="198">
        <f ca="1">IFERROR(__xludf.DUMMYFUNCTION("""COMPUTED_VALUE"""),3129)</f>
        <v>3129</v>
      </c>
      <c r="K245" s="198">
        <f ca="1">IFERROR(__xludf.DUMMYFUNCTION("""COMPUTED_VALUE"""),0)</f>
        <v>0</v>
      </c>
      <c r="L245" s="198">
        <f ca="1">IFERROR(__xludf.DUMMYFUNCTION("""COMPUTED_VALUE"""),0)</f>
        <v>0</v>
      </c>
      <c r="M245" s="198">
        <f ca="1">IFERROR(__xludf.DUMMYFUNCTION("""COMPUTED_VALUE"""),252)</f>
        <v>252</v>
      </c>
      <c r="N245" s="198">
        <f ca="1">IFERROR(__xludf.DUMMYFUNCTION("""COMPUTED_VALUE"""),4788)</f>
        <v>4788</v>
      </c>
      <c r="O245" s="198">
        <f ca="1">IFERROR(__xludf.DUMMYFUNCTION("""COMPUTED_VALUE"""),0)</f>
        <v>0</v>
      </c>
      <c r="P245" s="198">
        <f t="shared" ca="1" si="1"/>
        <v>8169</v>
      </c>
    </row>
    <row r="246" spans="1:16" ht="12.75">
      <c r="A246" s="199" t="str">
        <f ca="1">IFERROR(__xludf.DUMMYFUNCTION("""COMPUTED_VALUE"""),"Palmas")</f>
        <v>Palmas</v>
      </c>
      <c r="B246" s="199" t="str">
        <f ca="1">IFERROR(__xludf.DUMMYFUNCTION("""COMPUTED_VALUE"""),"Lagoa do Tocantins")</f>
        <v>Lagoa do Tocantins</v>
      </c>
      <c r="C246" s="145" t="str">
        <f ca="1">IFERROR(__xludf.DUMMYFUNCTION("""COMPUTED_VALUE"""),"ASS. DE AP. DA ESC. EST. SALMON DO A.BRITO")</f>
        <v>ASS. DE AP. DA ESC. EST. SALMON DO A.BRITO</v>
      </c>
      <c r="D246" s="200" t="str">
        <f ca="1">IFERROR(__xludf.DUMMYFUNCTION("""COMPUTED_VALUE"""),"01440941000109")</f>
        <v>01440941000109</v>
      </c>
      <c r="E246" s="201" t="str">
        <f ca="1">IFERROR(__xludf.DUMMYFUNCTION("""COMPUTED_VALUE"""),"001")</f>
        <v>001</v>
      </c>
      <c r="F246" s="201" t="str">
        <f ca="1">IFERROR(__xludf.DUMMYFUNCTION("""COMPUTED_VALUE"""),"1505")</f>
        <v>1505</v>
      </c>
      <c r="G246" s="202" t="str">
        <f ca="1">IFERROR(__xludf.DUMMYFUNCTION("""COMPUTED_VALUE"""),"465410")</f>
        <v>465410</v>
      </c>
      <c r="H246" s="202">
        <f ca="1">IFERROR(__xludf.DUMMYFUNCTION("""COMPUTED_VALUE"""),0)</f>
        <v>0</v>
      </c>
      <c r="I246" s="202">
        <f ca="1">IFERROR(__xludf.DUMMYFUNCTION("""COMPUTED_VALUE"""),0)</f>
        <v>0</v>
      </c>
      <c r="J246" s="202">
        <f ca="1">IFERROR(__xludf.DUMMYFUNCTION("""COMPUTED_VALUE"""),4998)</f>
        <v>4998</v>
      </c>
      <c r="K246" s="202">
        <f ca="1">IFERROR(__xludf.DUMMYFUNCTION("""COMPUTED_VALUE"""),0)</f>
        <v>0</v>
      </c>
      <c r="L246" s="202">
        <f ca="1">IFERROR(__xludf.DUMMYFUNCTION("""COMPUTED_VALUE"""),0)</f>
        <v>0</v>
      </c>
      <c r="M246" s="202">
        <f ca="1">IFERROR(__xludf.DUMMYFUNCTION("""COMPUTED_VALUE"""),0)</f>
        <v>0</v>
      </c>
      <c r="N246" s="202">
        <f ca="1">IFERROR(__xludf.DUMMYFUNCTION("""COMPUTED_VALUE"""),5481)</f>
        <v>5481</v>
      </c>
      <c r="O246" s="202">
        <f ca="1">IFERROR(__xludf.DUMMYFUNCTION("""COMPUTED_VALUE"""),0)</f>
        <v>0</v>
      </c>
      <c r="P246" s="202">
        <f t="shared" ca="1" si="1"/>
        <v>10479</v>
      </c>
    </row>
    <row r="247" spans="1:16" ht="12.75">
      <c r="A247" s="194" t="str">
        <f ca="1">IFERROR(__xludf.DUMMYFUNCTION("""COMPUTED_VALUE"""),"Palmas")</f>
        <v>Palmas</v>
      </c>
      <c r="B247" s="194" t="str">
        <f ca="1">IFERROR(__xludf.DUMMYFUNCTION("""COMPUTED_VALUE"""),"Lajeado")</f>
        <v>Lajeado</v>
      </c>
      <c r="C247" s="195" t="str">
        <f ca="1">IFERROR(__xludf.DUMMYFUNCTION("""COMPUTED_VALUE"""),"A.A. COM. E. E.N.SRA.DA PROVIDENCIA")</f>
        <v>A.A. COM. E. E.N.SRA.DA PROVIDENCIA</v>
      </c>
      <c r="D247" s="196" t="str">
        <f ca="1">IFERROR(__xludf.DUMMYFUNCTION("""COMPUTED_VALUE"""),"01138324000153")</f>
        <v>01138324000153</v>
      </c>
      <c r="E247" s="197" t="str">
        <f ca="1">IFERROR(__xludf.DUMMYFUNCTION("""COMPUTED_VALUE"""),"001")</f>
        <v>001</v>
      </c>
      <c r="F247" s="197" t="str">
        <f ca="1">IFERROR(__xludf.DUMMYFUNCTION("""COMPUTED_VALUE"""),"0862")</f>
        <v>0862</v>
      </c>
      <c r="G247" s="198" t="str">
        <f ca="1">IFERROR(__xludf.DUMMYFUNCTION("""COMPUTED_VALUE"""),"69132")</f>
        <v>69132</v>
      </c>
      <c r="H247" s="198">
        <f ca="1">IFERROR(__xludf.DUMMYFUNCTION("""COMPUTED_VALUE"""),0)</f>
        <v>0</v>
      </c>
      <c r="I247" s="198">
        <f ca="1">IFERROR(__xludf.DUMMYFUNCTION("""COMPUTED_VALUE"""),0)</f>
        <v>0</v>
      </c>
      <c r="J247" s="198">
        <f ca="1">IFERROR(__xludf.DUMMYFUNCTION("""COMPUTED_VALUE"""),588)</f>
        <v>588</v>
      </c>
      <c r="K247" s="198">
        <f ca="1">IFERROR(__xludf.DUMMYFUNCTION("""COMPUTED_VALUE"""),0)</f>
        <v>0</v>
      </c>
      <c r="L247" s="198">
        <f ca="1">IFERROR(__xludf.DUMMYFUNCTION("""COMPUTED_VALUE"""),0)</f>
        <v>0</v>
      </c>
      <c r="M247" s="198">
        <f ca="1">IFERROR(__xludf.DUMMYFUNCTION("""COMPUTED_VALUE"""),147)</f>
        <v>147</v>
      </c>
      <c r="N247" s="198">
        <f ca="1">IFERROR(__xludf.DUMMYFUNCTION("""COMPUTED_VALUE"""),2667)</f>
        <v>2667</v>
      </c>
      <c r="O247" s="198">
        <f ca="1">IFERROR(__xludf.DUMMYFUNCTION("""COMPUTED_VALUE"""),189)</f>
        <v>189</v>
      </c>
      <c r="P247" s="198">
        <f t="shared" ca="1" si="1"/>
        <v>3591</v>
      </c>
    </row>
    <row r="248" spans="1:16" ht="12.75">
      <c r="A248" s="199" t="str">
        <f ca="1">IFERROR(__xludf.DUMMYFUNCTION("""COMPUTED_VALUE"""),"Palmas")</f>
        <v>Palmas</v>
      </c>
      <c r="B248" s="199" t="str">
        <f ca="1">IFERROR(__xludf.DUMMYFUNCTION("""COMPUTED_VALUE"""),"Mateiros")</f>
        <v>Mateiros</v>
      </c>
      <c r="C248" s="145" t="str">
        <f ca="1">IFERROR(__xludf.DUMMYFUNCTION("""COMPUTED_VALUE"""),"ASS. A. ESC. EST.ESTEFANIO TELES DAS CHAGAS")</f>
        <v>ASS. A. ESC. EST.ESTEFANIO TELES DAS CHAGAS</v>
      </c>
      <c r="D248" s="200" t="str">
        <f ca="1">IFERROR(__xludf.DUMMYFUNCTION("""COMPUTED_VALUE"""),"01206219000104")</f>
        <v>01206219000104</v>
      </c>
      <c r="E248" s="201" t="str">
        <f ca="1">IFERROR(__xludf.DUMMYFUNCTION("""COMPUTED_VALUE"""),"001")</f>
        <v>001</v>
      </c>
      <c r="F248" s="201" t="str">
        <f ca="1">IFERROR(__xludf.DUMMYFUNCTION("""COMPUTED_VALUE"""),"3962")</f>
        <v>3962</v>
      </c>
      <c r="G248" s="202" t="str">
        <f ca="1">IFERROR(__xludf.DUMMYFUNCTION("""COMPUTED_VALUE"""),"127795")</f>
        <v>127795</v>
      </c>
      <c r="H248" s="202">
        <f ca="1">IFERROR(__xludf.DUMMYFUNCTION("""COMPUTED_VALUE"""),0)</f>
        <v>0</v>
      </c>
      <c r="I248" s="202">
        <f ca="1">IFERROR(__xludf.DUMMYFUNCTION("""COMPUTED_VALUE"""),0)</f>
        <v>0</v>
      </c>
      <c r="J248" s="202">
        <f ca="1">IFERROR(__xludf.DUMMYFUNCTION("""COMPUTED_VALUE"""),4137)</f>
        <v>4137</v>
      </c>
      <c r="K248" s="202">
        <f ca="1">IFERROR(__xludf.DUMMYFUNCTION("""COMPUTED_VALUE"""),0)</f>
        <v>0</v>
      </c>
      <c r="L248" s="202">
        <f ca="1">IFERROR(__xludf.DUMMYFUNCTION("""COMPUTED_VALUE"""),0)</f>
        <v>0</v>
      </c>
      <c r="M248" s="202">
        <f ca="1">IFERROR(__xludf.DUMMYFUNCTION("""COMPUTED_VALUE"""),0)</f>
        <v>0</v>
      </c>
      <c r="N248" s="202">
        <f ca="1">IFERROR(__xludf.DUMMYFUNCTION("""COMPUTED_VALUE"""),2730)</f>
        <v>2730</v>
      </c>
      <c r="O248" s="202">
        <f ca="1">IFERROR(__xludf.DUMMYFUNCTION("""COMPUTED_VALUE"""),0)</f>
        <v>0</v>
      </c>
      <c r="P248" s="202">
        <f t="shared" ca="1" si="1"/>
        <v>6867</v>
      </c>
    </row>
    <row r="249" spans="1:16" ht="12.75">
      <c r="A249" s="194" t="str">
        <f ca="1">IFERROR(__xludf.DUMMYFUNCTION("""COMPUTED_VALUE"""),"Palmas")</f>
        <v>Palmas</v>
      </c>
      <c r="B249" s="194" t="str">
        <f ca="1">IFERROR(__xludf.DUMMYFUNCTION("""COMPUTED_VALUE"""),"Mateiros")</f>
        <v>Mateiros</v>
      </c>
      <c r="C249" s="195" t="str">
        <f ca="1">IFERROR(__xludf.DUMMYFUNCTION("""COMPUTED_VALUE"""),"ASSOC. DE APOIO A ESC. EST. SILVERIO RIBEIRO MATOS")</f>
        <v>ASSOC. DE APOIO A ESC. EST. SILVERIO RIBEIRO MATOS</v>
      </c>
      <c r="D249" s="196" t="str">
        <f ca="1">IFERROR(__xludf.DUMMYFUNCTION("""COMPUTED_VALUE"""),"13439520000147")</f>
        <v>13439520000147</v>
      </c>
      <c r="E249" s="197" t="str">
        <f ca="1">IFERROR(__xludf.DUMMYFUNCTION("""COMPUTED_VALUE"""),"001")</f>
        <v>001</v>
      </c>
      <c r="F249" s="197" t="str">
        <f ca="1">IFERROR(__xludf.DUMMYFUNCTION("""COMPUTED_VALUE"""),"3962")</f>
        <v>3962</v>
      </c>
      <c r="G249" s="198" t="str">
        <f ca="1">IFERROR(__xludf.DUMMYFUNCTION("""COMPUTED_VALUE"""),"261882")</f>
        <v>261882</v>
      </c>
      <c r="H249" s="198">
        <f ca="1">IFERROR(__xludf.DUMMYFUNCTION("""COMPUTED_VALUE"""),0)</f>
        <v>0</v>
      </c>
      <c r="I249" s="198">
        <f ca="1">IFERROR(__xludf.DUMMYFUNCTION("""COMPUTED_VALUE"""),0)</f>
        <v>0</v>
      </c>
      <c r="J249" s="198">
        <f ca="1">IFERROR(__xludf.DUMMYFUNCTION("""COMPUTED_VALUE"""),0)</f>
        <v>0</v>
      </c>
      <c r="K249" s="198">
        <f ca="1">IFERROR(__xludf.DUMMYFUNCTION("""COMPUTED_VALUE"""),1470)</f>
        <v>1470</v>
      </c>
      <c r="L249" s="198">
        <f ca="1">IFERROR(__xludf.DUMMYFUNCTION("""COMPUTED_VALUE"""),0)</f>
        <v>0</v>
      </c>
      <c r="M249" s="198">
        <f ca="1">IFERROR(__xludf.DUMMYFUNCTION("""COMPUTED_VALUE"""),0)</f>
        <v>0</v>
      </c>
      <c r="N249" s="198">
        <f ca="1">IFERROR(__xludf.DUMMYFUNCTION("""COMPUTED_VALUE"""),0)</f>
        <v>0</v>
      </c>
      <c r="O249" s="198">
        <f ca="1">IFERROR(__xludf.DUMMYFUNCTION("""COMPUTED_VALUE"""),0)</f>
        <v>0</v>
      </c>
      <c r="P249" s="198">
        <f t="shared" ca="1" si="1"/>
        <v>1470</v>
      </c>
    </row>
    <row r="250" spans="1:16" ht="12.75">
      <c r="A250" s="199" t="str">
        <f ca="1">IFERROR(__xludf.DUMMYFUNCTION("""COMPUTED_VALUE"""),"Palmas")</f>
        <v>Palmas</v>
      </c>
      <c r="B250" s="199" t="str">
        <f ca="1">IFERROR(__xludf.DUMMYFUNCTION("""COMPUTED_VALUE"""),"Novo Acordo")</f>
        <v>Novo Acordo</v>
      </c>
      <c r="C250" s="145" t="str">
        <f ca="1">IFERROR(__xludf.DUMMYFUNCTION("""COMPUTED_VALUE"""),"ASS. A. AO COL. EST. D. PEDRO I/N.ACORDO")</f>
        <v>ASS. A. AO COL. EST. D. PEDRO I/N.ACORDO</v>
      </c>
      <c r="D250" s="200" t="str">
        <f ca="1">IFERROR(__xludf.DUMMYFUNCTION("""COMPUTED_VALUE"""),"01133690000110")</f>
        <v>01133690000110</v>
      </c>
      <c r="E250" s="201" t="str">
        <f ca="1">IFERROR(__xludf.DUMMYFUNCTION("""COMPUTED_VALUE"""),"001")</f>
        <v>001</v>
      </c>
      <c r="F250" s="201" t="str">
        <f ca="1">IFERROR(__xludf.DUMMYFUNCTION("""COMPUTED_VALUE"""),"1505")</f>
        <v>1505</v>
      </c>
      <c r="G250" s="202" t="str">
        <f ca="1">IFERROR(__xludf.DUMMYFUNCTION("""COMPUTED_VALUE"""),"157856")</f>
        <v>157856</v>
      </c>
      <c r="H250" s="202">
        <f ca="1">IFERROR(__xludf.DUMMYFUNCTION("""COMPUTED_VALUE"""),0)</f>
        <v>0</v>
      </c>
      <c r="I250" s="202">
        <f ca="1">IFERROR(__xludf.DUMMYFUNCTION("""COMPUTED_VALUE"""),0)</f>
        <v>0</v>
      </c>
      <c r="J250" s="202">
        <f ca="1">IFERROR(__xludf.DUMMYFUNCTION("""COMPUTED_VALUE"""),4935)</f>
        <v>4935</v>
      </c>
      <c r="K250" s="202">
        <f ca="1">IFERROR(__xludf.DUMMYFUNCTION("""COMPUTED_VALUE"""),0)</f>
        <v>0</v>
      </c>
      <c r="L250" s="202">
        <f ca="1">IFERROR(__xludf.DUMMYFUNCTION("""COMPUTED_VALUE"""),0)</f>
        <v>0</v>
      </c>
      <c r="M250" s="202">
        <f ca="1">IFERROR(__xludf.DUMMYFUNCTION("""COMPUTED_VALUE"""),735)</f>
        <v>735</v>
      </c>
      <c r="N250" s="202">
        <f ca="1">IFERROR(__xludf.DUMMYFUNCTION("""COMPUTED_VALUE"""),4494)</f>
        <v>4494</v>
      </c>
      <c r="O250" s="202">
        <f ca="1">IFERROR(__xludf.DUMMYFUNCTION("""COMPUTED_VALUE"""),0)</f>
        <v>0</v>
      </c>
      <c r="P250" s="202">
        <f t="shared" ca="1" si="1"/>
        <v>10164</v>
      </c>
    </row>
    <row r="251" spans="1:16" ht="12.75">
      <c r="A251" s="194" t="str">
        <f ca="1">IFERROR(__xludf.DUMMYFUNCTION("""COMPUTED_VALUE"""),"Palmas")</f>
        <v>Palmas</v>
      </c>
      <c r="B251" s="194" t="str">
        <f ca="1">IFERROR(__xludf.DUMMYFUNCTION("""COMPUTED_VALUE"""),"Novo Acordo")</f>
        <v>Novo Acordo</v>
      </c>
      <c r="C251" s="195" t="str">
        <f ca="1">IFERROR(__xludf.DUMMYFUNCTION("""COMPUTED_VALUE"""),"A.A. DA ESC. EST.PEDRO MACEDO / N.ACORDO")</f>
        <v>A.A. DA ESC. EST.PEDRO MACEDO / N.ACORDO</v>
      </c>
      <c r="D251" s="196" t="str">
        <f ca="1">IFERROR(__xludf.DUMMYFUNCTION("""COMPUTED_VALUE"""),"01136004000164")</f>
        <v>01136004000164</v>
      </c>
      <c r="E251" s="197" t="str">
        <f ca="1">IFERROR(__xludf.DUMMYFUNCTION("""COMPUTED_VALUE"""),"001")</f>
        <v>001</v>
      </c>
      <c r="F251" s="197" t="str">
        <f ca="1">IFERROR(__xludf.DUMMYFUNCTION("""COMPUTED_VALUE"""),"1505")</f>
        <v>1505</v>
      </c>
      <c r="G251" s="198" t="str">
        <f ca="1">IFERROR(__xludf.DUMMYFUNCTION("""COMPUTED_VALUE"""),"171166")</f>
        <v>171166</v>
      </c>
      <c r="H251" s="198">
        <f ca="1">IFERROR(__xludf.DUMMYFUNCTION("""COMPUTED_VALUE"""),0)</f>
        <v>0</v>
      </c>
      <c r="I251" s="198">
        <f ca="1">IFERROR(__xludf.DUMMYFUNCTION("""COMPUTED_VALUE"""),0)</f>
        <v>0</v>
      </c>
      <c r="J251" s="198">
        <f ca="1">IFERROR(__xludf.DUMMYFUNCTION("""COMPUTED_VALUE"""),1659)</f>
        <v>1659</v>
      </c>
      <c r="K251" s="198">
        <f ca="1">IFERROR(__xludf.DUMMYFUNCTION("""COMPUTED_VALUE"""),0)</f>
        <v>0</v>
      </c>
      <c r="L251" s="198">
        <f ca="1">IFERROR(__xludf.DUMMYFUNCTION("""COMPUTED_VALUE"""),0)</f>
        <v>0</v>
      </c>
      <c r="M251" s="198">
        <f ca="1">IFERROR(__xludf.DUMMYFUNCTION("""COMPUTED_VALUE"""),336)</f>
        <v>336</v>
      </c>
      <c r="N251" s="198">
        <f ca="1">IFERROR(__xludf.DUMMYFUNCTION("""COMPUTED_VALUE"""),0)</f>
        <v>0</v>
      </c>
      <c r="O251" s="198">
        <f ca="1">IFERROR(__xludf.DUMMYFUNCTION("""COMPUTED_VALUE"""),0)</f>
        <v>0</v>
      </c>
      <c r="P251" s="198">
        <f t="shared" ca="1" si="1"/>
        <v>1995</v>
      </c>
    </row>
    <row r="252" spans="1:16" ht="12.75">
      <c r="A252" s="199" t="str">
        <f ca="1">IFERROR(__xludf.DUMMYFUNCTION("""COMPUTED_VALUE"""),"Palmas")</f>
        <v>Palmas</v>
      </c>
      <c r="B252" s="199" t="str">
        <f ca="1">IFERROR(__xludf.DUMMYFUNCTION("""COMPUTED_VALUE"""),"Palmas")</f>
        <v>Palmas</v>
      </c>
      <c r="C252" s="145" t="str">
        <f ca="1">IFERROR(__xludf.DUMMYFUNCTION("""COMPUTED_VALUE"""),"A. DE CONSELHO ESCOLAR DO CEM 305 NORTE")</f>
        <v>A. DE CONSELHO ESCOLAR DO CEM 305 NORTE</v>
      </c>
      <c r="D252" s="200" t="str">
        <f ca="1">IFERROR(__xludf.DUMMYFUNCTION("""COMPUTED_VALUE"""),"04701394000166")</f>
        <v>04701394000166</v>
      </c>
      <c r="E252" s="201" t="str">
        <f ca="1">IFERROR(__xludf.DUMMYFUNCTION("""COMPUTED_VALUE"""),"001")</f>
        <v>001</v>
      </c>
      <c r="F252" s="201" t="str">
        <f ca="1">IFERROR(__xludf.DUMMYFUNCTION("""COMPUTED_VALUE"""),"1505")</f>
        <v>1505</v>
      </c>
      <c r="G252" s="202" t="str">
        <f ca="1">IFERROR(__xludf.DUMMYFUNCTION("""COMPUTED_VALUE"""),"455261")</f>
        <v>455261</v>
      </c>
      <c r="H252" s="202">
        <f ca="1">IFERROR(__xludf.DUMMYFUNCTION("""COMPUTED_VALUE"""),0)</f>
        <v>0</v>
      </c>
      <c r="I252" s="202">
        <f ca="1">IFERROR(__xludf.DUMMYFUNCTION("""COMPUTED_VALUE"""),0)</f>
        <v>0</v>
      </c>
      <c r="J252" s="202">
        <f ca="1">IFERROR(__xludf.DUMMYFUNCTION("""COMPUTED_VALUE"""),0)</f>
        <v>0</v>
      </c>
      <c r="K252" s="202">
        <f ca="1">IFERROR(__xludf.DUMMYFUNCTION("""COMPUTED_VALUE"""),0)</f>
        <v>0</v>
      </c>
      <c r="L252" s="202">
        <f ca="1">IFERROR(__xludf.DUMMYFUNCTION("""COMPUTED_VALUE"""),0)</f>
        <v>0</v>
      </c>
      <c r="M252" s="202">
        <f ca="1">IFERROR(__xludf.DUMMYFUNCTION("""COMPUTED_VALUE"""),63)</f>
        <v>63</v>
      </c>
      <c r="N252" s="202">
        <f ca="1">IFERROR(__xludf.DUMMYFUNCTION("""COMPUTED_VALUE"""),12327)</f>
        <v>12327</v>
      </c>
      <c r="O252" s="202">
        <f ca="1">IFERROR(__xludf.DUMMYFUNCTION("""COMPUTED_VALUE"""),0)</f>
        <v>0</v>
      </c>
      <c r="P252" s="202">
        <f t="shared" ca="1" si="1"/>
        <v>12390</v>
      </c>
    </row>
    <row r="253" spans="1:16" ht="12.75">
      <c r="A253" s="194" t="str">
        <f ca="1">IFERROR(__xludf.DUMMYFUNCTION("""COMPUTED_VALUE"""),"Palmas")</f>
        <v>Palmas</v>
      </c>
      <c r="B253" s="194" t="str">
        <f ca="1">IFERROR(__xludf.DUMMYFUNCTION("""COMPUTED_VALUE"""),"Palmas")</f>
        <v>Palmas</v>
      </c>
      <c r="C253" s="195" t="str">
        <f ca="1">IFERROR(__xludf.DUMMYFUNCTION("""COMPUTED_VALUE"""),"ASSOC. DE APOIO COL. EST. DE TAQUARALTO")</f>
        <v>ASSOC. DE APOIO COL. EST. DE TAQUARALTO</v>
      </c>
      <c r="D253" s="196" t="str">
        <f ca="1">IFERROR(__xludf.DUMMYFUNCTION("""COMPUTED_VALUE"""),"03233677000168")</f>
        <v>03233677000168</v>
      </c>
      <c r="E253" s="197" t="str">
        <f ca="1">IFERROR(__xludf.DUMMYFUNCTION("""COMPUTED_VALUE"""),"001")</f>
        <v>001</v>
      </c>
      <c r="F253" s="197" t="str">
        <f ca="1">IFERROR(__xludf.DUMMYFUNCTION("""COMPUTED_VALUE"""),"1505")</f>
        <v>1505</v>
      </c>
      <c r="G253" s="198" t="str">
        <f ca="1">IFERROR(__xludf.DUMMYFUNCTION("""COMPUTED_VALUE"""),"455059")</f>
        <v>455059</v>
      </c>
      <c r="H253" s="198">
        <f ca="1">IFERROR(__xludf.DUMMYFUNCTION("""COMPUTED_VALUE"""),0)</f>
        <v>0</v>
      </c>
      <c r="I253" s="198">
        <f ca="1">IFERROR(__xludf.DUMMYFUNCTION("""COMPUTED_VALUE"""),0)</f>
        <v>0</v>
      </c>
      <c r="J253" s="198">
        <f ca="1">IFERROR(__xludf.DUMMYFUNCTION("""COMPUTED_VALUE"""),0)</f>
        <v>0</v>
      </c>
      <c r="K253" s="198">
        <f ca="1">IFERROR(__xludf.DUMMYFUNCTION("""COMPUTED_VALUE"""),0)</f>
        <v>0</v>
      </c>
      <c r="L253" s="198">
        <f ca="1">IFERROR(__xludf.DUMMYFUNCTION("""COMPUTED_VALUE"""),0)</f>
        <v>0</v>
      </c>
      <c r="M253" s="198">
        <f ca="1">IFERROR(__xludf.DUMMYFUNCTION("""COMPUTED_VALUE"""),315)</f>
        <v>315</v>
      </c>
      <c r="N253" s="198">
        <f ca="1">IFERROR(__xludf.DUMMYFUNCTION("""COMPUTED_VALUE"""),31563)</f>
        <v>31563</v>
      </c>
      <c r="O253" s="198">
        <f ca="1">IFERROR(__xludf.DUMMYFUNCTION("""COMPUTED_VALUE"""),3318)</f>
        <v>3318</v>
      </c>
      <c r="P253" s="198">
        <f t="shared" ca="1" si="1"/>
        <v>35196</v>
      </c>
    </row>
    <row r="254" spans="1:16" ht="12.75">
      <c r="A254" s="199" t="str">
        <f ca="1">IFERROR(__xludf.DUMMYFUNCTION("""COMPUTED_VALUE"""),"Palmas")</f>
        <v>Palmas</v>
      </c>
      <c r="B254" s="199" t="str">
        <f ca="1">IFERROR(__xludf.DUMMYFUNCTION("""COMPUTED_VALUE"""),"Palmas")</f>
        <v>Palmas</v>
      </c>
      <c r="C254" s="145" t="str">
        <f ca="1">IFERROR(__xludf.DUMMYFUNCTION("""COMPUTED_VALUE"""),"A.AP. DO COL. EST. SANTA RITA DE CASSIA")</f>
        <v>A.AP. DO COL. EST. SANTA RITA DE CASSIA</v>
      </c>
      <c r="D254" s="200" t="str">
        <f ca="1">IFERROR(__xludf.DUMMYFUNCTION("""COMPUTED_VALUE"""),"01955414000137")</f>
        <v>01955414000137</v>
      </c>
      <c r="E254" s="201" t="str">
        <f ca="1">IFERROR(__xludf.DUMMYFUNCTION("""COMPUTED_VALUE"""),"001")</f>
        <v>001</v>
      </c>
      <c r="F254" s="201" t="str">
        <f ca="1">IFERROR(__xludf.DUMMYFUNCTION("""COMPUTED_VALUE"""),"1505")</f>
        <v>1505</v>
      </c>
      <c r="G254" s="202" t="str">
        <f ca="1">IFERROR(__xludf.DUMMYFUNCTION("""COMPUTED_VALUE"""),"256579")</f>
        <v>256579</v>
      </c>
      <c r="H254" s="202">
        <f ca="1">IFERROR(__xludf.DUMMYFUNCTION("""COMPUTED_VALUE"""),0)</f>
        <v>0</v>
      </c>
      <c r="I254" s="202">
        <f ca="1">IFERROR(__xludf.DUMMYFUNCTION("""COMPUTED_VALUE"""),0)</f>
        <v>0</v>
      </c>
      <c r="J254" s="202">
        <f ca="1">IFERROR(__xludf.DUMMYFUNCTION("""COMPUTED_VALUE"""),0)</f>
        <v>0</v>
      </c>
      <c r="K254" s="202">
        <f ca="1">IFERROR(__xludf.DUMMYFUNCTION("""COMPUTED_VALUE"""),0)</f>
        <v>0</v>
      </c>
      <c r="L254" s="202">
        <f ca="1">IFERROR(__xludf.DUMMYFUNCTION("""COMPUTED_VALUE"""),0)</f>
        <v>0</v>
      </c>
      <c r="M254" s="202">
        <f ca="1">IFERROR(__xludf.DUMMYFUNCTION("""COMPUTED_VALUE"""),189)</f>
        <v>189</v>
      </c>
      <c r="N254" s="202">
        <f ca="1">IFERROR(__xludf.DUMMYFUNCTION("""COMPUTED_VALUE"""),0)</f>
        <v>0</v>
      </c>
      <c r="O254" s="202">
        <f ca="1">IFERROR(__xludf.DUMMYFUNCTION("""COMPUTED_VALUE"""),0)</f>
        <v>0</v>
      </c>
      <c r="P254" s="202">
        <f t="shared" ca="1" si="1"/>
        <v>189</v>
      </c>
    </row>
    <row r="255" spans="1:16" ht="12.75">
      <c r="A255" s="194" t="str">
        <f ca="1">IFERROR(__xludf.DUMMYFUNCTION("""COMPUTED_VALUE"""),"Palmas")</f>
        <v>Palmas</v>
      </c>
      <c r="B255" s="194" t="str">
        <f ca="1">IFERROR(__xludf.DUMMYFUNCTION("""COMPUTED_VALUE"""),"Palmas")</f>
        <v>Palmas</v>
      </c>
      <c r="C255" s="195" t="str">
        <f ca="1">IFERROR(__xludf.DUMMYFUNCTION("""COMPUTED_VALUE"""),"ASSOC. COMUN.ESCOLAR DA ESC. EST. TIRADENTES")</f>
        <v>ASSOC. COMUN.ESCOLAR DA ESC. EST. TIRADENTES</v>
      </c>
      <c r="D255" s="196" t="str">
        <f ca="1">IFERROR(__xludf.DUMMYFUNCTION("""COMPUTED_VALUE"""),"00862122000197")</f>
        <v>00862122000197</v>
      </c>
      <c r="E255" s="197" t="str">
        <f ca="1">IFERROR(__xludf.DUMMYFUNCTION("""COMPUTED_VALUE"""),"001")</f>
        <v>001</v>
      </c>
      <c r="F255" s="197" t="str">
        <f ca="1">IFERROR(__xludf.DUMMYFUNCTION("""COMPUTED_VALUE"""),"1505")</f>
        <v>1505</v>
      </c>
      <c r="G255" s="198" t="str">
        <f ca="1">IFERROR(__xludf.DUMMYFUNCTION("""COMPUTED_VALUE"""),"250562")</f>
        <v>250562</v>
      </c>
      <c r="H255" s="198">
        <f ca="1">IFERROR(__xludf.DUMMYFUNCTION("""COMPUTED_VALUE"""),0)</f>
        <v>0</v>
      </c>
      <c r="I255" s="198">
        <f ca="1">IFERROR(__xludf.DUMMYFUNCTION("""COMPUTED_VALUE"""),0)</f>
        <v>0</v>
      </c>
      <c r="J255" s="198">
        <f ca="1">IFERROR(__xludf.DUMMYFUNCTION("""COMPUTED_VALUE"""),0)</f>
        <v>0</v>
      </c>
      <c r="K255" s="198">
        <f ca="1">IFERROR(__xludf.DUMMYFUNCTION("""COMPUTED_VALUE"""),0)</f>
        <v>0</v>
      </c>
      <c r="L255" s="198">
        <f ca="1">IFERROR(__xludf.DUMMYFUNCTION("""COMPUTED_VALUE"""),0)</f>
        <v>0</v>
      </c>
      <c r="M255" s="198">
        <f ca="1">IFERROR(__xludf.DUMMYFUNCTION("""COMPUTED_VALUE"""),0)</f>
        <v>0</v>
      </c>
      <c r="N255" s="198">
        <f ca="1">IFERROR(__xludf.DUMMYFUNCTION("""COMPUTED_VALUE"""),26922)</f>
        <v>26922</v>
      </c>
      <c r="O255" s="198">
        <f ca="1">IFERROR(__xludf.DUMMYFUNCTION("""COMPUTED_VALUE"""),0)</f>
        <v>0</v>
      </c>
      <c r="P255" s="198">
        <f t="shared" ca="1" si="1"/>
        <v>26922</v>
      </c>
    </row>
    <row r="256" spans="1:16" ht="12.75">
      <c r="A256" s="199" t="str">
        <f ca="1">IFERROR(__xludf.DUMMYFUNCTION("""COMPUTED_VALUE"""),"Palmas")</f>
        <v>Palmas</v>
      </c>
      <c r="B256" s="199" t="str">
        <f ca="1">IFERROR(__xludf.DUMMYFUNCTION("""COMPUTED_VALUE"""),"Palmas")</f>
        <v>Palmas</v>
      </c>
      <c r="C256" s="145" t="str">
        <f ca="1">IFERROR(__xludf.DUMMYFUNCTION("""COMPUTED_VALUE"""),"A.C.ESC.M.FUT. C.E. CRIANCA ESPERANCA")</f>
        <v>A.C.ESC.M.FUT. C.E. CRIANCA ESPERANCA</v>
      </c>
      <c r="D256" s="200" t="str">
        <f ca="1">IFERROR(__xludf.DUMMYFUNCTION("""COMPUTED_VALUE"""),"01920781000103")</f>
        <v>01920781000103</v>
      </c>
      <c r="E256" s="201" t="str">
        <f ca="1">IFERROR(__xludf.DUMMYFUNCTION("""COMPUTED_VALUE"""),"001")</f>
        <v>001</v>
      </c>
      <c r="F256" s="201" t="str">
        <f ca="1">IFERROR(__xludf.DUMMYFUNCTION("""COMPUTED_VALUE"""),"1505")</f>
        <v>1505</v>
      </c>
      <c r="G256" s="202" t="str">
        <f ca="1">IFERROR(__xludf.DUMMYFUNCTION("""COMPUTED_VALUE"""),"455369")</f>
        <v>455369</v>
      </c>
      <c r="H256" s="202">
        <f ca="1">IFERROR(__xludf.DUMMYFUNCTION("""COMPUTED_VALUE"""),0)</f>
        <v>0</v>
      </c>
      <c r="I256" s="202">
        <f ca="1">IFERROR(__xludf.DUMMYFUNCTION("""COMPUTED_VALUE"""),0)</f>
        <v>0</v>
      </c>
      <c r="J256" s="202">
        <f ca="1">IFERROR(__xludf.DUMMYFUNCTION("""COMPUTED_VALUE"""),0)</f>
        <v>0</v>
      </c>
      <c r="K256" s="202">
        <f ca="1">IFERROR(__xludf.DUMMYFUNCTION("""COMPUTED_VALUE"""),0)</f>
        <v>0</v>
      </c>
      <c r="L256" s="202">
        <f ca="1">IFERROR(__xludf.DUMMYFUNCTION("""COMPUTED_VALUE"""),0)</f>
        <v>0</v>
      </c>
      <c r="M256" s="202">
        <f ca="1">IFERROR(__xludf.DUMMYFUNCTION("""COMPUTED_VALUE"""),0)</f>
        <v>0</v>
      </c>
      <c r="N256" s="202">
        <f ca="1">IFERROR(__xludf.DUMMYFUNCTION("""COMPUTED_VALUE"""),5292)</f>
        <v>5292</v>
      </c>
      <c r="O256" s="202">
        <f ca="1">IFERROR(__xludf.DUMMYFUNCTION("""COMPUTED_VALUE"""),1869)</f>
        <v>1869</v>
      </c>
      <c r="P256" s="202">
        <f t="shared" ca="1" si="1"/>
        <v>7161</v>
      </c>
    </row>
    <row r="257" spans="1:16" ht="12.75">
      <c r="A257" s="194" t="str">
        <f ca="1">IFERROR(__xludf.DUMMYFUNCTION("""COMPUTED_VALUE"""),"Palmas")</f>
        <v>Palmas</v>
      </c>
      <c r="B257" s="194" t="str">
        <f ca="1">IFERROR(__xludf.DUMMYFUNCTION("""COMPUTED_VALUE"""),"Palmas")</f>
        <v>Palmas</v>
      </c>
      <c r="C257" s="195" t="str">
        <f ca="1">IFERROR(__xludf.DUMMYFUNCTION("""COMPUTED_VALUE"""),"A. COM. E-E. E. DOM ALANO MARIE DU NODAY")</f>
        <v>A. COM. E-E. E. DOM ALANO MARIE DU NODAY</v>
      </c>
      <c r="D257" s="196" t="str">
        <f ca="1">IFERROR(__xludf.DUMMYFUNCTION("""COMPUTED_VALUE"""),"01343125000187")</f>
        <v>01343125000187</v>
      </c>
      <c r="E257" s="197" t="str">
        <f ca="1">IFERROR(__xludf.DUMMYFUNCTION("""COMPUTED_VALUE"""),"001")</f>
        <v>001</v>
      </c>
      <c r="F257" s="197" t="str">
        <f ca="1">IFERROR(__xludf.DUMMYFUNCTION("""COMPUTED_VALUE"""),"1505")</f>
        <v>1505</v>
      </c>
      <c r="G257" s="198" t="str">
        <f ca="1">IFERROR(__xludf.DUMMYFUNCTION("""COMPUTED_VALUE"""),"265810")</f>
        <v>265810</v>
      </c>
      <c r="H257" s="198">
        <f ca="1">IFERROR(__xludf.DUMMYFUNCTION("""COMPUTED_VALUE"""),0)</f>
        <v>0</v>
      </c>
      <c r="I257" s="198">
        <f ca="1">IFERROR(__xludf.DUMMYFUNCTION("""COMPUTED_VALUE"""),0)</f>
        <v>0</v>
      </c>
      <c r="J257" s="198">
        <f ca="1">IFERROR(__xludf.DUMMYFUNCTION("""COMPUTED_VALUE"""),1659)</f>
        <v>1659</v>
      </c>
      <c r="K257" s="198">
        <f ca="1">IFERROR(__xludf.DUMMYFUNCTION("""COMPUTED_VALUE"""),0)</f>
        <v>0</v>
      </c>
      <c r="L257" s="198">
        <f ca="1">IFERROR(__xludf.DUMMYFUNCTION("""COMPUTED_VALUE"""),0)</f>
        <v>0</v>
      </c>
      <c r="M257" s="198">
        <f ca="1">IFERROR(__xludf.DUMMYFUNCTION("""COMPUTED_VALUE"""),0)</f>
        <v>0</v>
      </c>
      <c r="N257" s="198">
        <f ca="1">IFERROR(__xludf.DUMMYFUNCTION("""COMPUTED_VALUE"""),17304)</f>
        <v>17304</v>
      </c>
      <c r="O257" s="198">
        <f ca="1">IFERROR(__xludf.DUMMYFUNCTION("""COMPUTED_VALUE"""),2268)</f>
        <v>2268</v>
      </c>
      <c r="P257" s="198">
        <f t="shared" ca="1" si="1"/>
        <v>21231</v>
      </c>
    </row>
    <row r="258" spans="1:16" ht="12.75">
      <c r="A258" s="199" t="str">
        <f ca="1">IFERROR(__xludf.DUMMYFUNCTION("""COMPUTED_VALUE"""),"Palmas")</f>
        <v>Palmas</v>
      </c>
      <c r="B258" s="199" t="str">
        <f ca="1">IFERROR(__xludf.DUMMYFUNCTION("""COMPUTED_VALUE"""),"Palmas")</f>
        <v>Palmas</v>
      </c>
      <c r="C258" s="145" t="str">
        <f ca="1">IFERROR(__xludf.DUMMYFUNCTION("""COMPUTED_VALUE"""),"ACE COL. EST. DUQUE DE CAXIAS")</f>
        <v>ACE COL. EST. DUQUE DE CAXIAS</v>
      </c>
      <c r="D258" s="200" t="str">
        <f ca="1">IFERROR(__xludf.DUMMYFUNCTION("""COMPUTED_VALUE"""),"01588669000109")</f>
        <v>01588669000109</v>
      </c>
      <c r="E258" s="201" t="str">
        <f ca="1">IFERROR(__xludf.DUMMYFUNCTION("""COMPUTED_VALUE"""),"001")</f>
        <v>001</v>
      </c>
      <c r="F258" s="201" t="str">
        <f ca="1">IFERROR(__xludf.DUMMYFUNCTION("""COMPUTED_VALUE"""),"1505")</f>
        <v>1505</v>
      </c>
      <c r="G258" s="202" t="str">
        <f ca="1">IFERROR(__xludf.DUMMYFUNCTION("""COMPUTED_VALUE"""),"254002")</f>
        <v>254002</v>
      </c>
      <c r="H258" s="202">
        <f ca="1">IFERROR(__xludf.DUMMYFUNCTION("""COMPUTED_VALUE"""),0)</f>
        <v>0</v>
      </c>
      <c r="I258" s="202">
        <f ca="1">IFERROR(__xludf.DUMMYFUNCTION("""COMPUTED_VALUE"""),0)</f>
        <v>0</v>
      </c>
      <c r="J258" s="202">
        <f ca="1">IFERROR(__xludf.DUMMYFUNCTION("""COMPUTED_VALUE"""),4137)</f>
        <v>4137</v>
      </c>
      <c r="K258" s="202">
        <f ca="1">IFERROR(__xludf.DUMMYFUNCTION("""COMPUTED_VALUE"""),0)</f>
        <v>0</v>
      </c>
      <c r="L258" s="202">
        <f ca="1">IFERROR(__xludf.DUMMYFUNCTION("""COMPUTED_VALUE"""),0)</f>
        <v>0</v>
      </c>
      <c r="M258" s="202">
        <f ca="1">IFERROR(__xludf.DUMMYFUNCTION("""COMPUTED_VALUE"""),378)</f>
        <v>378</v>
      </c>
      <c r="N258" s="202">
        <f ca="1">IFERROR(__xludf.DUMMYFUNCTION("""COMPUTED_VALUE"""),6216)</f>
        <v>6216</v>
      </c>
      <c r="O258" s="202">
        <f ca="1">IFERROR(__xludf.DUMMYFUNCTION("""COMPUTED_VALUE"""),0)</f>
        <v>0</v>
      </c>
      <c r="P258" s="202">
        <f t="shared" ca="1" si="1"/>
        <v>10731</v>
      </c>
    </row>
    <row r="259" spans="1:16" ht="12.75">
      <c r="A259" s="194" t="str">
        <f ca="1">IFERROR(__xludf.DUMMYFUNCTION("""COMPUTED_VALUE"""),"Palmas")</f>
        <v>Palmas</v>
      </c>
      <c r="B259" s="194" t="str">
        <f ca="1">IFERROR(__xludf.DUMMYFUNCTION("""COMPUTED_VALUE"""),"Palmas")</f>
        <v>Palmas</v>
      </c>
      <c r="C259" s="195" t="str">
        <f ca="1">IFERROR(__xludf.DUMMYFUNCTION("""COMPUTED_VALUE"""),"A.A. AO COLEGIO ESTADUAL SAO JOSE")</f>
        <v>A.A. AO COLEGIO ESTADUAL SAO JOSE</v>
      </c>
      <c r="D259" s="196" t="str">
        <f ca="1">IFERROR(__xludf.DUMMYFUNCTION("""COMPUTED_VALUE"""),"01913809000177")</f>
        <v>01913809000177</v>
      </c>
      <c r="E259" s="197" t="str">
        <f ca="1">IFERROR(__xludf.DUMMYFUNCTION("""COMPUTED_VALUE"""),"001")</f>
        <v>001</v>
      </c>
      <c r="F259" s="197" t="str">
        <f ca="1">IFERROR(__xludf.DUMMYFUNCTION("""COMPUTED_VALUE"""),"1886")</f>
        <v>1886</v>
      </c>
      <c r="G259" s="198" t="str">
        <f ca="1">IFERROR(__xludf.DUMMYFUNCTION("""COMPUTED_VALUE"""),"325252")</f>
        <v>325252</v>
      </c>
      <c r="H259" s="198">
        <f ca="1">IFERROR(__xludf.DUMMYFUNCTION("""COMPUTED_VALUE"""),0)</f>
        <v>0</v>
      </c>
      <c r="I259" s="198">
        <f ca="1">IFERROR(__xludf.DUMMYFUNCTION("""COMPUTED_VALUE"""),0)</f>
        <v>0</v>
      </c>
      <c r="J259" s="198">
        <f ca="1">IFERROR(__xludf.DUMMYFUNCTION("""COMPUTED_VALUE"""),0)</f>
        <v>0</v>
      </c>
      <c r="K259" s="198">
        <f ca="1">IFERROR(__xludf.DUMMYFUNCTION("""COMPUTED_VALUE"""),0)</f>
        <v>0</v>
      </c>
      <c r="L259" s="198">
        <f ca="1">IFERROR(__xludf.DUMMYFUNCTION("""COMPUTED_VALUE"""),0)</f>
        <v>0</v>
      </c>
      <c r="M259" s="198">
        <f ca="1">IFERROR(__xludf.DUMMYFUNCTION("""COMPUTED_VALUE"""),504)</f>
        <v>504</v>
      </c>
      <c r="N259" s="198">
        <f ca="1">IFERROR(__xludf.DUMMYFUNCTION("""COMPUTED_VALUE"""),0)</f>
        <v>0</v>
      </c>
      <c r="O259" s="198">
        <f ca="1">IFERROR(__xludf.DUMMYFUNCTION("""COMPUTED_VALUE"""),2856)</f>
        <v>2856</v>
      </c>
      <c r="P259" s="198">
        <f t="shared" ca="1" si="1"/>
        <v>3360</v>
      </c>
    </row>
    <row r="260" spans="1:16" ht="12.75">
      <c r="A260" s="199" t="str">
        <f ca="1">IFERROR(__xludf.DUMMYFUNCTION("""COMPUTED_VALUE"""),"Palmas")</f>
        <v>Palmas</v>
      </c>
      <c r="B260" s="199" t="str">
        <f ca="1">IFERROR(__xludf.DUMMYFUNCTION("""COMPUTED_VALUE"""),"Palmas")</f>
        <v>Palmas</v>
      </c>
      <c r="C260" s="145" t="str">
        <f ca="1">IFERROR(__xludf.DUMMYFUNCTION("""COMPUTED_VALUE"""),"A.A. COL GIRASSOL TEMPO INTEGRAL RAQUEL QUEIROZ")</f>
        <v>A.A. COL GIRASSOL TEMPO INTEGRAL RAQUEL QUEIROZ</v>
      </c>
      <c r="D260" s="200" t="str">
        <f ca="1">IFERROR(__xludf.DUMMYFUNCTION("""COMPUTED_VALUE"""),"13748657000183")</f>
        <v>13748657000183</v>
      </c>
      <c r="E260" s="201" t="str">
        <f ca="1">IFERROR(__xludf.DUMMYFUNCTION("""COMPUTED_VALUE"""),"001")</f>
        <v>001</v>
      </c>
      <c r="F260" s="201" t="str">
        <f ca="1">IFERROR(__xludf.DUMMYFUNCTION("""COMPUTED_VALUE"""),"1867")</f>
        <v>1867</v>
      </c>
      <c r="G260" s="202" t="str">
        <f ca="1">IFERROR(__xludf.DUMMYFUNCTION("""COMPUTED_VALUE"""),"856312")</f>
        <v>856312</v>
      </c>
      <c r="H260" s="202">
        <f ca="1">IFERROR(__xludf.DUMMYFUNCTION("""COMPUTED_VALUE"""),0)</f>
        <v>0</v>
      </c>
      <c r="I260" s="202">
        <f ca="1">IFERROR(__xludf.DUMMYFUNCTION("""COMPUTED_VALUE"""),0)</f>
        <v>0</v>
      </c>
      <c r="J260" s="202">
        <f ca="1">IFERROR(__xludf.DUMMYFUNCTION("""COMPUTED_VALUE"""),0)</f>
        <v>0</v>
      </c>
      <c r="K260" s="202">
        <f ca="1">IFERROR(__xludf.DUMMYFUNCTION("""COMPUTED_VALUE"""),0)</f>
        <v>0</v>
      </c>
      <c r="L260" s="202">
        <f ca="1">IFERROR(__xludf.DUMMYFUNCTION("""COMPUTED_VALUE"""),0)</f>
        <v>0</v>
      </c>
      <c r="M260" s="202">
        <f ca="1">IFERROR(__xludf.DUMMYFUNCTION("""COMPUTED_VALUE"""),441)</f>
        <v>441</v>
      </c>
      <c r="N260" s="202">
        <f ca="1">IFERROR(__xludf.DUMMYFUNCTION("""COMPUTED_VALUE"""),15477)</f>
        <v>15477</v>
      </c>
      <c r="O260" s="202">
        <f ca="1">IFERROR(__xludf.DUMMYFUNCTION("""COMPUTED_VALUE"""),0)</f>
        <v>0</v>
      </c>
      <c r="P260" s="202">
        <f t="shared" ca="1" si="1"/>
        <v>15918</v>
      </c>
    </row>
    <row r="261" spans="1:16" ht="12.75">
      <c r="A261" s="194" t="str">
        <f ca="1">IFERROR(__xludf.DUMMYFUNCTION("""COMPUTED_VALUE"""),"Palmas")</f>
        <v>Palmas</v>
      </c>
      <c r="B261" s="194" t="str">
        <f ca="1">IFERROR(__xludf.DUMMYFUNCTION("""COMPUTED_VALUE"""),"Palmas")</f>
        <v>Palmas</v>
      </c>
      <c r="C261" s="195" t="str">
        <f ca="1">IFERROR(__xludf.DUMMYFUNCTION("""COMPUTED_VALUE"""),"ASSOCIAÇÃO DE APOIO DA ESCOLA ESPECIAL INTEGRAÇÃO DE PALMAS")</f>
        <v>ASSOCIAÇÃO DE APOIO DA ESCOLA ESPECIAL INTEGRAÇÃO DE PALMAS</v>
      </c>
      <c r="D261" s="196" t="str">
        <f ca="1">IFERROR(__xludf.DUMMYFUNCTION("""COMPUTED_VALUE"""),"07958777000102")</f>
        <v>07958777000102</v>
      </c>
      <c r="E261" s="197" t="str">
        <f ca="1">IFERROR(__xludf.DUMMYFUNCTION("""COMPUTED_VALUE"""),"001")</f>
        <v>001</v>
      </c>
      <c r="F261" s="197" t="str">
        <f ca="1">IFERROR(__xludf.DUMMYFUNCTION("""COMPUTED_VALUE"""),"1505")</f>
        <v>1505</v>
      </c>
      <c r="G261" s="198" t="str">
        <f ca="1">IFERROR(__xludf.DUMMYFUNCTION("""COMPUTED_VALUE"""),"385328")</f>
        <v>385328</v>
      </c>
      <c r="H261" s="198">
        <f ca="1">IFERROR(__xludf.DUMMYFUNCTION("""COMPUTED_VALUE"""),0)</f>
        <v>0</v>
      </c>
      <c r="I261" s="198">
        <f ca="1">IFERROR(__xludf.DUMMYFUNCTION("""COMPUTED_VALUE"""),588)</f>
        <v>588</v>
      </c>
      <c r="J261" s="198">
        <f ca="1">IFERROR(__xludf.DUMMYFUNCTION("""COMPUTED_VALUE"""),1113)</f>
        <v>1113</v>
      </c>
      <c r="K261" s="198">
        <f ca="1">IFERROR(__xludf.DUMMYFUNCTION("""COMPUTED_VALUE"""),0)</f>
        <v>0</v>
      </c>
      <c r="L261" s="198">
        <f ca="1">IFERROR(__xludf.DUMMYFUNCTION("""COMPUTED_VALUE"""),0)</f>
        <v>0</v>
      </c>
      <c r="M261" s="198">
        <f ca="1">IFERROR(__xludf.DUMMYFUNCTION("""COMPUTED_VALUE"""),504)</f>
        <v>504</v>
      </c>
      <c r="N261" s="198">
        <f ca="1">IFERROR(__xludf.DUMMYFUNCTION("""COMPUTED_VALUE"""),0)</f>
        <v>0</v>
      </c>
      <c r="O261" s="198">
        <f ca="1">IFERROR(__xludf.DUMMYFUNCTION("""COMPUTED_VALUE"""),2289)</f>
        <v>2289</v>
      </c>
      <c r="P261" s="198">
        <f t="shared" ca="1" si="1"/>
        <v>4494</v>
      </c>
    </row>
    <row r="262" spans="1:16" ht="12.75">
      <c r="A262" s="199" t="str">
        <f ca="1">IFERROR(__xludf.DUMMYFUNCTION("""COMPUTED_VALUE"""),"Palmas")</f>
        <v>Palmas</v>
      </c>
      <c r="B262" s="199" t="str">
        <f ca="1">IFERROR(__xludf.DUMMYFUNCTION("""COMPUTED_VALUE"""),"Palmas")</f>
        <v>Palmas</v>
      </c>
      <c r="C262" s="145" t="str">
        <f ca="1">IFERROR(__xludf.DUMMYFUNCTION("""COMPUTED_VALUE"""),"A.COM. ESC. E. E.BEIRA RIO/PORTO NACIONAL")</f>
        <v>A.COM. ESC. E. E.BEIRA RIO/PORTO NACIONAL</v>
      </c>
      <c r="D262" s="200" t="str">
        <f ca="1">IFERROR(__xludf.DUMMYFUNCTION("""COMPUTED_VALUE"""),"01797298000175")</f>
        <v>01797298000175</v>
      </c>
      <c r="E262" s="201" t="str">
        <f ca="1">IFERROR(__xludf.DUMMYFUNCTION("""COMPUTED_VALUE"""),"001")</f>
        <v>001</v>
      </c>
      <c r="F262" s="201" t="str">
        <f ca="1">IFERROR(__xludf.DUMMYFUNCTION("""COMPUTED_VALUE"""),"1505")</f>
        <v>1505</v>
      </c>
      <c r="G262" s="202" t="str">
        <f ca="1">IFERROR(__xludf.DUMMYFUNCTION("""COMPUTED_VALUE"""),"209929")</f>
        <v>209929</v>
      </c>
      <c r="H262" s="202">
        <f ca="1">IFERROR(__xludf.DUMMYFUNCTION("""COMPUTED_VALUE"""),0)</f>
        <v>0</v>
      </c>
      <c r="I262" s="202">
        <f ca="1">IFERROR(__xludf.DUMMYFUNCTION("""COMPUTED_VALUE"""),0)</f>
        <v>0</v>
      </c>
      <c r="J262" s="202">
        <f ca="1">IFERROR(__xludf.DUMMYFUNCTION("""COMPUTED_VALUE"""),16086)</f>
        <v>16086</v>
      </c>
      <c r="K262" s="202">
        <f ca="1">IFERROR(__xludf.DUMMYFUNCTION("""COMPUTED_VALUE"""),0)</f>
        <v>0</v>
      </c>
      <c r="L262" s="202">
        <f ca="1">IFERROR(__xludf.DUMMYFUNCTION("""COMPUTED_VALUE"""),0)</f>
        <v>0</v>
      </c>
      <c r="M262" s="202">
        <f ca="1">IFERROR(__xludf.DUMMYFUNCTION("""COMPUTED_VALUE"""),0)</f>
        <v>0</v>
      </c>
      <c r="N262" s="202">
        <f ca="1">IFERROR(__xludf.DUMMYFUNCTION("""COMPUTED_VALUE"""),10941)</f>
        <v>10941</v>
      </c>
      <c r="O262" s="202">
        <f ca="1">IFERROR(__xludf.DUMMYFUNCTION("""COMPUTED_VALUE"""),1722)</f>
        <v>1722</v>
      </c>
      <c r="P262" s="202">
        <f t="shared" ca="1" si="1"/>
        <v>28749</v>
      </c>
    </row>
    <row r="263" spans="1:16" ht="12.75">
      <c r="A263" s="194" t="str">
        <f ca="1">IFERROR(__xludf.DUMMYFUNCTION("""COMPUTED_VALUE"""),"Palmas")</f>
        <v>Palmas</v>
      </c>
      <c r="B263" s="194" t="str">
        <f ca="1">IFERROR(__xludf.DUMMYFUNCTION("""COMPUTED_VALUE"""),"Palmas")</f>
        <v>Palmas</v>
      </c>
      <c r="C263" s="195" t="str">
        <f ca="1">IFERROR(__xludf.DUMMYFUNCTION("""COMPUTED_VALUE"""),"A.P.E M. DA ESC. EST. MADRE BELEM")</f>
        <v>A.P.E M. DA ESC. EST. MADRE BELEM</v>
      </c>
      <c r="D263" s="196" t="str">
        <f ca="1">IFERROR(__xludf.DUMMYFUNCTION("""COMPUTED_VALUE"""),"01034134000196")</f>
        <v>01034134000196</v>
      </c>
      <c r="E263" s="197" t="str">
        <f ca="1">IFERROR(__xludf.DUMMYFUNCTION("""COMPUTED_VALUE"""),"001")</f>
        <v>001</v>
      </c>
      <c r="F263" s="197" t="str">
        <f ca="1">IFERROR(__xludf.DUMMYFUNCTION("""COMPUTED_VALUE"""),"1886")</f>
        <v>1886</v>
      </c>
      <c r="G263" s="198" t="str">
        <f ca="1">IFERROR(__xludf.DUMMYFUNCTION("""COMPUTED_VALUE"""),"519855")</f>
        <v>519855</v>
      </c>
      <c r="H263" s="198">
        <f ca="1">IFERROR(__xludf.DUMMYFUNCTION("""COMPUTED_VALUE"""),0)</f>
        <v>0</v>
      </c>
      <c r="I263" s="198">
        <f ca="1">IFERROR(__xludf.DUMMYFUNCTION("""COMPUTED_VALUE"""),0)</f>
        <v>0</v>
      </c>
      <c r="J263" s="198">
        <f ca="1">IFERROR(__xludf.DUMMYFUNCTION("""COMPUTED_VALUE"""),0)</f>
        <v>0</v>
      </c>
      <c r="K263" s="198">
        <f ca="1">IFERROR(__xludf.DUMMYFUNCTION("""COMPUTED_VALUE"""),0)</f>
        <v>0</v>
      </c>
      <c r="L263" s="198">
        <f ca="1">IFERROR(__xludf.DUMMYFUNCTION("""COMPUTED_VALUE"""),0)</f>
        <v>0</v>
      </c>
      <c r="M263" s="198">
        <f ca="1">IFERROR(__xludf.DUMMYFUNCTION("""COMPUTED_VALUE"""),252)</f>
        <v>252</v>
      </c>
      <c r="N263" s="198">
        <f ca="1">IFERROR(__xludf.DUMMYFUNCTION("""COMPUTED_VALUE"""),0)</f>
        <v>0</v>
      </c>
      <c r="O263" s="198">
        <f ca="1">IFERROR(__xludf.DUMMYFUNCTION("""COMPUTED_VALUE"""),0)</f>
        <v>0</v>
      </c>
      <c r="P263" s="198">
        <f t="shared" ca="1" si="1"/>
        <v>252</v>
      </c>
    </row>
    <row r="264" spans="1:16" ht="12.75">
      <c r="A264" s="199" t="str">
        <f ca="1">IFERROR(__xludf.DUMMYFUNCTION("""COMPUTED_VALUE"""),"Palmas")</f>
        <v>Palmas</v>
      </c>
      <c r="B264" s="199" t="str">
        <f ca="1">IFERROR(__xludf.DUMMYFUNCTION("""COMPUTED_VALUE"""),"Palmas")</f>
        <v>Palmas</v>
      </c>
      <c r="C264" s="145" t="str">
        <f ca="1">IFERROR(__xludf.DUMMYFUNCTION("""COMPUTED_VALUE"""),"ACE UN.ESC. FREDEDERICO J. PEDRERA NETO")</f>
        <v>ACE UN.ESC. FREDEDERICO J. PEDRERA NETO</v>
      </c>
      <c r="D264" s="200" t="str">
        <f ca="1">IFERROR(__xludf.DUMMYFUNCTION("""COMPUTED_VALUE"""),"01862534000190")</f>
        <v>01862534000190</v>
      </c>
      <c r="E264" s="201" t="str">
        <f ca="1">IFERROR(__xludf.DUMMYFUNCTION("""COMPUTED_VALUE"""),"001")</f>
        <v>001</v>
      </c>
      <c r="F264" s="201" t="str">
        <f ca="1">IFERROR(__xludf.DUMMYFUNCTION("""COMPUTED_VALUE"""),"1867")</f>
        <v>1867</v>
      </c>
      <c r="G264" s="202" t="str">
        <f ca="1">IFERROR(__xludf.DUMMYFUNCTION("""COMPUTED_VALUE"""),"1079972")</f>
        <v>1079972</v>
      </c>
      <c r="H264" s="202">
        <f ca="1">IFERROR(__xludf.DUMMYFUNCTION("""COMPUTED_VALUE"""),0)</f>
        <v>0</v>
      </c>
      <c r="I264" s="202">
        <f ca="1">IFERROR(__xludf.DUMMYFUNCTION("""COMPUTED_VALUE"""),0)</f>
        <v>0</v>
      </c>
      <c r="J264" s="202">
        <f ca="1">IFERROR(__xludf.DUMMYFUNCTION("""COMPUTED_VALUE"""),0)</f>
        <v>0</v>
      </c>
      <c r="K264" s="202">
        <f ca="1">IFERROR(__xludf.DUMMYFUNCTION("""COMPUTED_VALUE"""),0)</f>
        <v>0</v>
      </c>
      <c r="L264" s="202">
        <f ca="1">IFERROR(__xludf.DUMMYFUNCTION("""COMPUTED_VALUE"""),0)</f>
        <v>0</v>
      </c>
      <c r="M264" s="202">
        <f ca="1">IFERROR(__xludf.DUMMYFUNCTION("""COMPUTED_VALUE"""),336)</f>
        <v>336</v>
      </c>
      <c r="N264" s="202">
        <f ca="1">IFERROR(__xludf.DUMMYFUNCTION("""COMPUTED_VALUE"""),17745)</f>
        <v>17745</v>
      </c>
      <c r="O264" s="202">
        <f ca="1">IFERROR(__xludf.DUMMYFUNCTION("""COMPUTED_VALUE"""),2709)</f>
        <v>2709</v>
      </c>
      <c r="P264" s="202">
        <f t="shared" ca="1" si="1"/>
        <v>20790</v>
      </c>
    </row>
    <row r="265" spans="1:16" ht="12.75">
      <c r="A265" s="194" t="str">
        <f ca="1">IFERROR(__xludf.DUMMYFUNCTION("""COMPUTED_VALUE"""),"Palmas")</f>
        <v>Palmas</v>
      </c>
      <c r="B265" s="194" t="str">
        <f ca="1">IFERROR(__xludf.DUMMYFUNCTION("""COMPUTED_VALUE"""),"Palmas")</f>
        <v>Palmas</v>
      </c>
      <c r="C265" s="195" t="str">
        <f ca="1">IFERROR(__xludf.DUMMYFUNCTION("""COMPUTED_VALUE"""),"A.CONS.ESCOLAR E. EST.I GRAU LIBERDADE")</f>
        <v>A.CONS.ESCOLAR E. EST.I GRAU LIBERDADE</v>
      </c>
      <c r="D265" s="196" t="str">
        <f ca="1">IFERROR(__xludf.DUMMYFUNCTION("""COMPUTED_VALUE"""),"01936355000150")</f>
        <v>01936355000150</v>
      </c>
      <c r="E265" s="197" t="str">
        <f ca="1">IFERROR(__xludf.DUMMYFUNCTION("""COMPUTED_VALUE"""),"001")</f>
        <v>001</v>
      </c>
      <c r="F265" s="197" t="str">
        <f ca="1">IFERROR(__xludf.DUMMYFUNCTION("""COMPUTED_VALUE"""),"1505")</f>
        <v>1505</v>
      </c>
      <c r="G265" s="198" t="str">
        <f ca="1">IFERROR(__xludf.DUMMYFUNCTION("""COMPUTED_VALUE"""),"257028")</f>
        <v>257028</v>
      </c>
      <c r="H265" s="198">
        <f ca="1">IFERROR(__xludf.DUMMYFUNCTION("""COMPUTED_VALUE"""),0)</f>
        <v>0</v>
      </c>
      <c r="I265" s="198">
        <f ca="1">IFERROR(__xludf.DUMMYFUNCTION("""COMPUTED_VALUE"""),0)</f>
        <v>0</v>
      </c>
      <c r="J265" s="198">
        <f ca="1">IFERROR(__xludf.DUMMYFUNCTION("""COMPUTED_VALUE"""),5166)</f>
        <v>5166</v>
      </c>
      <c r="K265" s="198">
        <f ca="1">IFERROR(__xludf.DUMMYFUNCTION("""COMPUTED_VALUE"""),0)</f>
        <v>0</v>
      </c>
      <c r="L265" s="198">
        <f ca="1">IFERROR(__xludf.DUMMYFUNCTION("""COMPUTED_VALUE"""),0)</f>
        <v>0</v>
      </c>
      <c r="M265" s="198">
        <f ca="1">IFERROR(__xludf.DUMMYFUNCTION("""COMPUTED_VALUE"""),462)</f>
        <v>462</v>
      </c>
      <c r="N265" s="198">
        <f ca="1">IFERROR(__xludf.DUMMYFUNCTION("""COMPUTED_VALUE"""),9828)</f>
        <v>9828</v>
      </c>
      <c r="O265" s="198">
        <f ca="1">IFERROR(__xludf.DUMMYFUNCTION("""COMPUTED_VALUE"""),1743)</f>
        <v>1743</v>
      </c>
      <c r="P265" s="198">
        <f t="shared" ca="1" si="1"/>
        <v>17199</v>
      </c>
    </row>
    <row r="266" spans="1:16" ht="12.75">
      <c r="A266" s="199" t="str">
        <f ca="1">IFERROR(__xludf.DUMMYFUNCTION("""COMPUTED_VALUE"""),"Palmas")</f>
        <v>Palmas</v>
      </c>
      <c r="B266" s="199" t="str">
        <f ca="1">IFERROR(__xludf.DUMMYFUNCTION("""COMPUTED_VALUE"""),"Palmas")</f>
        <v>Palmas</v>
      </c>
      <c r="C266" s="145" t="str">
        <f ca="1">IFERROR(__xludf.DUMMYFUNCTION("""COMPUTED_VALUE"""),"ASSOC APOIO ESC EST MARIA DOS REIS ALVES BARROS")</f>
        <v>ASSOC APOIO ESC EST MARIA DOS REIS ALVES BARROS</v>
      </c>
      <c r="D266" s="200" t="str">
        <f ca="1">IFERROR(__xludf.DUMMYFUNCTION("""COMPUTED_VALUE"""),"08641263000191")</f>
        <v>08641263000191</v>
      </c>
      <c r="E266" s="201" t="str">
        <f ca="1">IFERROR(__xludf.DUMMYFUNCTION("""COMPUTED_VALUE"""),"001")</f>
        <v>001</v>
      </c>
      <c r="F266" s="201" t="str">
        <f ca="1">IFERROR(__xludf.DUMMYFUNCTION("""COMPUTED_VALUE"""),"1505")</f>
        <v>1505</v>
      </c>
      <c r="G266" s="202" t="str">
        <f ca="1">IFERROR(__xludf.DUMMYFUNCTION("""COMPUTED_VALUE"""),"413666")</f>
        <v>413666</v>
      </c>
      <c r="H266" s="202">
        <f ca="1">IFERROR(__xludf.DUMMYFUNCTION("""COMPUTED_VALUE"""),0)</f>
        <v>0</v>
      </c>
      <c r="I266" s="202">
        <f ca="1">IFERROR(__xludf.DUMMYFUNCTION("""COMPUTED_VALUE"""),0)</f>
        <v>0</v>
      </c>
      <c r="J266" s="202">
        <f ca="1">IFERROR(__xludf.DUMMYFUNCTION("""COMPUTED_VALUE"""),21987)</f>
        <v>21987</v>
      </c>
      <c r="K266" s="202">
        <f ca="1">IFERROR(__xludf.DUMMYFUNCTION("""COMPUTED_VALUE"""),0)</f>
        <v>0</v>
      </c>
      <c r="L266" s="202">
        <f ca="1">IFERROR(__xludf.DUMMYFUNCTION("""COMPUTED_VALUE"""),0)</f>
        <v>0</v>
      </c>
      <c r="M266" s="202">
        <f ca="1">IFERROR(__xludf.DUMMYFUNCTION("""COMPUTED_VALUE"""),1281)</f>
        <v>1281</v>
      </c>
      <c r="N266" s="202">
        <f ca="1">IFERROR(__xludf.DUMMYFUNCTION("""COMPUTED_VALUE"""),12726)</f>
        <v>12726</v>
      </c>
      <c r="O266" s="202">
        <f ca="1">IFERROR(__xludf.DUMMYFUNCTION("""COMPUTED_VALUE"""),3318)</f>
        <v>3318</v>
      </c>
      <c r="P266" s="202">
        <f t="shared" ca="1" si="1"/>
        <v>39312</v>
      </c>
    </row>
    <row r="267" spans="1:16" ht="12.75">
      <c r="A267" s="194" t="str">
        <f ca="1">IFERROR(__xludf.DUMMYFUNCTION("""COMPUTED_VALUE"""),"Palmas")</f>
        <v>Palmas</v>
      </c>
      <c r="B267" s="194" t="str">
        <f ca="1">IFERROR(__xludf.DUMMYFUNCTION("""COMPUTED_VALUE"""),"Palmas")</f>
        <v>Palmas</v>
      </c>
      <c r="C267" s="195" t="str">
        <f ca="1">IFERROR(__xludf.DUMMYFUNCTION("""COMPUTED_VALUE"""),"A.COM. DA ESC. EST. NOVO HORIZONTE")</f>
        <v>A.COM. DA ESC. EST. NOVO HORIZONTE</v>
      </c>
      <c r="D267" s="196" t="str">
        <f ca="1">IFERROR(__xludf.DUMMYFUNCTION("""COMPUTED_VALUE"""),"01221539000133")</f>
        <v>01221539000133</v>
      </c>
      <c r="E267" s="197" t="str">
        <f ca="1">IFERROR(__xludf.DUMMYFUNCTION("""COMPUTED_VALUE"""),"001")</f>
        <v>001</v>
      </c>
      <c r="F267" s="197" t="str">
        <f ca="1">IFERROR(__xludf.DUMMYFUNCTION("""COMPUTED_VALUE"""),"1505")</f>
        <v>1505</v>
      </c>
      <c r="G267" s="198" t="str">
        <f ca="1">IFERROR(__xludf.DUMMYFUNCTION("""COMPUTED_VALUE"""),"351687")</f>
        <v>351687</v>
      </c>
      <c r="H267" s="198">
        <f ca="1">IFERROR(__xludf.DUMMYFUNCTION("""COMPUTED_VALUE"""),0)</f>
        <v>0</v>
      </c>
      <c r="I267" s="198">
        <f ca="1">IFERROR(__xludf.DUMMYFUNCTION("""COMPUTED_VALUE"""),0)</f>
        <v>0</v>
      </c>
      <c r="J267" s="198">
        <f ca="1">IFERROR(__xludf.DUMMYFUNCTION("""COMPUTED_VALUE"""),6951)</f>
        <v>6951</v>
      </c>
      <c r="K267" s="198">
        <f ca="1">IFERROR(__xludf.DUMMYFUNCTION("""COMPUTED_VALUE"""),0)</f>
        <v>0</v>
      </c>
      <c r="L267" s="198">
        <f ca="1">IFERROR(__xludf.DUMMYFUNCTION("""COMPUTED_VALUE"""),0)</f>
        <v>0</v>
      </c>
      <c r="M267" s="198">
        <f ca="1">IFERROR(__xludf.DUMMYFUNCTION("""COMPUTED_VALUE"""),693)</f>
        <v>693</v>
      </c>
      <c r="N267" s="198">
        <f ca="1">IFERROR(__xludf.DUMMYFUNCTION("""COMPUTED_VALUE"""),8988)</f>
        <v>8988</v>
      </c>
      <c r="O267" s="198">
        <f ca="1">IFERROR(__xludf.DUMMYFUNCTION("""COMPUTED_VALUE"""),840)</f>
        <v>840</v>
      </c>
      <c r="P267" s="198">
        <f t="shared" ca="1" si="1"/>
        <v>17472</v>
      </c>
    </row>
    <row r="268" spans="1:16" ht="12.75">
      <c r="A268" s="199" t="str">
        <f ca="1">IFERROR(__xludf.DUMMYFUNCTION("""COMPUTED_VALUE"""),"Palmas")</f>
        <v>Palmas</v>
      </c>
      <c r="B268" s="199" t="str">
        <f ca="1">IFERROR(__xludf.DUMMYFUNCTION("""COMPUTED_VALUE"""),"Palmas")</f>
        <v>Palmas</v>
      </c>
      <c r="C268" s="145" t="str">
        <f ca="1">IFERROR(__xludf.DUMMYFUNCTION("""COMPUTED_VALUE"""),"A.COMUN.ESCOLA-DA ESC. EST. SETOR SUL")</f>
        <v>A.COMUN.ESCOLA-DA ESC. EST. SETOR SUL</v>
      </c>
      <c r="D268" s="200" t="str">
        <f ca="1">IFERROR(__xludf.DUMMYFUNCTION("""COMPUTED_VALUE"""),"01926545000196")</f>
        <v>01926545000196</v>
      </c>
      <c r="E268" s="201" t="str">
        <f ca="1">IFERROR(__xludf.DUMMYFUNCTION("""COMPUTED_VALUE"""),"001")</f>
        <v>001</v>
      </c>
      <c r="F268" s="201" t="str">
        <f ca="1">IFERROR(__xludf.DUMMYFUNCTION("""COMPUTED_VALUE"""),"1505")</f>
        <v>1505</v>
      </c>
      <c r="G268" s="202" t="str">
        <f ca="1">IFERROR(__xludf.DUMMYFUNCTION("""COMPUTED_VALUE"""),"258105")</f>
        <v>258105</v>
      </c>
      <c r="H268" s="202">
        <f ca="1">IFERROR(__xludf.DUMMYFUNCTION("""COMPUTED_VALUE"""),0)</f>
        <v>0</v>
      </c>
      <c r="I268" s="202">
        <f ca="1">IFERROR(__xludf.DUMMYFUNCTION("""COMPUTED_VALUE"""),0)</f>
        <v>0</v>
      </c>
      <c r="J268" s="202">
        <f ca="1">IFERROR(__xludf.DUMMYFUNCTION("""COMPUTED_VALUE"""),5355)</f>
        <v>5355</v>
      </c>
      <c r="K268" s="202">
        <f ca="1">IFERROR(__xludf.DUMMYFUNCTION("""COMPUTED_VALUE"""),0)</f>
        <v>0</v>
      </c>
      <c r="L268" s="202">
        <f ca="1">IFERROR(__xludf.DUMMYFUNCTION("""COMPUTED_VALUE"""),0)</f>
        <v>0</v>
      </c>
      <c r="M268" s="202">
        <f ca="1">IFERROR(__xludf.DUMMYFUNCTION("""COMPUTED_VALUE"""),252)</f>
        <v>252</v>
      </c>
      <c r="N268" s="202">
        <f ca="1">IFERROR(__xludf.DUMMYFUNCTION("""COMPUTED_VALUE"""),7182)</f>
        <v>7182</v>
      </c>
      <c r="O268" s="202">
        <f ca="1">IFERROR(__xludf.DUMMYFUNCTION("""COMPUTED_VALUE"""),189)</f>
        <v>189</v>
      </c>
      <c r="P268" s="202">
        <f t="shared" ca="1" si="1"/>
        <v>12978</v>
      </c>
    </row>
    <row r="269" spans="1:16" ht="12.75">
      <c r="A269" s="194" t="str">
        <f ca="1">IFERROR(__xludf.DUMMYFUNCTION("""COMPUTED_VALUE"""),"Palmas")</f>
        <v>Palmas</v>
      </c>
      <c r="B269" s="194" t="str">
        <f ca="1">IFERROR(__xludf.DUMMYFUNCTION("""COMPUTED_VALUE"""),"Palmas")</f>
        <v>Palmas</v>
      </c>
      <c r="C269" s="195" t="str">
        <f ca="1">IFERROR(__xludf.DUMMYFUNCTION("""COMPUTED_VALUE"""),"A.COMUNIDADE ESCOLA/E. EST. VALE DO SOL")</f>
        <v>A.COMUNIDADE ESCOLA/E. EST. VALE DO SOL</v>
      </c>
      <c r="D269" s="196" t="str">
        <f ca="1">IFERROR(__xludf.DUMMYFUNCTION("""COMPUTED_VALUE"""),"01873442000105")</f>
        <v>01873442000105</v>
      </c>
      <c r="E269" s="197" t="str">
        <f ca="1">IFERROR(__xludf.DUMMYFUNCTION("""COMPUTED_VALUE"""),"001")</f>
        <v>001</v>
      </c>
      <c r="F269" s="197" t="str">
        <f ca="1">IFERROR(__xludf.DUMMYFUNCTION("""COMPUTED_VALUE"""),"1505")</f>
        <v>1505</v>
      </c>
      <c r="G269" s="198" t="str">
        <f ca="1">IFERROR(__xludf.DUMMYFUNCTION("""COMPUTED_VALUE"""),"256404")</f>
        <v>256404</v>
      </c>
      <c r="H269" s="198">
        <f ca="1">IFERROR(__xludf.DUMMYFUNCTION("""COMPUTED_VALUE"""),0)</f>
        <v>0</v>
      </c>
      <c r="I269" s="198">
        <f ca="1">IFERROR(__xludf.DUMMYFUNCTION("""COMPUTED_VALUE"""),0)</f>
        <v>0</v>
      </c>
      <c r="J269" s="198">
        <f ca="1">IFERROR(__xludf.DUMMYFUNCTION("""COMPUTED_VALUE"""),3108)</f>
        <v>3108</v>
      </c>
      <c r="K269" s="198">
        <f ca="1">IFERROR(__xludf.DUMMYFUNCTION("""COMPUTED_VALUE"""),0)</f>
        <v>0</v>
      </c>
      <c r="L269" s="198">
        <f ca="1">IFERROR(__xludf.DUMMYFUNCTION("""COMPUTED_VALUE"""),0)</f>
        <v>0</v>
      </c>
      <c r="M269" s="198">
        <f ca="1">IFERROR(__xludf.DUMMYFUNCTION("""COMPUTED_VALUE"""),210)</f>
        <v>210</v>
      </c>
      <c r="N269" s="198">
        <f ca="1">IFERROR(__xludf.DUMMYFUNCTION("""COMPUTED_VALUE"""),7623)</f>
        <v>7623</v>
      </c>
      <c r="O269" s="198">
        <f ca="1">IFERROR(__xludf.DUMMYFUNCTION("""COMPUTED_VALUE"""),0)</f>
        <v>0</v>
      </c>
      <c r="P269" s="198">
        <f t="shared" ca="1" si="1"/>
        <v>10941</v>
      </c>
    </row>
    <row r="270" spans="1:16" ht="12.75">
      <c r="A270" s="199" t="str">
        <f ca="1">IFERROR(__xludf.DUMMYFUNCTION("""COMPUTED_VALUE"""),"Palmas")</f>
        <v>Palmas</v>
      </c>
      <c r="B270" s="199" t="str">
        <f ca="1">IFERROR(__xludf.DUMMYFUNCTION("""COMPUTED_VALUE"""),"Palmas")</f>
        <v>Palmas</v>
      </c>
      <c r="C270" s="145" t="str">
        <f ca="1">IFERROR(__xludf.DUMMYFUNCTION("""COMPUTED_VALUE"""),"A.P.M.DA ESC. EST. DE I GRAU VILA UNIAO")</f>
        <v>A.P.M.DA ESC. EST. DE I GRAU VILA UNIAO</v>
      </c>
      <c r="D270" s="200" t="str">
        <f ca="1">IFERROR(__xludf.DUMMYFUNCTION("""COMPUTED_VALUE"""),"01926551000143")</f>
        <v>01926551000143</v>
      </c>
      <c r="E270" s="201" t="str">
        <f ca="1">IFERROR(__xludf.DUMMYFUNCTION("""COMPUTED_VALUE"""),"001")</f>
        <v>001</v>
      </c>
      <c r="F270" s="201" t="str">
        <f ca="1">IFERROR(__xludf.DUMMYFUNCTION("""COMPUTED_VALUE"""),"1505")</f>
        <v>1505</v>
      </c>
      <c r="G270" s="202" t="str">
        <f ca="1">IFERROR(__xludf.DUMMYFUNCTION("""COMPUTED_VALUE"""),"255734")</f>
        <v>255734</v>
      </c>
      <c r="H270" s="202">
        <f ca="1">IFERROR(__xludf.DUMMYFUNCTION("""COMPUTED_VALUE"""),0)</f>
        <v>0</v>
      </c>
      <c r="I270" s="202">
        <f ca="1">IFERROR(__xludf.DUMMYFUNCTION("""COMPUTED_VALUE"""),0)</f>
        <v>0</v>
      </c>
      <c r="J270" s="202">
        <f ca="1">IFERROR(__xludf.DUMMYFUNCTION("""COMPUTED_VALUE"""),6447)</f>
        <v>6447</v>
      </c>
      <c r="K270" s="202">
        <f ca="1">IFERROR(__xludf.DUMMYFUNCTION("""COMPUTED_VALUE"""),0)</f>
        <v>0</v>
      </c>
      <c r="L270" s="202">
        <f ca="1">IFERROR(__xludf.DUMMYFUNCTION("""COMPUTED_VALUE"""),0)</f>
        <v>0</v>
      </c>
      <c r="M270" s="202">
        <f ca="1">IFERROR(__xludf.DUMMYFUNCTION("""COMPUTED_VALUE"""),315)</f>
        <v>315</v>
      </c>
      <c r="N270" s="202">
        <f ca="1">IFERROR(__xludf.DUMMYFUNCTION("""COMPUTED_VALUE"""),3213)</f>
        <v>3213</v>
      </c>
      <c r="O270" s="202">
        <f ca="1">IFERROR(__xludf.DUMMYFUNCTION("""COMPUTED_VALUE"""),0)</f>
        <v>0</v>
      </c>
      <c r="P270" s="202">
        <f t="shared" ca="1" si="1"/>
        <v>9975</v>
      </c>
    </row>
    <row r="271" spans="1:16" ht="12.75">
      <c r="A271" s="194" t="str">
        <f ca="1">IFERROR(__xludf.DUMMYFUNCTION("""COMPUTED_VALUE"""),"Palmas")</f>
        <v>Palmas</v>
      </c>
      <c r="B271" s="194" t="str">
        <f ca="1">IFERROR(__xludf.DUMMYFUNCTION("""COMPUTED_VALUE"""),"Palmas")</f>
        <v>Palmas</v>
      </c>
      <c r="C271" s="195" t="str">
        <f ca="1">IFERROR(__xludf.DUMMYFUNCTION("""COMPUTED_VALUE"""),"AÇÃO SOCIAL JESUS DE NAZARÉ/ESC JOÃO PAULO II")</f>
        <v>AÇÃO SOCIAL JESUS DE NAZARÉ/ESC JOÃO PAULO II</v>
      </c>
      <c r="D271" s="196" t="str">
        <f ca="1">IFERROR(__xludf.DUMMYFUNCTION("""COMPUTED_VALUE"""),"03005522000174")</f>
        <v>03005522000174</v>
      </c>
      <c r="E271" s="197" t="str">
        <f ca="1">IFERROR(__xludf.DUMMYFUNCTION("""COMPUTED_VALUE"""),"001")</f>
        <v>001</v>
      </c>
      <c r="F271" s="197" t="str">
        <f ca="1">IFERROR(__xludf.DUMMYFUNCTION("""COMPUTED_VALUE"""),"1505")</f>
        <v>1505</v>
      </c>
      <c r="G271" s="198" t="str">
        <f ca="1">IFERROR(__xludf.DUMMYFUNCTION("""COMPUTED_VALUE"""),"423475")</f>
        <v>423475</v>
      </c>
      <c r="H271" s="198">
        <f ca="1">IFERROR(__xludf.DUMMYFUNCTION("""COMPUTED_VALUE"""),0)</f>
        <v>0</v>
      </c>
      <c r="I271" s="198">
        <f ca="1">IFERROR(__xludf.DUMMYFUNCTION("""COMPUTED_VALUE"""),0)</f>
        <v>0</v>
      </c>
      <c r="J271" s="198">
        <f ca="1">IFERROR(__xludf.DUMMYFUNCTION("""COMPUTED_VALUE"""),2415)</f>
        <v>2415</v>
      </c>
      <c r="K271" s="198">
        <f ca="1">IFERROR(__xludf.DUMMYFUNCTION("""COMPUTED_VALUE"""),0)</f>
        <v>0</v>
      </c>
      <c r="L271" s="198">
        <f ca="1">IFERROR(__xludf.DUMMYFUNCTION("""COMPUTED_VALUE"""),0)</f>
        <v>0</v>
      </c>
      <c r="M271" s="198">
        <f ca="1">IFERROR(__xludf.DUMMYFUNCTION("""COMPUTED_VALUE"""),0)</f>
        <v>0</v>
      </c>
      <c r="N271" s="198">
        <f ca="1">IFERROR(__xludf.DUMMYFUNCTION("""COMPUTED_VALUE"""),0)</f>
        <v>0</v>
      </c>
      <c r="O271" s="198">
        <f ca="1">IFERROR(__xludf.DUMMYFUNCTION("""COMPUTED_VALUE"""),0)</f>
        <v>0</v>
      </c>
      <c r="P271" s="198">
        <f t="shared" ca="1" si="1"/>
        <v>2415</v>
      </c>
    </row>
    <row r="272" spans="1:16" ht="12.75">
      <c r="A272" s="199" t="str">
        <f ca="1">IFERROR(__xludf.DUMMYFUNCTION("""COMPUTED_VALUE"""),"Palmas")</f>
        <v>Palmas</v>
      </c>
      <c r="B272" s="199" t="str">
        <f ca="1">IFERROR(__xludf.DUMMYFUNCTION("""COMPUTED_VALUE"""),"Palmas")</f>
        <v>Palmas</v>
      </c>
      <c r="C272" s="145" t="str">
        <f ca="1">IFERROR(__xludf.DUMMYFUNCTION("""COMPUTED_VALUE"""),"A.A. DO INST.PRESB.EDUC.SOC.REV.ROBERT CA")</f>
        <v>A.A. DO INST.PRESB.EDUC.SOC.REV.ROBERT CA</v>
      </c>
      <c r="D272" s="200" t="str">
        <f ca="1">IFERROR(__xludf.DUMMYFUNCTION("""COMPUTED_VALUE"""),"05470057000178")</f>
        <v>05470057000178</v>
      </c>
      <c r="E272" s="201" t="str">
        <f ca="1">IFERROR(__xludf.DUMMYFUNCTION("""COMPUTED_VALUE"""),"001")</f>
        <v>001</v>
      </c>
      <c r="F272" s="201" t="str">
        <f ca="1">IFERROR(__xludf.DUMMYFUNCTION("""COMPUTED_VALUE"""),"1505")</f>
        <v>1505</v>
      </c>
      <c r="G272" s="202" t="str">
        <f ca="1">IFERROR(__xludf.DUMMYFUNCTION("""COMPUTED_VALUE"""),"45110X")</f>
        <v>45110X</v>
      </c>
      <c r="H272" s="202">
        <f ca="1">IFERROR(__xludf.DUMMYFUNCTION("""COMPUTED_VALUE"""),0)</f>
        <v>0</v>
      </c>
      <c r="I272" s="202">
        <f ca="1">IFERROR(__xludf.DUMMYFUNCTION("""COMPUTED_VALUE"""),0)</f>
        <v>0</v>
      </c>
      <c r="J272" s="202">
        <f ca="1">IFERROR(__xludf.DUMMYFUNCTION("""COMPUTED_VALUE"""),9534)</f>
        <v>9534</v>
      </c>
      <c r="K272" s="202">
        <f ca="1">IFERROR(__xludf.DUMMYFUNCTION("""COMPUTED_VALUE"""),0)</f>
        <v>0</v>
      </c>
      <c r="L272" s="202">
        <f ca="1">IFERROR(__xludf.DUMMYFUNCTION("""COMPUTED_VALUE"""),0)</f>
        <v>0</v>
      </c>
      <c r="M272" s="202">
        <f ca="1">IFERROR(__xludf.DUMMYFUNCTION("""COMPUTED_VALUE"""),0)</f>
        <v>0</v>
      </c>
      <c r="N272" s="202">
        <f ca="1">IFERROR(__xludf.DUMMYFUNCTION("""COMPUTED_VALUE"""),0)</f>
        <v>0</v>
      </c>
      <c r="O272" s="202">
        <f ca="1">IFERROR(__xludf.DUMMYFUNCTION("""COMPUTED_VALUE"""),0)</f>
        <v>0</v>
      </c>
      <c r="P272" s="202">
        <f t="shared" ca="1" si="1"/>
        <v>9534</v>
      </c>
    </row>
    <row r="273" spans="1:16" ht="12.75">
      <c r="A273" s="194" t="str">
        <f ca="1">IFERROR(__xludf.DUMMYFUNCTION("""COMPUTED_VALUE"""),"Palmas")</f>
        <v>Palmas</v>
      </c>
      <c r="B273" s="194" t="str">
        <f ca="1">IFERROR(__xludf.DUMMYFUNCTION("""COMPUTED_VALUE"""),"Rio Sono")</f>
        <v>Rio Sono</v>
      </c>
      <c r="C273" s="195" t="str">
        <f ca="1">IFERROR(__xludf.DUMMYFUNCTION("""COMPUTED_VALUE"""),"A. DE PAIS E MESTRES DO COL. EST.RIO SONO")</f>
        <v>A. DE PAIS E MESTRES DO COL. EST.RIO SONO</v>
      </c>
      <c r="D273" s="196" t="str">
        <f ca="1">IFERROR(__xludf.DUMMYFUNCTION("""COMPUTED_VALUE"""),"01184376000166")</f>
        <v>01184376000166</v>
      </c>
      <c r="E273" s="197" t="str">
        <f ca="1">IFERROR(__xludf.DUMMYFUNCTION("""COMPUTED_VALUE"""),"001")</f>
        <v>001</v>
      </c>
      <c r="F273" s="197" t="str">
        <f ca="1">IFERROR(__xludf.DUMMYFUNCTION("""COMPUTED_VALUE"""),"1505")</f>
        <v>1505</v>
      </c>
      <c r="G273" s="198" t="str">
        <f ca="1">IFERROR(__xludf.DUMMYFUNCTION("""COMPUTED_VALUE"""),"530042")</f>
        <v>530042</v>
      </c>
      <c r="H273" s="198">
        <f ca="1">IFERROR(__xludf.DUMMYFUNCTION("""COMPUTED_VALUE"""),0)</f>
        <v>0</v>
      </c>
      <c r="I273" s="198">
        <f ca="1">IFERROR(__xludf.DUMMYFUNCTION("""COMPUTED_VALUE"""),0)</f>
        <v>0</v>
      </c>
      <c r="J273" s="198">
        <f ca="1">IFERROR(__xludf.DUMMYFUNCTION("""COMPUTED_VALUE"""),3717)</f>
        <v>3717</v>
      </c>
      <c r="K273" s="198">
        <f ca="1">IFERROR(__xludf.DUMMYFUNCTION("""COMPUTED_VALUE"""),0)</f>
        <v>0</v>
      </c>
      <c r="L273" s="198">
        <f ca="1">IFERROR(__xludf.DUMMYFUNCTION("""COMPUTED_VALUE"""),0)</f>
        <v>0</v>
      </c>
      <c r="M273" s="198">
        <f ca="1">IFERROR(__xludf.DUMMYFUNCTION("""COMPUTED_VALUE"""),1218)</f>
        <v>1218</v>
      </c>
      <c r="N273" s="198">
        <f ca="1">IFERROR(__xludf.DUMMYFUNCTION("""COMPUTED_VALUE"""),4032)</f>
        <v>4032</v>
      </c>
      <c r="O273" s="198">
        <f ca="1">IFERROR(__xludf.DUMMYFUNCTION("""COMPUTED_VALUE"""),0)</f>
        <v>0</v>
      </c>
      <c r="P273" s="198">
        <f t="shared" ca="1" si="1"/>
        <v>8967</v>
      </c>
    </row>
    <row r="274" spans="1:16" ht="12.75">
      <c r="A274" s="199" t="str">
        <f ca="1">IFERROR(__xludf.DUMMYFUNCTION("""COMPUTED_VALUE"""),"Palmas")</f>
        <v>Palmas</v>
      </c>
      <c r="B274" s="199" t="str">
        <f ca="1">IFERROR(__xludf.DUMMYFUNCTION("""COMPUTED_VALUE"""),"Rio Sono")</f>
        <v>Rio Sono</v>
      </c>
      <c r="C274" s="145" t="str">
        <f ca="1">IFERROR(__xludf.DUMMYFUNCTION("""COMPUTED_VALUE"""),"A.A.  ESCOLA EST. IMACULADA CONCEICAO")</f>
        <v>A.A.  ESCOLA EST. IMACULADA CONCEICAO</v>
      </c>
      <c r="D274" s="200" t="str">
        <f ca="1">IFERROR(__xludf.DUMMYFUNCTION("""COMPUTED_VALUE"""),"01197175000101")</f>
        <v>01197175000101</v>
      </c>
      <c r="E274" s="201" t="str">
        <f ca="1">IFERROR(__xludf.DUMMYFUNCTION("""COMPUTED_VALUE"""),"001")</f>
        <v>001</v>
      </c>
      <c r="F274" s="201" t="str">
        <f ca="1">IFERROR(__xludf.DUMMYFUNCTION("""COMPUTED_VALUE"""),"0862")</f>
        <v>0862</v>
      </c>
      <c r="G274" s="202" t="str">
        <f ca="1">IFERROR(__xludf.DUMMYFUNCTION("""COMPUTED_VALUE"""),"161497")</f>
        <v>161497</v>
      </c>
      <c r="H274" s="202">
        <f ca="1">IFERROR(__xludf.DUMMYFUNCTION("""COMPUTED_VALUE"""),0)</f>
        <v>0</v>
      </c>
      <c r="I274" s="202">
        <f ca="1">IFERROR(__xludf.DUMMYFUNCTION("""COMPUTED_VALUE"""),0)</f>
        <v>0</v>
      </c>
      <c r="J274" s="202">
        <f ca="1">IFERROR(__xludf.DUMMYFUNCTION("""COMPUTED_VALUE"""),1260)</f>
        <v>1260</v>
      </c>
      <c r="K274" s="202">
        <f ca="1">IFERROR(__xludf.DUMMYFUNCTION("""COMPUTED_VALUE"""),0)</f>
        <v>0</v>
      </c>
      <c r="L274" s="202">
        <f ca="1">IFERROR(__xludf.DUMMYFUNCTION("""COMPUTED_VALUE"""),0)</f>
        <v>0</v>
      </c>
      <c r="M274" s="202">
        <f ca="1">IFERROR(__xludf.DUMMYFUNCTION("""COMPUTED_VALUE"""),0)</f>
        <v>0</v>
      </c>
      <c r="N274" s="202">
        <f ca="1">IFERROR(__xludf.DUMMYFUNCTION("""COMPUTED_VALUE"""),1113)</f>
        <v>1113</v>
      </c>
      <c r="O274" s="202">
        <f ca="1">IFERROR(__xludf.DUMMYFUNCTION("""COMPUTED_VALUE"""),0)</f>
        <v>0</v>
      </c>
      <c r="P274" s="202">
        <f t="shared" ca="1" si="1"/>
        <v>2373</v>
      </c>
    </row>
    <row r="275" spans="1:16" ht="12.75">
      <c r="A275" s="194" t="str">
        <f ca="1">IFERROR(__xludf.DUMMYFUNCTION("""COMPUTED_VALUE"""),"Palmas")</f>
        <v>Palmas</v>
      </c>
      <c r="B275" s="194" t="str">
        <f ca="1">IFERROR(__xludf.DUMMYFUNCTION("""COMPUTED_VALUE"""),"Santa Tereza do Tocantins")</f>
        <v>Santa Tereza do Tocantins</v>
      </c>
      <c r="C275" s="195" t="str">
        <f ca="1">IFERROR(__xludf.DUMMYFUNCTION("""COMPUTED_VALUE"""),"A.A. C.EST. MANOEL S.DOURADO")</f>
        <v>A.A. C.EST. MANOEL S.DOURADO</v>
      </c>
      <c r="D275" s="196" t="str">
        <f ca="1">IFERROR(__xludf.DUMMYFUNCTION("""COMPUTED_VALUE"""),"01136013000155")</f>
        <v>01136013000155</v>
      </c>
      <c r="E275" s="197" t="str">
        <f ca="1">IFERROR(__xludf.DUMMYFUNCTION("""COMPUTED_VALUE"""),"001")</f>
        <v>001</v>
      </c>
      <c r="F275" s="197" t="str">
        <f ca="1">IFERROR(__xludf.DUMMYFUNCTION("""COMPUTED_VALUE"""),"1117")</f>
        <v>1117</v>
      </c>
      <c r="G275" s="198" t="str">
        <f ca="1">IFERROR(__xludf.DUMMYFUNCTION("""COMPUTED_VALUE"""),"313033")</f>
        <v>313033</v>
      </c>
      <c r="H275" s="198">
        <f ca="1">IFERROR(__xludf.DUMMYFUNCTION("""COMPUTED_VALUE"""),0)</f>
        <v>0</v>
      </c>
      <c r="I275" s="198">
        <f ca="1">IFERROR(__xludf.DUMMYFUNCTION("""COMPUTED_VALUE"""),0)</f>
        <v>0</v>
      </c>
      <c r="J275" s="198">
        <f ca="1">IFERROR(__xludf.DUMMYFUNCTION("""COMPUTED_VALUE"""),2205)</f>
        <v>2205</v>
      </c>
      <c r="K275" s="198">
        <f ca="1">IFERROR(__xludf.DUMMYFUNCTION("""COMPUTED_VALUE"""),0)</f>
        <v>0</v>
      </c>
      <c r="L275" s="198">
        <f ca="1">IFERROR(__xludf.DUMMYFUNCTION("""COMPUTED_VALUE"""),0)</f>
        <v>0</v>
      </c>
      <c r="M275" s="198">
        <f ca="1">IFERROR(__xludf.DUMMYFUNCTION("""COMPUTED_VALUE"""),0)</f>
        <v>0</v>
      </c>
      <c r="N275" s="198">
        <f ca="1">IFERROR(__xludf.DUMMYFUNCTION("""COMPUTED_VALUE"""),3045)</f>
        <v>3045</v>
      </c>
      <c r="O275" s="198">
        <f ca="1">IFERROR(__xludf.DUMMYFUNCTION("""COMPUTED_VALUE"""),0)</f>
        <v>0</v>
      </c>
      <c r="P275" s="198">
        <f t="shared" ca="1" si="1"/>
        <v>5250</v>
      </c>
    </row>
    <row r="276" spans="1:16" ht="12.75">
      <c r="A276" s="199" t="str">
        <f ca="1">IFERROR(__xludf.DUMMYFUNCTION("""COMPUTED_VALUE"""),"Palmas")</f>
        <v>Palmas</v>
      </c>
      <c r="B276" s="199" t="str">
        <f ca="1">IFERROR(__xludf.DUMMYFUNCTION("""COMPUTED_VALUE"""),"Sao Felix do Tocantins")</f>
        <v>Sao Felix do Tocantins</v>
      </c>
      <c r="C276" s="145" t="str">
        <f ca="1">IFERROR(__xludf.DUMMYFUNCTION("""COMPUTED_VALUE"""),"A. DE AP.ESC. EST. SAGRADO CORACAO DE JESUS")</f>
        <v>A. DE AP.ESC. EST. SAGRADO CORACAO DE JESUS</v>
      </c>
      <c r="D276" s="200" t="str">
        <f ca="1">IFERROR(__xludf.DUMMYFUNCTION("""COMPUTED_VALUE"""),"01656550000126")</f>
        <v>01656550000126</v>
      </c>
      <c r="E276" s="201" t="str">
        <f ca="1">IFERROR(__xludf.DUMMYFUNCTION("""COMPUTED_VALUE"""),"001")</f>
        <v>001</v>
      </c>
      <c r="F276" s="201" t="str">
        <f ca="1">IFERROR(__xludf.DUMMYFUNCTION("""COMPUTED_VALUE"""),"3962")</f>
        <v>3962</v>
      </c>
      <c r="G276" s="202" t="str">
        <f ca="1">IFERROR(__xludf.DUMMYFUNCTION("""COMPUTED_VALUE"""),"147605")</f>
        <v>147605</v>
      </c>
      <c r="H276" s="202">
        <f ca="1">IFERROR(__xludf.DUMMYFUNCTION("""COMPUTED_VALUE"""),0)</f>
        <v>0</v>
      </c>
      <c r="I276" s="202">
        <f ca="1">IFERROR(__xludf.DUMMYFUNCTION("""COMPUTED_VALUE"""),0)</f>
        <v>0</v>
      </c>
      <c r="J276" s="202">
        <f ca="1">IFERROR(__xludf.DUMMYFUNCTION("""COMPUTED_VALUE"""),4473)</f>
        <v>4473</v>
      </c>
      <c r="K276" s="202">
        <f ca="1">IFERROR(__xludf.DUMMYFUNCTION("""COMPUTED_VALUE"""),0)</f>
        <v>0</v>
      </c>
      <c r="L276" s="202">
        <f ca="1">IFERROR(__xludf.DUMMYFUNCTION("""COMPUTED_VALUE"""),0)</f>
        <v>0</v>
      </c>
      <c r="M276" s="202">
        <f ca="1">IFERROR(__xludf.DUMMYFUNCTION("""COMPUTED_VALUE"""),0)</f>
        <v>0</v>
      </c>
      <c r="N276" s="202">
        <f ca="1">IFERROR(__xludf.DUMMYFUNCTION("""COMPUTED_VALUE"""),2457)</f>
        <v>2457</v>
      </c>
      <c r="O276" s="202">
        <f ca="1">IFERROR(__xludf.DUMMYFUNCTION("""COMPUTED_VALUE"""),0)</f>
        <v>0</v>
      </c>
      <c r="P276" s="202">
        <f t="shared" ca="1" si="1"/>
        <v>6930</v>
      </c>
    </row>
    <row r="277" spans="1:16" ht="12.75">
      <c r="A277" s="194" t="str">
        <f ca="1">IFERROR(__xludf.DUMMYFUNCTION("""COMPUTED_VALUE"""),"Paraíso")</f>
        <v>Paraíso</v>
      </c>
      <c r="B277" s="194" t="str">
        <f ca="1">IFERROR(__xludf.DUMMYFUNCTION("""COMPUTED_VALUE"""),"Abreulandia")</f>
        <v>Abreulandia</v>
      </c>
      <c r="C277" s="195" t="str">
        <f ca="1">IFERROR(__xludf.DUMMYFUNCTION("""COMPUTED_VALUE"""),"ASS. DE APOIO DA ESCOLA EST. SAO PEDRO")</f>
        <v>ASS. DE APOIO DA ESCOLA EST. SAO PEDRO</v>
      </c>
      <c r="D277" s="196" t="str">
        <f ca="1">IFERROR(__xludf.DUMMYFUNCTION("""COMPUTED_VALUE"""),"01071408000117")</f>
        <v>01071408000117</v>
      </c>
      <c r="E277" s="197" t="str">
        <f ca="1">IFERROR(__xludf.DUMMYFUNCTION("""COMPUTED_VALUE"""),"001")</f>
        <v>001</v>
      </c>
      <c r="F277" s="197" t="str">
        <f ca="1">IFERROR(__xludf.DUMMYFUNCTION("""COMPUTED_VALUE"""),"0804")</f>
        <v>0804</v>
      </c>
      <c r="G277" s="198" t="str">
        <f ca="1">IFERROR(__xludf.DUMMYFUNCTION("""COMPUTED_VALUE"""),"286893")</f>
        <v>286893</v>
      </c>
      <c r="H277" s="198">
        <f ca="1">IFERROR(__xludf.DUMMYFUNCTION("""COMPUTED_VALUE"""),0)</f>
        <v>0</v>
      </c>
      <c r="I277" s="198">
        <f ca="1">IFERROR(__xludf.DUMMYFUNCTION("""COMPUTED_VALUE"""),0)</f>
        <v>0</v>
      </c>
      <c r="J277" s="198">
        <f ca="1">IFERROR(__xludf.DUMMYFUNCTION("""COMPUTED_VALUE"""),2247)</f>
        <v>2247</v>
      </c>
      <c r="K277" s="198">
        <f ca="1">IFERROR(__xludf.DUMMYFUNCTION("""COMPUTED_VALUE"""),0)</f>
        <v>0</v>
      </c>
      <c r="L277" s="198">
        <f ca="1">IFERROR(__xludf.DUMMYFUNCTION("""COMPUTED_VALUE"""),0)</f>
        <v>0</v>
      </c>
      <c r="M277" s="198">
        <f ca="1">IFERROR(__xludf.DUMMYFUNCTION("""COMPUTED_VALUE"""),0)</f>
        <v>0</v>
      </c>
      <c r="N277" s="198">
        <f ca="1">IFERROR(__xludf.DUMMYFUNCTION("""COMPUTED_VALUE"""),2772)</f>
        <v>2772</v>
      </c>
      <c r="O277" s="198">
        <f ca="1">IFERROR(__xludf.DUMMYFUNCTION("""COMPUTED_VALUE"""),210)</f>
        <v>210</v>
      </c>
      <c r="P277" s="198">
        <f t="shared" ca="1" si="1"/>
        <v>5229</v>
      </c>
    </row>
    <row r="278" spans="1:16" ht="12.75">
      <c r="A278" s="199" t="str">
        <f ca="1">IFERROR(__xludf.DUMMYFUNCTION("""COMPUTED_VALUE"""),"Paraíso")</f>
        <v>Paraíso</v>
      </c>
      <c r="B278" s="199" t="str">
        <f ca="1">IFERROR(__xludf.DUMMYFUNCTION("""COMPUTED_VALUE"""),"Araguacema")</f>
        <v>Araguacema</v>
      </c>
      <c r="C278" s="145" t="str">
        <f ca="1">IFERROR(__xludf.DUMMYFUNCTION("""COMPUTED_VALUE"""),"ASSOC. DE APOIO AO COL. EST. DE ARAGUACEMA")</f>
        <v>ASSOC. DE APOIO AO COL. EST. DE ARAGUACEMA</v>
      </c>
      <c r="D278" s="200" t="str">
        <f ca="1">IFERROR(__xludf.DUMMYFUNCTION("""COMPUTED_VALUE"""),"01187107000153")</f>
        <v>01187107000153</v>
      </c>
      <c r="E278" s="201" t="str">
        <f ca="1">IFERROR(__xludf.DUMMYFUNCTION("""COMPUTED_VALUE"""),"001")</f>
        <v>001</v>
      </c>
      <c r="F278" s="201" t="str">
        <f ca="1">IFERROR(__xludf.DUMMYFUNCTION("""COMPUTED_VALUE"""),"0804")</f>
        <v>0804</v>
      </c>
      <c r="G278" s="202" t="str">
        <f ca="1">IFERROR(__xludf.DUMMYFUNCTION("""COMPUTED_VALUE"""),"286532")</f>
        <v>286532</v>
      </c>
      <c r="H278" s="202">
        <f ca="1">IFERROR(__xludf.DUMMYFUNCTION("""COMPUTED_VALUE"""),0)</f>
        <v>0</v>
      </c>
      <c r="I278" s="202">
        <f ca="1">IFERROR(__xludf.DUMMYFUNCTION("""COMPUTED_VALUE"""),0)</f>
        <v>0</v>
      </c>
      <c r="J278" s="202">
        <f ca="1">IFERROR(__xludf.DUMMYFUNCTION("""COMPUTED_VALUE"""),2142)</f>
        <v>2142</v>
      </c>
      <c r="K278" s="202">
        <f ca="1">IFERROR(__xludf.DUMMYFUNCTION("""COMPUTED_VALUE"""),0)</f>
        <v>0</v>
      </c>
      <c r="L278" s="202">
        <f ca="1">IFERROR(__xludf.DUMMYFUNCTION("""COMPUTED_VALUE"""),0)</f>
        <v>0</v>
      </c>
      <c r="M278" s="202">
        <f ca="1">IFERROR(__xludf.DUMMYFUNCTION("""COMPUTED_VALUE"""),0)</f>
        <v>0</v>
      </c>
      <c r="N278" s="202">
        <f ca="1">IFERROR(__xludf.DUMMYFUNCTION("""COMPUTED_VALUE"""),6510)</f>
        <v>6510</v>
      </c>
      <c r="O278" s="202">
        <f ca="1">IFERROR(__xludf.DUMMYFUNCTION("""COMPUTED_VALUE"""),0)</f>
        <v>0</v>
      </c>
      <c r="P278" s="202">
        <f t="shared" ca="1" si="1"/>
        <v>8652</v>
      </c>
    </row>
    <row r="279" spans="1:16" ht="12.75">
      <c r="A279" s="194" t="str">
        <f ca="1">IFERROR(__xludf.DUMMYFUNCTION("""COMPUTED_VALUE"""),"Paraíso")</f>
        <v>Paraíso</v>
      </c>
      <c r="B279" s="194" t="str">
        <f ca="1">IFERROR(__xludf.DUMMYFUNCTION("""COMPUTED_VALUE"""),"Araguacema")</f>
        <v>Araguacema</v>
      </c>
      <c r="C279" s="195" t="str">
        <f ca="1">IFERROR(__xludf.DUMMYFUNCTION("""COMPUTED_VALUE"""),"ASSOC. DE APOIO COLEGIO MENNO SIMONS")</f>
        <v>ASSOC. DE APOIO COLEGIO MENNO SIMONS</v>
      </c>
      <c r="D279" s="196" t="str">
        <f ca="1">IFERROR(__xludf.DUMMYFUNCTION("""COMPUTED_VALUE"""),"01138321000110")</f>
        <v>01138321000110</v>
      </c>
      <c r="E279" s="197" t="str">
        <f ca="1">IFERROR(__xludf.DUMMYFUNCTION("""COMPUTED_VALUE"""),"001")</f>
        <v>001</v>
      </c>
      <c r="F279" s="197" t="str">
        <f ca="1">IFERROR(__xludf.DUMMYFUNCTION("""COMPUTED_VALUE"""),"0804")</f>
        <v>0804</v>
      </c>
      <c r="G279" s="198" t="str">
        <f ca="1">IFERROR(__xludf.DUMMYFUNCTION("""COMPUTED_VALUE"""),"300764")</f>
        <v>300764</v>
      </c>
      <c r="H279" s="198">
        <f ca="1">IFERROR(__xludf.DUMMYFUNCTION("""COMPUTED_VALUE"""),0)</f>
        <v>0</v>
      </c>
      <c r="I279" s="198">
        <f ca="1">IFERROR(__xludf.DUMMYFUNCTION("""COMPUTED_VALUE"""),0)</f>
        <v>0</v>
      </c>
      <c r="J279" s="198">
        <f ca="1">IFERROR(__xludf.DUMMYFUNCTION("""COMPUTED_VALUE"""),3927)</f>
        <v>3927</v>
      </c>
      <c r="K279" s="198">
        <f ca="1">IFERROR(__xludf.DUMMYFUNCTION("""COMPUTED_VALUE"""),0)</f>
        <v>0</v>
      </c>
      <c r="L279" s="198">
        <f ca="1">IFERROR(__xludf.DUMMYFUNCTION("""COMPUTED_VALUE"""),0)</f>
        <v>0</v>
      </c>
      <c r="M279" s="198">
        <f ca="1">IFERROR(__xludf.DUMMYFUNCTION("""COMPUTED_VALUE"""),0)</f>
        <v>0</v>
      </c>
      <c r="N279" s="198">
        <f ca="1">IFERROR(__xludf.DUMMYFUNCTION("""COMPUTED_VALUE"""),0)</f>
        <v>0</v>
      </c>
      <c r="O279" s="198">
        <f ca="1">IFERROR(__xludf.DUMMYFUNCTION("""COMPUTED_VALUE"""),0)</f>
        <v>0</v>
      </c>
      <c r="P279" s="198">
        <f t="shared" ca="1" si="1"/>
        <v>3927</v>
      </c>
    </row>
    <row r="280" spans="1:16" ht="12.75">
      <c r="A280" s="199" t="str">
        <f ca="1">IFERROR(__xludf.DUMMYFUNCTION("""COMPUTED_VALUE"""),"Paraíso")</f>
        <v>Paraíso</v>
      </c>
      <c r="B280" s="199" t="str">
        <f ca="1">IFERROR(__xludf.DUMMYFUNCTION("""COMPUTED_VALUE"""),"Barrolandia")</f>
        <v>Barrolandia</v>
      </c>
      <c r="C280" s="145" t="str">
        <f ca="1">IFERROR(__xludf.DUMMYFUNCTION("""COMPUTED_VALUE"""),"A..A. ESC. ESPECIAL AMOR DE DEUS")</f>
        <v>A..A. ESC. ESPECIAL AMOR DE DEUS</v>
      </c>
      <c r="D280" s="200" t="str">
        <f ca="1">IFERROR(__xludf.DUMMYFUNCTION("""COMPUTED_VALUE"""),"07935641000187")</f>
        <v>07935641000187</v>
      </c>
      <c r="E280" s="201" t="str">
        <f ca="1">IFERROR(__xludf.DUMMYFUNCTION("""COMPUTED_VALUE"""),"001")</f>
        <v>001</v>
      </c>
      <c r="F280" s="201" t="str">
        <f ca="1">IFERROR(__xludf.DUMMYFUNCTION("""COMPUTED_VALUE"""),"0804")</f>
        <v>0804</v>
      </c>
      <c r="G280" s="202" t="str">
        <f ca="1">IFERROR(__xludf.DUMMYFUNCTION("""COMPUTED_VALUE"""),"279501")</f>
        <v>279501</v>
      </c>
      <c r="H280" s="202">
        <f ca="1">IFERROR(__xludf.DUMMYFUNCTION("""COMPUTED_VALUE"""),0)</f>
        <v>0</v>
      </c>
      <c r="I280" s="202">
        <f ca="1">IFERROR(__xludf.DUMMYFUNCTION("""COMPUTED_VALUE"""),273)</f>
        <v>273</v>
      </c>
      <c r="J280" s="202">
        <f ca="1">IFERROR(__xludf.DUMMYFUNCTION("""COMPUTED_VALUE"""),210)</f>
        <v>210</v>
      </c>
      <c r="K280" s="202">
        <f ca="1">IFERROR(__xludf.DUMMYFUNCTION("""COMPUTED_VALUE"""),0)</f>
        <v>0</v>
      </c>
      <c r="L280" s="202">
        <f ca="1">IFERROR(__xludf.DUMMYFUNCTION("""COMPUTED_VALUE"""),0)</f>
        <v>0</v>
      </c>
      <c r="M280" s="202">
        <f ca="1">IFERROR(__xludf.DUMMYFUNCTION("""COMPUTED_VALUE"""),252)</f>
        <v>252</v>
      </c>
      <c r="N280" s="202">
        <f ca="1">IFERROR(__xludf.DUMMYFUNCTION("""COMPUTED_VALUE"""),0)</f>
        <v>0</v>
      </c>
      <c r="O280" s="202">
        <f ca="1">IFERROR(__xludf.DUMMYFUNCTION("""COMPUTED_VALUE"""),546)</f>
        <v>546</v>
      </c>
      <c r="P280" s="202">
        <f t="shared" ca="1" si="1"/>
        <v>1281</v>
      </c>
    </row>
    <row r="281" spans="1:16" ht="12.75">
      <c r="A281" s="194" t="str">
        <f ca="1">IFERROR(__xludf.DUMMYFUNCTION("""COMPUTED_VALUE"""),"Paraíso")</f>
        <v>Paraíso</v>
      </c>
      <c r="B281" s="194" t="str">
        <f ca="1">IFERROR(__xludf.DUMMYFUNCTION("""COMPUTED_VALUE"""),"Barrolandia")</f>
        <v>Barrolandia</v>
      </c>
      <c r="C281" s="195" t="str">
        <f ca="1">IFERROR(__xludf.DUMMYFUNCTION("""COMPUTED_VALUE"""),"ASS. APOIO DA ESC EST PAULINA CAMARA")</f>
        <v>ASS. APOIO DA ESC EST PAULINA CAMARA</v>
      </c>
      <c r="D281" s="196" t="str">
        <f ca="1">IFERROR(__xludf.DUMMYFUNCTION("""COMPUTED_VALUE"""),"01071402000140")</f>
        <v>01071402000140</v>
      </c>
      <c r="E281" s="197" t="str">
        <f ca="1">IFERROR(__xludf.DUMMYFUNCTION("""COMPUTED_VALUE"""),"001")</f>
        <v>001</v>
      </c>
      <c r="F281" s="197" t="str">
        <f ca="1">IFERROR(__xludf.DUMMYFUNCTION("""COMPUTED_VALUE"""),"0862")</f>
        <v>0862</v>
      </c>
      <c r="G281" s="198" t="str">
        <f ca="1">IFERROR(__xludf.DUMMYFUNCTION("""COMPUTED_VALUE"""),"68926")</f>
        <v>68926</v>
      </c>
      <c r="H281" s="198">
        <f ca="1">IFERROR(__xludf.DUMMYFUNCTION("""COMPUTED_VALUE"""),0)</f>
        <v>0</v>
      </c>
      <c r="I281" s="198">
        <f ca="1">IFERROR(__xludf.DUMMYFUNCTION("""COMPUTED_VALUE"""),0)</f>
        <v>0</v>
      </c>
      <c r="J281" s="198">
        <f ca="1">IFERROR(__xludf.DUMMYFUNCTION("""COMPUTED_VALUE"""),5376)</f>
        <v>5376</v>
      </c>
      <c r="K281" s="198">
        <f ca="1">IFERROR(__xludf.DUMMYFUNCTION("""COMPUTED_VALUE"""),0)</f>
        <v>0</v>
      </c>
      <c r="L281" s="198">
        <f ca="1">IFERROR(__xludf.DUMMYFUNCTION("""COMPUTED_VALUE"""),0)</f>
        <v>0</v>
      </c>
      <c r="M281" s="198">
        <f ca="1">IFERROR(__xludf.DUMMYFUNCTION("""COMPUTED_VALUE"""),210)</f>
        <v>210</v>
      </c>
      <c r="N281" s="198">
        <f ca="1">IFERROR(__xludf.DUMMYFUNCTION("""COMPUTED_VALUE"""),0)</f>
        <v>0</v>
      </c>
      <c r="O281" s="198">
        <f ca="1">IFERROR(__xludf.DUMMYFUNCTION("""COMPUTED_VALUE"""),0)</f>
        <v>0</v>
      </c>
      <c r="P281" s="198">
        <f t="shared" ca="1" si="1"/>
        <v>5586</v>
      </c>
    </row>
    <row r="282" spans="1:16" ht="12.75">
      <c r="A282" s="199" t="str">
        <f ca="1">IFERROR(__xludf.DUMMYFUNCTION("""COMPUTED_VALUE"""),"Paraíso")</f>
        <v>Paraíso</v>
      </c>
      <c r="B282" s="199" t="str">
        <f ca="1">IFERROR(__xludf.DUMMYFUNCTION("""COMPUTED_VALUE"""),"Barrolandia")</f>
        <v>Barrolandia</v>
      </c>
      <c r="C282" s="145" t="str">
        <f ca="1">IFERROR(__xludf.DUMMYFUNCTION("""COMPUTED_VALUE"""),"A.A. COLEGIO ESTADUAL COSTA E SILVA")</f>
        <v>A.A. COLEGIO ESTADUAL COSTA E SILVA</v>
      </c>
      <c r="D282" s="200" t="str">
        <f ca="1">IFERROR(__xludf.DUMMYFUNCTION("""COMPUTED_VALUE"""),"01100434000126")</f>
        <v>01100434000126</v>
      </c>
      <c r="E282" s="201" t="str">
        <f ca="1">IFERROR(__xludf.DUMMYFUNCTION("""COMPUTED_VALUE"""),"001")</f>
        <v>001</v>
      </c>
      <c r="F282" s="201" t="str">
        <f ca="1">IFERROR(__xludf.DUMMYFUNCTION("""COMPUTED_VALUE"""),"0862")</f>
        <v>0862</v>
      </c>
      <c r="G282" s="202" t="str">
        <f ca="1">IFERROR(__xludf.DUMMYFUNCTION("""COMPUTED_VALUE"""),"68942")</f>
        <v>68942</v>
      </c>
      <c r="H282" s="202">
        <f ca="1">IFERROR(__xludf.DUMMYFUNCTION("""COMPUTED_VALUE"""),0)</f>
        <v>0</v>
      </c>
      <c r="I282" s="202">
        <f ca="1">IFERROR(__xludf.DUMMYFUNCTION("""COMPUTED_VALUE"""),0)</f>
        <v>0</v>
      </c>
      <c r="J282" s="202">
        <f ca="1">IFERROR(__xludf.DUMMYFUNCTION("""COMPUTED_VALUE"""),2205)</f>
        <v>2205</v>
      </c>
      <c r="K282" s="202">
        <f ca="1">IFERROR(__xludf.DUMMYFUNCTION("""COMPUTED_VALUE"""),0)</f>
        <v>0</v>
      </c>
      <c r="L282" s="202">
        <f ca="1">IFERROR(__xludf.DUMMYFUNCTION("""COMPUTED_VALUE"""),0)</f>
        <v>0</v>
      </c>
      <c r="M282" s="202">
        <f ca="1">IFERROR(__xludf.DUMMYFUNCTION("""COMPUTED_VALUE"""),0)</f>
        <v>0</v>
      </c>
      <c r="N282" s="202">
        <f ca="1">IFERROR(__xludf.DUMMYFUNCTION("""COMPUTED_VALUE"""),2268)</f>
        <v>2268</v>
      </c>
      <c r="O282" s="202">
        <f ca="1">IFERROR(__xludf.DUMMYFUNCTION("""COMPUTED_VALUE"""),0)</f>
        <v>0</v>
      </c>
      <c r="P282" s="202">
        <f t="shared" ca="1" si="1"/>
        <v>4473</v>
      </c>
    </row>
    <row r="283" spans="1:16" ht="12.75">
      <c r="A283" s="194" t="str">
        <f ca="1">IFERROR(__xludf.DUMMYFUNCTION("""COMPUTED_VALUE"""),"Paraíso")</f>
        <v>Paraíso</v>
      </c>
      <c r="B283" s="194" t="str">
        <f ca="1">IFERROR(__xludf.DUMMYFUNCTION("""COMPUTED_VALUE"""),"Caseara")</f>
        <v>Caseara</v>
      </c>
      <c r="C283" s="195" t="str">
        <f ca="1">IFERROR(__xludf.DUMMYFUNCTION("""COMPUTED_VALUE"""),"A.A. AO COLEGIO EST. TRAJANO DE ALMEIDA")</f>
        <v>A.A. AO COLEGIO EST. TRAJANO DE ALMEIDA</v>
      </c>
      <c r="D283" s="196" t="str">
        <f ca="1">IFERROR(__xludf.DUMMYFUNCTION("""COMPUTED_VALUE"""),"01136037000104")</f>
        <v>01136037000104</v>
      </c>
      <c r="E283" s="197" t="str">
        <f ca="1">IFERROR(__xludf.DUMMYFUNCTION("""COMPUTED_VALUE"""),"001")</f>
        <v>001</v>
      </c>
      <c r="F283" s="197" t="str">
        <f ca="1">IFERROR(__xludf.DUMMYFUNCTION("""COMPUTED_VALUE"""),"0804")</f>
        <v>0804</v>
      </c>
      <c r="G283" s="198" t="str">
        <f ca="1">IFERROR(__xludf.DUMMYFUNCTION("""COMPUTED_VALUE"""),"110558")</f>
        <v>110558</v>
      </c>
      <c r="H283" s="198">
        <f ca="1">IFERROR(__xludf.DUMMYFUNCTION("""COMPUTED_VALUE"""),0)</f>
        <v>0</v>
      </c>
      <c r="I283" s="198">
        <f ca="1">IFERROR(__xludf.DUMMYFUNCTION("""COMPUTED_VALUE"""),0)</f>
        <v>0</v>
      </c>
      <c r="J283" s="198">
        <f ca="1">IFERROR(__xludf.DUMMYFUNCTION("""COMPUTED_VALUE"""),0)</f>
        <v>0</v>
      </c>
      <c r="K283" s="198">
        <f ca="1">IFERROR(__xludf.DUMMYFUNCTION("""COMPUTED_VALUE"""),0)</f>
        <v>0</v>
      </c>
      <c r="L283" s="198">
        <f ca="1">IFERROR(__xludf.DUMMYFUNCTION("""COMPUTED_VALUE"""),0)</f>
        <v>0</v>
      </c>
      <c r="M283" s="198">
        <f ca="1">IFERROR(__xludf.DUMMYFUNCTION("""COMPUTED_VALUE"""),0)</f>
        <v>0</v>
      </c>
      <c r="N283" s="198">
        <f ca="1">IFERROR(__xludf.DUMMYFUNCTION("""COMPUTED_VALUE"""),4347)</f>
        <v>4347</v>
      </c>
      <c r="O283" s="198">
        <f ca="1">IFERROR(__xludf.DUMMYFUNCTION("""COMPUTED_VALUE"""),0)</f>
        <v>0</v>
      </c>
      <c r="P283" s="198">
        <f t="shared" ca="1" si="1"/>
        <v>4347</v>
      </c>
    </row>
    <row r="284" spans="1:16" ht="12.75">
      <c r="A284" s="199" t="str">
        <f ca="1">IFERROR(__xludf.DUMMYFUNCTION("""COMPUTED_VALUE"""),"Paraíso")</f>
        <v>Paraíso</v>
      </c>
      <c r="B284" s="199" t="str">
        <f ca="1">IFERROR(__xludf.DUMMYFUNCTION("""COMPUTED_VALUE"""),"Caseara")</f>
        <v>Caseara</v>
      </c>
      <c r="C284" s="145" t="str">
        <f ca="1">IFERROR(__xludf.DUMMYFUNCTION("""COMPUTED_VALUE"""),"A. DE APOIO A ESC. EST. JOSE ALVES DE ASSIS")</f>
        <v>A. DE APOIO A ESC. EST. JOSE ALVES DE ASSIS</v>
      </c>
      <c r="D284" s="200" t="str">
        <f ca="1">IFERROR(__xludf.DUMMYFUNCTION("""COMPUTED_VALUE"""),"01138318000104")</f>
        <v>01138318000104</v>
      </c>
      <c r="E284" s="201" t="str">
        <f ca="1">IFERROR(__xludf.DUMMYFUNCTION("""COMPUTED_VALUE"""),"104")</f>
        <v>104</v>
      </c>
      <c r="F284" s="201" t="str">
        <f ca="1">IFERROR(__xludf.DUMMYFUNCTION("""COMPUTED_VALUE"""),"1141")</f>
        <v>1141</v>
      </c>
      <c r="G284" s="202" t="str">
        <f ca="1">IFERROR(__xludf.DUMMYFUNCTION("""COMPUTED_VALUE"""),"307968")</f>
        <v>307968</v>
      </c>
      <c r="H284" s="202">
        <f ca="1">IFERROR(__xludf.DUMMYFUNCTION("""COMPUTED_VALUE"""),0)</f>
        <v>0</v>
      </c>
      <c r="I284" s="202">
        <f ca="1">IFERROR(__xludf.DUMMYFUNCTION("""COMPUTED_VALUE"""),0)</f>
        <v>0</v>
      </c>
      <c r="J284" s="202">
        <f ca="1">IFERROR(__xludf.DUMMYFUNCTION("""COMPUTED_VALUE"""),7266)</f>
        <v>7266</v>
      </c>
      <c r="K284" s="202">
        <f ca="1">IFERROR(__xludf.DUMMYFUNCTION("""COMPUTED_VALUE"""),0)</f>
        <v>0</v>
      </c>
      <c r="L284" s="202">
        <f ca="1">IFERROR(__xludf.DUMMYFUNCTION("""COMPUTED_VALUE"""),0)</f>
        <v>0</v>
      </c>
      <c r="M284" s="202">
        <f ca="1">IFERROR(__xludf.DUMMYFUNCTION("""COMPUTED_VALUE"""),0)</f>
        <v>0</v>
      </c>
      <c r="N284" s="202">
        <f ca="1">IFERROR(__xludf.DUMMYFUNCTION("""COMPUTED_VALUE"""),0)</f>
        <v>0</v>
      </c>
      <c r="O284" s="202">
        <f ca="1">IFERROR(__xludf.DUMMYFUNCTION("""COMPUTED_VALUE"""),0)</f>
        <v>0</v>
      </c>
      <c r="P284" s="202">
        <f t="shared" ca="1" si="1"/>
        <v>7266</v>
      </c>
    </row>
    <row r="285" spans="1:16" ht="12.75">
      <c r="A285" s="194" t="str">
        <f ca="1">IFERROR(__xludf.DUMMYFUNCTION("""COMPUTED_VALUE"""),"Paraíso")</f>
        <v>Paraíso</v>
      </c>
      <c r="B285" s="194" t="str">
        <f ca="1">IFERROR(__xludf.DUMMYFUNCTION("""COMPUTED_VALUE"""),"Cristalandia")</f>
        <v>Cristalandia</v>
      </c>
      <c r="C285" s="195" t="str">
        <f ca="1">IFERROR(__xludf.DUMMYFUNCTION("""COMPUTED_VALUE"""),"ASS. APOIO DO COL. EST. DE CRISTALANDIA")</f>
        <v>ASS. APOIO DO COL. EST. DE CRISTALANDIA</v>
      </c>
      <c r="D285" s="196" t="str">
        <f ca="1">IFERROR(__xludf.DUMMYFUNCTION("""COMPUTED_VALUE"""),"01186467000130")</f>
        <v>01186467000130</v>
      </c>
      <c r="E285" s="197" t="str">
        <f ca="1">IFERROR(__xludf.DUMMYFUNCTION("""COMPUTED_VALUE"""),"001")</f>
        <v>001</v>
      </c>
      <c r="F285" s="197" t="str">
        <f ca="1">IFERROR(__xludf.DUMMYFUNCTION("""COMPUTED_VALUE"""),"3638")</f>
        <v>3638</v>
      </c>
      <c r="G285" s="198" t="str">
        <f ca="1">IFERROR(__xludf.DUMMYFUNCTION("""COMPUTED_VALUE"""),"17469")</f>
        <v>17469</v>
      </c>
      <c r="H285" s="198">
        <f ca="1">IFERROR(__xludf.DUMMYFUNCTION("""COMPUTED_VALUE"""),0)</f>
        <v>0</v>
      </c>
      <c r="I285" s="198">
        <f ca="1">IFERROR(__xludf.DUMMYFUNCTION("""COMPUTED_VALUE"""),0)</f>
        <v>0</v>
      </c>
      <c r="J285" s="198">
        <f ca="1">IFERROR(__xludf.DUMMYFUNCTION("""COMPUTED_VALUE"""),4095)</f>
        <v>4095</v>
      </c>
      <c r="K285" s="198">
        <f ca="1">IFERROR(__xludf.DUMMYFUNCTION("""COMPUTED_VALUE"""),0)</f>
        <v>0</v>
      </c>
      <c r="L285" s="198">
        <f ca="1">IFERROR(__xludf.DUMMYFUNCTION("""COMPUTED_VALUE"""),0)</f>
        <v>0</v>
      </c>
      <c r="M285" s="198">
        <f ca="1">IFERROR(__xludf.DUMMYFUNCTION("""COMPUTED_VALUE"""),0)</f>
        <v>0</v>
      </c>
      <c r="N285" s="198">
        <f ca="1">IFERROR(__xludf.DUMMYFUNCTION("""COMPUTED_VALUE"""),4011)</f>
        <v>4011</v>
      </c>
      <c r="O285" s="198">
        <f ca="1">IFERROR(__xludf.DUMMYFUNCTION("""COMPUTED_VALUE"""),0)</f>
        <v>0</v>
      </c>
      <c r="P285" s="198">
        <f t="shared" ca="1" si="1"/>
        <v>8106</v>
      </c>
    </row>
    <row r="286" spans="1:16" ht="12.75">
      <c r="A286" s="199" t="str">
        <f ca="1">IFERROR(__xludf.DUMMYFUNCTION("""COMPUTED_VALUE"""),"Paraíso")</f>
        <v>Paraíso</v>
      </c>
      <c r="B286" s="199" t="str">
        <f ca="1">IFERROR(__xludf.DUMMYFUNCTION("""COMPUTED_VALUE"""),"Cristalandia")</f>
        <v>Cristalandia</v>
      </c>
      <c r="C286" s="145" t="str">
        <f ca="1">IFERROR(__xludf.DUMMYFUNCTION("""COMPUTED_VALUE"""),"APAE DE CRISTALÂNDIA")</f>
        <v>APAE DE CRISTALÂNDIA</v>
      </c>
      <c r="D286" s="200" t="str">
        <f ca="1">IFERROR(__xludf.DUMMYFUNCTION("""COMPUTED_VALUE"""),"01995319000167")</f>
        <v>01995319000167</v>
      </c>
      <c r="E286" s="201" t="str">
        <f ca="1">IFERROR(__xludf.DUMMYFUNCTION("""COMPUTED_VALUE"""),"001")</f>
        <v>001</v>
      </c>
      <c r="F286" s="201" t="str">
        <f ca="1">IFERROR(__xludf.DUMMYFUNCTION("""COMPUTED_VALUE"""),"3638")</f>
        <v>3638</v>
      </c>
      <c r="G286" s="202" t="str">
        <f ca="1">IFERROR(__xludf.DUMMYFUNCTION("""COMPUTED_VALUE"""),"71315")</f>
        <v>71315</v>
      </c>
      <c r="H286" s="202">
        <f ca="1">IFERROR(__xludf.DUMMYFUNCTION("""COMPUTED_VALUE"""),0)</f>
        <v>0</v>
      </c>
      <c r="I286" s="202">
        <f ca="1">IFERROR(__xludf.DUMMYFUNCTION("""COMPUTED_VALUE"""),105)</f>
        <v>105</v>
      </c>
      <c r="J286" s="202">
        <f ca="1">IFERROR(__xludf.DUMMYFUNCTION("""COMPUTED_VALUE"""),63)</f>
        <v>63</v>
      </c>
      <c r="K286" s="202">
        <f ca="1">IFERROR(__xludf.DUMMYFUNCTION("""COMPUTED_VALUE"""),0)</f>
        <v>0</v>
      </c>
      <c r="L286" s="202">
        <f ca="1">IFERROR(__xludf.DUMMYFUNCTION("""COMPUTED_VALUE"""),0)</f>
        <v>0</v>
      </c>
      <c r="M286" s="202">
        <f ca="1">IFERROR(__xludf.DUMMYFUNCTION("""COMPUTED_VALUE"""),609)</f>
        <v>609</v>
      </c>
      <c r="N286" s="202">
        <f ca="1">IFERROR(__xludf.DUMMYFUNCTION("""COMPUTED_VALUE"""),0)</f>
        <v>0</v>
      </c>
      <c r="O286" s="202">
        <f ca="1">IFERROR(__xludf.DUMMYFUNCTION("""COMPUTED_VALUE"""),630)</f>
        <v>630</v>
      </c>
      <c r="P286" s="202">
        <f t="shared" ca="1" si="1"/>
        <v>1407</v>
      </c>
    </row>
    <row r="287" spans="1:16" ht="12.75">
      <c r="A287" s="194" t="str">
        <f ca="1">IFERROR(__xludf.DUMMYFUNCTION("""COMPUTED_VALUE"""),"Paraíso")</f>
        <v>Paraíso</v>
      </c>
      <c r="B287" s="194" t="str">
        <f ca="1">IFERROR(__xludf.DUMMYFUNCTION("""COMPUTED_VALUE"""),"Cristalandia")</f>
        <v>Cristalandia</v>
      </c>
      <c r="C287" s="195" t="str">
        <f ca="1">IFERROR(__xludf.DUMMYFUNCTION("""COMPUTED_VALUE"""),"A.A. ESCOLA MUL.OTACILIO MARQUES ROSAL")</f>
        <v>A.A. ESCOLA MUL.OTACILIO MARQUES ROSAL</v>
      </c>
      <c r="D287" s="196" t="str">
        <f ca="1">IFERROR(__xludf.DUMMYFUNCTION("""COMPUTED_VALUE"""),"01071438000123")</f>
        <v>01071438000123</v>
      </c>
      <c r="E287" s="197" t="str">
        <f ca="1">IFERROR(__xludf.DUMMYFUNCTION("""COMPUTED_VALUE"""),"001")</f>
        <v>001</v>
      </c>
      <c r="F287" s="197" t="str">
        <f ca="1">IFERROR(__xludf.DUMMYFUNCTION("""COMPUTED_VALUE"""),"3638")</f>
        <v>3638</v>
      </c>
      <c r="G287" s="198" t="str">
        <f ca="1">IFERROR(__xludf.DUMMYFUNCTION("""COMPUTED_VALUE"""),"7120X")</f>
        <v>7120X</v>
      </c>
      <c r="H287" s="198">
        <f ca="1">IFERROR(__xludf.DUMMYFUNCTION("""COMPUTED_VALUE"""),0)</f>
        <v>0</v>
      </c>
      <c r="I287" s="198">
        <f ca="1">IFERROR(__xludf.DUMMYFUNCTION("""COMPUTED_VALUE"""),0)</f>
        <v>0</v>
      </c>
      <c r="J287" s="198">
        <f ca="1">IFERROR(__xludf.DUMMYFUNCTION("""COMPUTED_VALUE"""),5964)</f>
        <v>5964</v>
      </c>
      <c r="K287" s="198">
        <f ca="1">IFERROR(__xludf.DUMMYFUNCTION("""COMPUTED_VALUE"""),0)</f>
        <v>0</v>
      </c>
      <c r="L287" s="198">
        <f ca="1">IFERROR(__xludf.DUMMYFUNCTION("""COMPUTED_VALUE"""),0)</f>
        <v>0</v>
      </c>
      <c r="M287" s="198">
        <f ca="1">IFERROR(__xludf.DUMMYFUNCTION("""COMPUTED_VALUE"""),273)</f>
        <v>273</v>
      </c>
      <c r="N287" s="198">
        <f ca="1">IFERROR(__xludf.DUMMYFUNCTION("""COMPUTED_VALUE"""),1260)</f>
        <v>1260</v>
      </c>
      <c r="O287" s="198">
        <f ca="1">IFERROR(__xludf.DUMMYFUNCTION("""COMPUTED_VALUE"""),0)</f>
        <v>0</v>
      </c>
      <c r="P287" s="198">
        <f t="shared" ca="1" si="1"/>
        <v>7497</v>
      </c>
    </row>
    <row r="288" spans="1:16" ht="12.75">
      <c r="A288" s="199" t="str">
        <f ca="1">IFERROR(__xludf.DUMMYFUNCTION("""COMPUTED_VALUE"""),"Paraíso")</f>
        <v>Paraíso</v>
      </c>
      <c r="B288" s="199" t="str">
        <f ca="1">IFERROR(__xludf.DUMMYFUNCTION("""COMPUTED_VALUE"""),"Divinopolis do Tocantins")</f>
        <v>Divinopolis do Tocantins</v>
      </c>
      <c r="C288" s="145" t="str">
        <f ca="1">IFERROR(__xludf.DUMMYFUNCTION("""COMPUTED_VALUE"""),"A.A. DO COLEGIO MUL. JOAO DIAS SOBRINHO")</f>
        <v>A.A. DO COLEGIO MUL. JOAO DIAS SOBRINHO</v>
      </c>
      <c r="D288" s="200" t="str">
        <f ca="1">IFERROR(__xludf.DUMMYFUNCTION("""COMPUTED_VALUE"""),"01184383000168")</f>
        <v>01184383000168</v>
      </c>
      <c r="E288" s="201" t="str">
        <f ca="1">IFERROR(__xludf.DUMMYFUNCTION("""COMPUTED_VALUE"""),"001")</f>
        <v>001</v>
      </c>
      <c r="F288" s="201" t="str">
        <f ca="1">IFERROR(__xludf.DUMMYFUNCTION("""COMPUTED_VALUE"""),"3812")</f>
        <v>3812</v>
      </c>
      <c r="G288" s="202" t="str">
        <f ca="1">IFERROR(__xludf.DUMMYFUNCTION("""COMPUTED_VALUE"""),"275069")</f>
        <v>275069</v>
      </c>
      <c r="H288" s="202">
        <f ca="1">IFERROR(__xludf.DUMMYFUNCTION("""COMPUTED_VALUE"""),0)</f>
        <v>0</v>
      </c>
      <c r="I288" s="202">
        <f ca="1">IFERROR(__xludf.DUMMYFUNCTION("""COMPUTED_VALUE"""),0)</f>
        <v>0</v>
      </c>
      <c r="J288" s="202">
        <f ca="1">IFERROR(__xludf.DUMMYFUNCTION("""COMPUTED_VALUE"""),5859)</f>
        <v>5859</v>
      </c>
      <c r="K288" s="202">
        <f ca="1">IFERROR(__xludf.DUMMYFUNCTION("""COMPUTED_VALUE"""),0)</f>
        <v>0</v>
      </c>
      <c r="L288" s="202">
        <f ca="1">IFERROR(__xludf.DUMMYFUNCTION("""COMPUTED_VALUE"""),0)</f>
        <v>0</v>
      </c>
      <c r="M288" s="202">
        <f ca="1">IFERROR(__xludf.DUMMYFUNCTION("""COMPUTED_VALUE"""),0)</f>
        <v>0</v>
      </c>
      <c r="N288" s="202">
        <f ca="1">IFERROR(__xludf.DUMMYFUNCTION("""COMPUTED_VALUE"""),5145)</f>
        <v>5145</v>
      </c>
      <c r="O288" s="202">
        <f ca="1">IFERROR(__xludf.DUMMYFUNCTION("""COMPUTED_VALUE"""),714)</f>
        <v>714</v>
      </c>
      <c r="P288" s="202">
        <f t="shared" ca="1" si="1"/>
        <v>11718</v>
      </c>
    </row>
    <row r="289" spans="1:16" ht="12.75">
      <c r="A289" s="194" t="str">
        <f ca="1">IFERROR(__xludf.DUMMYFUNCTION("""COMPUTED_VALUE"""),"Paraíso")</f>
        <v>Paraíso</v>
      </c>
      <c r="B289" s="194" t="str">
        <f ca="1">IFERROR(__xludf.DUMMYFUNCTION("""COMPUTED_VALUE"""),"Divinopolis do Tocantins")</f>
        <v>Divinopolis do Tocantins</v>
      </c>
      <c r="C289" s="195" t="str">
        <f ca="1">IFERROR(__xludf.DUMMYFUNCTION("""COMPUTED_VALUE"""),"ASS. APOIO ESC. EST. D. CANDIDA DE FREITAS")</f>
        <v>ASS. APOIO ESC. EST. D. CANDIDA DE FREITAS</v>
      </c>
      <c r="D289" s="196" t="str">
        <f ca="1">IFERROR(__xludf.DUMMYFUNCTION("""COMPUTED_VALUE"""),"01296363000189")</f>
        <v>01296363000189</v>
      </c>
      <c r="E289" s="197" t="str">
        <f ca="1">IFERROR(__xludf.DUMMYFUNCTION("""COMPUTED_VALUE"""),"001")</f>
        <v>001</v>
      </c>
      <c r="F289" s="197" t="str">
        <f ca="1">IFERROR(__xludf.DUMMYFUNCTION("""COMPUTED_VALUE"""),"3812")</f>
        <v>3812</v>
      </c>
      <c r="G289" s="198" t="str">
        <f ca="1">IFERROR(__xludf.DUMMYFUNCTION("""COMPUTED_VALUE"""),"70629")</f>
        <v>70629</v>
      </c>
      <c r="H289" s="198">
        <f ca="1">IFERROR(__xludf.DUMMYFUNCTION("""COMPUTED_VALUE"""),0)</f>
        <v>0</v>
      </c>
      <c r="I289" s="198">
        <f ca="1">IFERROR(__xludf.DUMMYFUNCTION("""COMPUTED_VALUE"""),0)</f>
        <v>0</v>
      </c>
      <c r="J289" s="198">
        <f ca="1">IFERROR(__xludf.DUMMYFUNCTION("""COMPUTED_VALUE"""),4305)</f>
        <v>4305</v>
      </c>
      <c r="K289" s="198">
        <f ca="1">IFERROR(__xludf.DUMMYFUNCTION("""COMPUTED_VALUE"""),0)</f>
        <v>0</v>
      </c>
      <c r="L289" s="198">
        <f ca="1">IFERROR(__xludf.DUMMYFUNCTION("""COMPUTED_VALUE"""),0)</f>
        <v>0</v>
      </c>
      <c r="M289" s="198">
        <f ca="1">IFERROR(__xludf.DUMMYFUNCTION("""COMPUTED_VALUE"""),0)</f>
        <v>0</v>
      </c>
      <c r="N289" s="198">
        <f ca="1">IFERROR(__xludf.DUMMYFUNCTION("""COMPUTED_VALUE"""),0)</f>
        <v>0</v>
      </c>
      <c r="O289" s="198">
        <f ca="1">IFERROR(__xludf.DUMMYFUNCTION("""COMPUTED_VALUE"""),315)</f>
        <v>315</v>
      </c>
      <c r="P289" s="198">
        <f t="shared" ca="1" si="1"/>
        <v>4620</v>
      </c>
    </row>
    <row r="290" spans="1:16" ht="12.75">
      <c r="A290" s="199" t="str">
        <f ca="1">IFERROR(__xludf.DUMMYFUNCTION("""COMPUTED_VALUE"""),"Paraíso")</f>
        <v>Paraíso</v>
      </c>
      <c r="B290" s="199" t="str">
        <f ca="1">IFERROR(__xludf.DUMMYFUNCTION("""COMPUTED_VALUE"""),"Lagoa da Confusao")</f>
        <v>Lagoa da Confusao</v>
      </c>
      <c r="C290" s="145" t="str">
        <f ca="1">IFERROR(__xludf.DUMMYFUNCTION("""COMPUTED_VALUE"""),"A.A.  ESTUD COL. EST. LAGOA DA CONFUSAO")</f>
        <v>A.A.  ESTUD COL. EST. LAGOA DA CONFUSAO</v>
      </c>
      <c r="D290" s="200" t="str">
        <f ca="1">IFERROR(__xludf.DUMMYFUNCTION("""COMPUTED_VALUE"""),"01179116000100")</f>
        <v>01179116000100</v>
      </c>
      <c r="E290" s="201" t="str">
        <f ca="1">IFERROR(__xludf.DUMMYFUNCTION("""COMPUTED_VALUE"""),"001")</f>
        <v>001</v>
      </c>
      <c r="F290" s="201" t="str">
        <f ca="1">IFERROR(__xludf.DUMMYFUNCTION("""COMPUTED_VALUE"""),"3983")</f>
        <v>3983</v>
      </c>
      <c r="G290" s="202" t="str">
        <f ca="1">IFERROR(__xludf.DUMMYFUNCTION("""COMPUTED_VALUE"""),"84735")</f>
        <v>84735</v>
      </c>
      <c r="H290" s="202">
        <f ca="1">IFERROR(__xludf.DUMMYFUNCTION("""COMPUTED_VALUE"""),0)</f>
        <v>0</v>
      </c>
      <c r="I290" s="202">
        <f ca="1">IFERROR(__xludf.DUMMYFUNCTION("""COMPUTED_VALUE"""),0)</f>
        <v>0</v>
      </c>
      <c r="J290" s="202">
        <f ca="1">IFERROR(__xludf.DUMMYFUNCTION("""COMPUTED_VALUE"""),1827)</f>
        <v>1827</v>
      </c>
      <c r="K290" s="202">
        <f ca="1">IFERROR(__xludf.DUMMYFUNCTION("""COMPUTED_VALUE"""),0)</f>
        <v>0</v>
      </c>
      <c r="L290" s="202">
        <f ca="1">IFERROR(__xludf.DUMMYFUNCTION("""COMPUTED_VALUE"""),0)</f>
        <v>0</v>
      </c>
      <c r="M290" s="202">
        <f ca="1">IFERROR(__xludf.DUMMYFUNCTION("""COMPUTED_VALUE"""),0)</f>
        <v>0</v>
      </c>
      <c r="N290" s="202">
        <f ca="1">IFERROR(__xludf.DUMMYFUNCTION("""COMPUTED_VALUE"""),10962)</f>
        <v>10962</v>
      </c>
      <c r="O290" s="202">
        <f ca="1">IFERROR(__xludf.DUMMYFUNCTION("""COMPUTED_VALUE"""),294)</f>
        <v>294</v>
      </c>
      <c r="P290" s="202">
        <f t="shared" ca="1" si="1"/>
        <v>13083</v>
      </c>
    </row>
    <row r="291" spans="1:16" ht="12.75">
      <c r="A291" s="194" t="str">
        <f ca="1">IFERROR(__xludf.DUMMYFUNCTION("""COMPUTED_VALUE"""),"Paraíso")</f>
        <v>Paraíso</v>
      </c>
      <c r="B291" s="194" t="str">
        <f ca="1">IFERROR(__xludf.DUMMYFUNCTION("""COMPUTED_VALUE"""),"Lagoa da Confusao")</f>
        <v>Lagoa da Confusao</v>
      </c>
      <c r="C291" s="195" t="str">
        <f ca="1">IFERROR(__xludf.DUMMYFUNCTION("""COMPUTED_VALUE"""),"ASSOCIAÇÃO DA ESCOLA ESPECIAL LAGOA DA CONFUSÃO")</f>
        <v>ASSOCIAÇÃO DA ESCOLA ESPECIAL LAGOA DA CONFUSÃO</v>
      </c>
      <c r="D291" s="196" t="str">
        <f ca="1">IFERROR(__xludf.DUMMYFUNCTION("""COMPUTED_VALUE"""),"08755554000100")</f>
        <v>08755554000100</v>
      </c>
      <c r="E291" s="197" t="str">
        <f ca="1">IFERROR(__xludf.DUMMYFUNCTION("""COMPUTED_VALUE"""),"001")</f>
        <v>001</v>
      </c>
      <c r="F291" s="197" t="str">
        <f ca="1">IFERROR(__xludf.DUMMYFUNCTION("""COMPUTED_VALUE"""),"3983")</f>
        <v>3983</v>
      </c>
      <c r="G291" s="198" t="str">
        <f ca="1">IFERROR(__xludf.DUMMYFUNCTION("""COMPUTED_VALUE"""),"83712")</f>
        <v>83712</v>
      </c>
      <c r="H291" s="198">
        <f ca="1">IFERROR(__xludf.DUMMYFUNCTION("""COMPUTED_VALUE"""),0)</f>
        <v>0</v>
      </c>
      <c r="I291" s="198">
        <f ca="1">IFERROR(__xludf.DUMMYFUNCTION("""COMPUTED_VALUE"""),42)</f>
        <v>42</v>
      </c>
      <c r="J291" s="198">
        <f ca="1">IFERROR(__xludf.DUMMYFUNCTION("""COMPUTED_VALUE"""),189)</f>
        <v>189</v>
      </c>
      <c r="K291" s="198">
        <f ca="1">IFERROR(__xludf.DUMMYFUNCTION("""COMPUTED_VALUE"""),0)</f>
        <v>0</v>
      </c>
      <c r="L291" s="198">
        <f ca="1">IFERROR(__xludf.DUMMYFUNCTION("""COMPUTED_VALUE"""),0)</f>
        <v>0</v>
      </c>
      <c r="M291" s="198">
        <f ca="1">IFERROR(__xludf.DUMMYFUNCTION("""COMPUTED_VALUE"""),567)</f>
        <v>567</v>
      </c>
      <c r="N291" s="198">
        <f ca="1">IFERROR(__xludf.DUMMYFUNCTION("""COMPUTED_VALUE"""),0)</f>
        <v>0</v>
      </c>
      <c r="O291" s="198">
        <f ca="1">IFERROR(__xludf.DUMMYFUNCTION("""COMPUTED_VALUE"""),315)</f>
        <v>315</v>
      </c>
      <c r="P291" s="198">
        <f t="shared" ca="1" si="1"/>
        <v>1113</v>
      </c>
    </row>
    <row r="292" spans="1:16" ht="12.75">
      <c r="A292" s="199" t="str">
        <f ca="1">IFERROR(__xludf.DUMMYFUNCTION("""COMPUTED_VALUE"""),"Paraíso")</f>
        <v>Paraíso</v>
      </c>
      <c r="B292" s="199" t="str">
        <f ca="1">IFERROR(__xludf.DUMMYFUNCTION("""COMPUTED_VALUE"""),"Marianopolis do Tocantins")</f>
        <v>Marianopolis do Tocantins</v>
      </c>
      <c r="C292" s="145" t="str">
        <f ca="1">IFERROR(__xludf.DUMMYFUNCTION("""COMPUTED_VALUE"""),"A.A. DO COL. EST. DAVID BARBOSA ROLINS")</f>
        <v>A.A. DO COL. EST. DAVID BARBOSA ROLINS</v>
      </c>
      <c r="D292" s="200" t="str">
        <f ca="1">IFERROR(__xludf.DUMMYFUNCTION("""COMPUTED_VALUE"""),"01980050000145")</f>
        <v>01980050000145</v>
      </c>
      <c r="E292" s="201" t="str">
        <f ca="1">IFERROR(__xludf.DUMMYFUNCTION("""COMPUTED_VALUE"""),"001")</f>
        <v>001</v>
      </c>
      <c r="F292" s="201" t="str">
        <f ca="1">IFERROR(__xludf.DUMMYFUNCTION("""COMPUTED_VALUE"""),"0804")</f>
        <v>0804</v>
      </c>
      <c r="G292" s="202" t="str">
        <f ca="1">IFERROR(__xludf.DUMMYFUNCTION("""COMPUTED_VALUE"""),"219045")</f>
        <v>219045</v>
      </c>
      <c r="H292" s="202">
        <f ca="1">IFERROR(__xludf.DUMMYFUNCTION("""COMPUTED_VALUE"""),0)</f>
        <v>0</v>
      </c>
      <c r="I292" s="202">
        <f ca="1">IFERROR(__xludf.DUMMYFUNCTION("""COMPUTED_VALUE"""),0)</f>
        <v>0</v>
      </c>
      <c r="J292" s="202">
        <f ca="1">IFERROR(__xludf.DUMMYFUNCTION("""COMPUTED_VALUE"""),2226)</f>
        <v>2226</v>
      </c>
      <c r="K292" s="202">
        <f ca="1">IFERROR(__xludf.DUMMYFUNCTION("""COMPUTED_VALUE"""),0)</f>
        <v>0</v>
      </c>
      <c r="L292" s="202">
        <f ca="1">IFERROR(__xludf.DUMMYFUNCTION("""COMPUTED_VALUE"""),0)</f>
        <v>0</v>
      </c>
      <c r="M292" s="202">
        <f ca="1">IFERROR(__xludf.DUMMYFUNCTION("""COMPUTED_VALUE"""),0)</f>
        <v>0</v>
      </c>
      <c r="N292" s="202">
        <f ca="1">IFERROR(__xludf.DUMMYFUNCTION("""COMPUTED_VALUE"""),3885)</f>
        <v>3885</v>
      </c>
      <c r="O292" s="202">
        <f ca="1">IFERROR(__xludf.DUMMYFUNCTION("""COMPUTED_VALUE"""),0)</f>
        <v>0</v>
      </c>
      <c r="P292" s="202">
        <f t="shared" ca="1" si="1"/>
        <v>6111</v>
      </c>
    </row>
    <row r="293" spans="1:16" ht="12.75">
      <c r="A293" s="194" t="str">
        <f ca="1">IFERROR(__xludf.DUMMYFUNCTION("""COMPUTED_VALUE"""),"Paraíso")</f>
        <v>Paraíso</v>
      </c>
      <c r="B293" s="194" t="str">
        <f ca="1">IFERROR(__xludf.DUMMYFUNCTION("""COMPUTED_VALUE"""),"Nova Rosalandia")</f>
        <v>Nova Rosalandia</v>
      </c>
      <c r="C293" s="195" t="str">
        <f ca="1">IFERROR(__xludf.DUMMYFUNCTION("""COMPUTED_VALUE"""),"A. ESC. COM. ESC. EST.PEDRO XAVIER TEIXEIRA")</f>
        <v>A. ESC. COM. ESC. EST.PEDRO XAVIER TEIXEIRA</v>
      </c>
      <c r="D293" s="196" t="str">
        <f ca="1">IFERROR(__xludf.DUMMYFUNCTION("""COMPUTED_VALUE"""),"01068367000100")</f>
        <v>01068367000100</v>
      </c>
      <c r="E293" s="197" t="str">
        <f ca="1">IFERROR(__xludf.DUMMYFUNCTION("""COMPUTED_VALUE"""),"001")</f>
        <v>001</v>
      </c>
      <c r="F293" s="197" t="str">
        <f ca="1">IFERROR(__xludf.DUMMYFUNCTION("""COMPUTED_VALUE"""),"0804")</f>
        <v>0804</v>
      </c>
      <c r="G293" s="198" t="str">
        <f ca="1">IFERROR(__xludf.DUMMYFUNCTION("""COMPUTED_VALUE"""),"234265")</f>
        <v>234265</v>
      </c>
      <c r="H293" s="198">
        <f ca="1">IFERROR(__xludf.DUMMYFUNCTION("""COMPUTED_VALUE"""),0)</f>
        <v>0</v>
      </c>
      <c r="I293" s="198">
        <f ca="1">IFERROR(__xludf.DUMMYFUNCTION("""COMPUTED_VALUE"""),0)</f>
        <v>0</v>
      </c>
      <c r="J293" s="198">
        <f ca="1">IFERROR(__xludf.DUMMYFUNCTION("""COMPUTED_VALUE"""),1764)</f>
        <v>1764</v>
      </c>
      <c r="K293" s="198">
        <f ca="1">IFERROR(__xludf.DUMMYFUNCTION("""COMPUTED_VALUE"""),0)</f>
        <v>0</v>
      </c>
      <c r="L293" s="198">
        <f ca="1">IFERROR(__xludf.DUMMYFUNCTION("""COMPUTED_VALUE"""),0)</f>
        <v>0</v>
      </c>
      <c r="M293" s="198">
        <f ca="1">IFERROR(__xludf.DUMMYFUNCTION("""COMPUTED_VALUE"""),0)</f>
        <v>0</v>
      </c>
      <c r="N293" s="198">
        <f ca="1">IFERROR(__xludf.DUMMYFUNCTION("""COMPUTED_VALUE"""),2226)</f>
        <v>2226</v>
      </c>
      <c r="O293" s="198">
        <f ca="1">IFERROR(__xludf.DUMMYFUNCTION("""COMPUTED_VALUE"""),189)</f>
        <v>189</v>
      </c>
      <c r="P293" s="198">
        <f t="shared" ca="1" si="1"/>
        <v>4179</v>
      </c>
    </row>
    <row r="294" spans="1:16" ht="12.75">
      <c r="A294" s="199" t="str">
        <f ca="1">IFERROR(__xludf.DUMMYFUNCTION("""COMPUTED_VALUE"""),"Paraíso")</f>
        <v>Paraíso</v>
      </c>
      <c r="B294" s="199" t="str">
        <f ca="1">IFERROR(__xludf.DUMMYFUNCTION("""COMPUTED_VALUE"""),"Nova Rosalandia")</f>
        <v>Nova Rosalandia</v>
      </c>
      <c r="C294" s="145" t="str">
        <f ca="1">IFERROR(__xludf.DUMMYFUNCTION("""COMPUTED_VALUE"""),"A.A. A ESCOLA ESTADUAL CAMPO MAIOR")</f>
        <v>A.A. A ESCOLA ESTADUAL CAMPO MAIOR</v>
      </c>
      <c r="D294" s="200" t="str">
        <f ca="1">IFERROR(__xludf.DUMMYFUNCTION("""COMPUTED_VALUE"""),"01068373000167")</f>
        <v>01068373000167</v>
      </c>
      <c r="E294" s="201" t="str">
        <f ca="1">IFERROR(__xludf.DUMMYFUNCTION("""COMPUTED_VALUE"""),"001")</f>
        <v>001</v>
      </c>
      <c r="F294" s="201" t="str">
        <f ca="1">IFERROR(__xludf.DUMMYFUNCTION("""COMPUTED_VALUE"""),"0804")</f>
        <v>0804</v>
      </c>
      <c r="G294" s="202" t="str">
        <f ca="1">IFERROR(__xludf.DUMMYFUNCTION("""COMPUTED_VALUE"""),"341290")</f>
        <v>341290</v>
      </c>
      <c r="H294" s="202">
        <f ca="1">IFERROR(__xludf.DUMMYFUNCTION("""COMPUTED_VALUE"""),0)</f>
        <v>0</v>
      </c>
      <c r="I294" s="202">
        <f ca="1">IFERROR(__xludf.DUMMYFUNCTION("""COMPUTED_VALUE"""),0)</f>
        <v>0</v>
      </c>
      <c r="J294" s="202">
        <f ca="1">IFERROR(__xludf.DUMMYFUNCTION("""COMPUTED_VALUE"""),861)</f>
        <v>861</v>
      </c>
      <c r="K294" s="202">
        <f ca="1">IFERROR(__xludf.DUMMYFUNCTION("""COMPUTED_VALUE"""),0)</f>
        <v>0</v>
      </c>
      <c r="L294" s="202">
        <f ca="1">IFERROR(__xludf.DUMMYFUNCTION("""COMPUTED_VALUE"""),0)</f>
        <v>0</v>
      </c>
      <c r="M294" s="202">
        <f ca="1">IFERROR(__xludf.DUMMYFUNCTION("""COMPUTED_VALUE"""),0)</f>
        <v>0</v>
      </c>
      <c r="N294" s="202">
        <f ca="1">IFERROR(__xludf.DUMMYFUNCTION("""COMPUTED_VALUE"""),0)</f>
        <v>0</v>
      </c>
      <c r="O294" s="202">
        <f ca="1">IFERROR(__xludf.DUMMYFUNCTION("""COMPUTED_VALUE"""),0)</f>
        <v>0</v>
      </c>
      <c r="P294" s="202">
        <f t="shared" ca="1" si="1"/>
        <v>861</v>
      </c>
    </row>
    <row r="295" spans="1:16" ht="12.75">
      <c r="A295" s="194" t="str">
        <f ca="1">IFERROR(__xludf.DUMMYFUNCTION("""COMPUTED_VALUE"""),"Paraíso")</f>
        <v>Paraíso</v>
      </c>
      <c r="B295" s="194" t="str">
        <f ca="1">IFERROR(__xludf.DUMMYFUNCTION("""COMPUTED_VALUE"""),"Paraiso do Tocantins")</f>
        <v>Paraiso do Tocantins</v>
      </c>
      <c r="C295" s="195" t="str">
        <f ca="1">IFERROR(__xludf.DUMMYFUNCTION("""COMPUTED_VALUE"""),"A.A. ESC. EST.ISOL.INDIG REG PARAISO DO TO")</f>
        <v>A.A. ESC. EST.ISOL.INDIG REG PARAISO DO TO</v>
      </c>
      <c r="D295" s="196" t="str">
        <f ca="1">IFERROR(__xludf.DUMMYFUNCTION("""COMPUTED_VALUE"""),"05099542000187")</f>
        <v>05099542000187</v>
      </c>
      <c r="E295" s="197" t="str">
        <f ca="1">IFERROR(__xludf.DUMMYFUNCTION("""COMPUTED_VALUE"""),"001")</f>
        <v>001</v>
      </c>
      <c r="F295" s="197" t="str">
        <f ca="1">IFERROR(__xludf.DUMMYFUNCTION("""COMPUTED_VALUE"""),"0804")</f>
        <v>0804</v>
      </c>
      <c r="G295" s="198" t="str">
        <f ca="1">IFERROR(__xludf.DUMMYFUNCTION("""COMPUTED_VALUE"""),"111678")</f>
        <v>111678</v>
      </c>
      <c r="H295" s="198">
        <f ca="1">IFERROR(__xludf.DUMMYFUNCTION("""COMPUTED_VALUE"""),0)</f>
        <v>0</v>
      </c>
      <c r="I295" s="198">
        <f ca="1">IFERROR(__xludf.DUMMYFUNCTION("""COMPUTED_VALUE"""),0)</f>
        <v>0</v>
      </c>
      <c r="J295" s="198">
        <f ca="1">IFERROR(__xludf.DUMMYFUNCTION("""COMPUTED_VALUE"""),0)</f>
        <v>0</v>
      </c>
      <c r="K295" s="198">
        <f ca="1">IFERROR(__xludf.DUMMYFUNCTION("""COMPUTED_VALUE"""),0)</f>
        <v>0</v>
      </c>
      <c r="L295" s="198">
        <f ca="1">IFERROR(__xludf.DUMMYFUNCTION("""COMPUTED_VALUE"""),21441)</f>
        <v>21441</v>
      </c>
      <c r="M295" s="198">
        <f ca="1">IFERROR(__xludf.DUMMYFUNCTION("""COMPUTED_VALUE"""),0)</f>
        <v>0</v>
      </c>
      <c r="N295" s="198">
        <f ca="1">IFERROR(__xludf.DUMMYFUNCTION("""COMPUTED_VALUE"""),0)</f>
        <v>0</v>
      </c>
      <c r="O295" s="198">
        <f ca="1">IFERROR(__xludf.DUMMYFUNCTION("""COMPUTED_VALUE"""),0)</f>
        <v>0</v>
      </c>
      <c r="P295" s="198">
        <f t="shared" ca="1" si="1"/>
        <v>21441</v>
      </c>
    </row>
    <row r="296" spans="1:16" ht="12.75">
      <c r="A296" s="199" t="str">
        <f ca="1">IFERROR(__xludf.DUMMYFUNCTION("""COMPUTED_VALUE"""),"Paraíso")</f>
        <v>Paraíso</v>
      </c>
      <c r="B296" s="199" t="str">
        <f ca="1">IFERROR(__xludf.DUMMYFUNCTION("""COMPUTED_VALUE"""),"Paraiso do Tocantins")</f>
        <v>Paraiso do Tocantins</v>
      </c>
      <c r="C296" s="145" t="str">
        <f ca="1">IFERROR(__xludf.DUMMYFUNCTION("""COMPUTED_VALUE"""),"A.A. COLÉGIO MILITAR DIACONÍZIO BEZERRA DA SILVA")</f>
        <v>A.A. COLÉGIO MILITAR DIACONÍZIO BEZERRA DA SILVA</v>
      </c>
      <c r="D296" s="200" t="str">
        <f ca="1">IFERROR(__xludf.DUMMYFUNCTION("""COMPUTED_VALUE"""),"11675300000197")</f>
        <v>11675300000197</v>
      </c>
      <c r="E296" s="201" t="str">
        <f ca="1">IFERROR(__xludf.DUMMYFUNCTION("""COMPUTED_VALUE"""),"001")</f>
        <v>001</v>
      </c>
      <c r="F296" s="201" t="str">
        <f ca="1">IFERROR(__xludf.DUMMYFUNCTION("""COMPUTED_VALUE"""),"0804")</f>
        <v>0804</v>
      </c>
      <c r="G296" s="202" t="str">
        <f ca="1">IFERROR(__xludf.DUMMYFUNCTION("""COMPUTED_VALUE"""),"320781")</f>
        <v>320781</v>
      </c>
      <c r="H296" s="202">
        <f ca="1">IFERROR(__xludf.DUMMYFUNCTION("""COMPUTED_VALUE"""),0)</f>
        <v>0</v>
      </c>
      <c r="I296" s="202">
        <f ca="1">IFERROR(__xludf.DUMMYFUNCTION("""COMPUTED_VALUE"""),0)</f>
        <v>0</v>
      </c>
      <c r="J296" s="202">
        <f ca="1">IFERROR(__xludf.DUMMYFUNCTION("""COMPUTED_VALUE"""),12600)</f>
        <v>12600</v>
      </c>
      <c r="K296" s="202">
        <f ca="1">IFERROR(__xludf.DUMMYFUNCTION("""COMPUTED_VALUE"""),0)</f>
        <v>0</v>
      </c>
      <c r="L296" s="202">
        <f ca="1">IFERROR(__xludf.DUMMYFUNCTION("""COMPUTED_VALUE"""),0)</f>
        <v>0</v>
      </c>
      <c r="M296" s="202">
        <f ca="1">IFERROR(__xludf.DUMMYFUNCTION("""COMPUTED_VALUE"""),0)</f>
        <v>0</v>
      </c>
      <c r="N296" s="202">
        <f ca="1">IFERROR(__xludf.DUMMYFUNCTION("""COMPUTED_VALUE"""),6615)</f>
        <v>6615</v>
      </c>
      <c r="O296" s="202">
        <f ca="1">IFERROR(__xludf.DUMMYFUNCTION("""COMPUTED_VALUE"""),0)</f>
        <v>0</v>
      </c>
      <c r="P296" s="202">
        <f t="shared" ca="1" si="1"/>
        <v>19215</v>
      </c>
    </row>
    <row r="297" spans="1:16" ht="12.75">
      <c r="A297" s="194" t="str">
        <f ca="1">IFERROR(__xludf.DUMMYFUNCTION("""COMPUTED_VALUE"""),"Paraíso")</f>
        <v>Paraíso</v>
      </c>
      <c r="B297" s="194" t="str">
        <f ca="1">IFERROR(__xludf.DUMMYFUNCTION("""COMPUTED_VALUE"""),"Paraiso do Tocantins")</f>
        <v>Paraiso do Tocantins</v>
      </c>
      <c r="C297" s="195" t="str">
        <f ca="1">IFERROR(__xludf.DUMMYFUNCTION("""COMPUTED_VALUE"""),"ASSOC. APOIO AO CEM JOSE ALVES DE ASSIS")</f>
        <v>ASSOC. APOIO AO CEM JOSE ALVES DE ASSIS</v>
      </c>
      <c r="D297" s="196" t="str">
        <f ca="1">IFERROR(__xludf.DUMMYFUNCTION("""COMPUTED_VALUE"""),"01181169000158")</f>
        <v>01181169000158</v>
      </c>
      <c r="E297" s="197" t="str">
        <f ca="1">IFERROR(__xludf.DUMMYFUNCTION("""COMPUTED_VALUE"""),"001")</f>
        <v>001</v>
      </c>
      <c r="F297" s="197" t="str">
        <f ca="1">IFERROR(__xludf.DUMMYFUNCTION("""COMPUTED_VALUE"""),"0804")</f>
        <v>0804</v>
      </c>
      <c r="G297" s="198" t="str">
        <f ca="1">IFERROR(__xludf.DUMMYFUNCTION("""COMPUTED_VALUE"""),"286257")</f>
        <v>286257</v>
      </c>
      <c r="H297" s="198">
        <f ca="1">IFERROR(__xludf.DUMMYFUNCTION("""COMPUTED_VALUE"""),0)</f>
        <v>0</v>
      </c>
      <c r="I297" s="198">
        <f ca="1">IFERROR(__xludf.DUMMYFUNCTION("""COMPUTED_VALUE"""),0)</f>
        <v>0</v>
      </c>
      <c r="J297" s="198">
        <f ca="1">IFERROR(__xludf.DUMMYFUNCTION("""COMPUTED_VALUE"""),0)</f>
        <v>0</v>
      </c>
      <c r="K297" s="198">
        <f ca="1">IFERROR(__xludf.DUMMYFUNCTION("""COMPUTED_VALUE"""),0)</f>
        <v>0</v>
      </c>
      <c r="L297" s="198">
        <f ca="1">IFERROR(__xludf.DUMMYFUNCTION("""COMPUTED_VALUE"""),0)</f>
        <v>0</v>
      </c>
      <c r="M297" s="198">
        <f ca="1">IFERROR(__xludf.DUMMYFUNCTION("""COMPUTED_VALUE"""),0)</f>
        <v>0</v>
      </c>
      <c r="N297" s="198">
        <f ca="1">IFERROR(__xludf.DUMMYFUNCTION("""COMPUTED_VALUE"""),11361)</f>
        <v>11361</v>
      </c>
      <c r="O297" s="198">
        <f ca="1">IFERROR(__xludf.DUMMYFUNCTION("""COMPUTED_VALUE"""),2604)</f>
        <v>2604</v>
      </c>
      <c r="P297" s="198">
        <f t="shared" ca="1" si="1"/>
        <v>13965</v>
      </c>
    </row>
    <row r="298" spans="1:16" ht="12.75">
      <c r="A298" s="199" t="str">
        <f ca="1">IFERROR(__xludf.DUMMYFUNCTION("""COMPUTED_VALUE"""),"Paraíso")</f>
        <v>Paraíso</v>
      </c>
      <c r="B298" s="199" t="str">
        <f ca="1">IFERROR(__xludf.DUMMYFUNCTION("""COMPUTED_VALUE"""),"Paraiso do Tocantins")</f>
        <v>Paraiso do Tocantins</v>
      </c>
      <c r="C298" s="145" t="str">
        <f ca="1">IFERROR(__xludf.DUMMYFUNCTION("""COMPUTED_VALUE"""),"ASSOC. DE APOIO ESC. EST.IDALINA DE PAULA")</f>
        <v>ASSOC. DE APOIO ESC. EST.IDALINA DE PAULA</v>
      </c>
      <c r="D298" s="200" t="str">
        <f ca="1">IFERROR(__xludf.DUMMYFUNCTION("""COMPUTED_VALUE"""),"01066419000109")</f>
        <v>01066419000109</v>
      </c>
      <c r="E298" s="201" t="str">
        <f ca="1">IFERROR(__xludf.DUMMYFUNCTION("""COMPUTED_VALUE"""),"001")</f>
        <v>001</v>
      </c>
      <c r="F298" s="201" t="str">
        <f ca="1">IFERROR(__xludf.DUMMYFUNCTION("""COMPUTED_VALUE"""),"0804")</f>
        <v>0804</v>
      </c>
      <c r="G298" s="202" t="str">
        <f ca="1">IFERROR(__xludf.DUMMYFUNCTION("""COMPUTED_VALUE"""),"115797")</f>
        <v>115797</v>
      </c>
      <c r="H298" s="202">
        <f ca="1">IFERROR(__xludf.DUMMYFUNCTION("""COMPUTED_VALUE"""),0)</f>
        <v>0</v>
      </c>
      <c r="I298" s="202">
        <f ca="1">IFERROR(__xludf.DUMMYFUNCTION("""COMPUTED_VALUE"""),0)</f>
        <v>0</v>
      </c>
      <c r="J298" s="202">
        <f ca="1">IFERROR(__xludf.DUMMYFUNCTION("""COMPUTED_VALUE"""),7665)</f>
        <v>7665</v>
      </c>
      <c r="K298" s="202">
        <f ca="1">IFERROR(__xludf.DUMMYFUNCTION("""COMPUTED_VALUE"""),0)</f>
        <v>0</v>
      </c>
      <c r="L298" s="202">
        <f ca="1">IFERROR(__xludf.DUMMYFUNCTION("""COMPUTED_VALUE"""),0)</f>
        <v>0</v>
      </c>
      <c r="M298" s="202">
        <f ca="1">IFERROR(__xludf.DUMMYFUNCTION("""COMPUTED_VALUE"""),0)</f>
        <v>0</v>
      </c>
      <c r="N298" s="202">
        <f ca="1">IFERROR(__xludf.DUMMYFUNCTION("""COMPUTED_VALUE"""),5019)</f>
        <v>5019</v>
      </c>
      <c r="O298" s="202">
        <f ca="1">IFERROR(__xludf.DUMMYFUNCTION("""COMPUTED_VALUE"""),126)</f>
        <v>126</v>
      </c>
      <c r="P298" s="202">
        <f t="shared" ca="1" si="1"/>
        <v>12810</v>
      </c>
    </row>
    <row r="299" spans="1:16" ht="12.75">
      <c r="A299" s="194" t="str">
        <f ca="1">IFERROR(__xludf.DUMMYFUNCTION("""COMPUTED_VALUE"""),"Paraíso")</f>
        <v>Paraíso</v>
      </c>
      <c r="B299" s="194" t="str">
        <f ca="1">IFERROR(__xludf.DUMMYFUNCTION("""COMPUTED_VALUE"""),"Paraiso do Tocantins")</f>
        <v>Paraiso do Tocantins</v>
      </c>
      <c r="C299" s="195" t="str">
        <f ca="1">IFERROR(__xludf.DUMMYFUNCTION("""COMPUTED_VALUE"""),"ASS. APOIO ESC. EST.PROF. JOSE NEZIO RAMOS")</f>
        <v>ASS. APOIO ESC. EST.PROF. JOSE NEZIO RAMOS</v>
      </c>
      <c r="D299" s="196" t="str">
        <f ca="1">IFERROR(__xludf.DUMMYFUNCTION("""COMPUTED_VALUE"""),"01233716000100")</f>
        <v>01233716000100</v>
      </c>
      <c r="E299" s="197" t="str">
        <f ca="1">IFERROR(__xludf.DUMMYFUNCTION("""COMPUTED_VALUE"""),"001")</f>
        <v>001</v>
      </c>
      <c r="F299" s="197" t="str">
        <f ca="1">IFERROR(__xludf.DUMMYFUNCTION("""COMPUTED_VALUE"""),"0804")</f>
        <v>0804</v>
      </c>
      <c r="G299" s="198" t="str">
        <f ca="1">IFERROR(__xludf.DUMMYFUNCTION("""COMPUTED_VALUE"""),"0263656")</f>
        <v>0263656</v>
      </c>
      <c r="H299" s="198">
        <f ca="1">IFERROR(__xludf.DUMMYFUNCTION("""COMPUTED_VALUE"""),0)</f>
        <v>0</v>
      </c>
      <c r="I299" s="198">
        <f ca="1">IFERROR(__xludf.DUMMYFUNCTION("""COMPUTED_VALUE"""),0)</f>
        <v>0</v>
      </c>
      <c r="J299" s="198">
        <f ca="1">IFERROR(__xludf.DUMMYFUNCTION("""COMPUTED_VALUE"""),0)</f>
        <v>0</v>
      </c>
      <c r="K299" s="198">
        <f ca="1">IFERROR(__xludf.DUMMYFUNCTION("""COMPUTED_VALUE"""),0)</f>
        <v>0</v>
      </c>
      <c r="L299" s="198">
        <f ca="1">IFERROR(__xludf.DUMMYFUNCTION("""COMPUTED_VALUE"""),0)</f>
        <v>0</v>
      </c>
      <c r="M299" s="198">
        <f ca="1">IFERROR(__xludf.DUMMYFUNCTION("""COMPUTED_VALUE"""),0)</f>
        <v>0</v>
      </c>
      <c r="N299" s="198">
        <f ca="1">IFERROR(__xludf.DUMMYFUNCTION("""COMPUTED_VALUE"""),7959)</f>
        <v>7959</v>
      </c>
      <c r="O299" s="198">
        <f ca="1">IFERROR(__xludf.DUMMYFUNCTION("""COMPUTED_VALUE"""),0)</f>
        <v>0</v>
      </c>
      <c r="P299" s="198">
        <f t="shared" ca="1" si="1"/>
        <v>7959</v>
      </c>
    </row>
    <row r="300" spans="1:16" ht="12.75">
      <c r="A300" s="199" t="str">
        <f ca="1">IFERROR(__xludf.DUMMYFUNCTION("""COMPUTED_VALUE"""),"Paraíso")</f>
        <v>Paraíso</v>
      </c>
      <c r="B300" s="199" t="str">
        <f ca="1">IFERROR(__xludf.DUMMYFUNCTION("""COMPUTED_VALUE"""),"Paraiso do Tocantins")</f>
        <v>Paraiso do Tocantins</v>
      </c>
      <c r="C300" s="145" t="str">
        <f ca="1">IFERROR(__xludf.DUMMYFUNCTION("""COMPUTED_VALUE"""),"AAE. ESPECIAL LUZ DA VIDA")</f>
        <v>AAE. ESPECIAL LUZ DA VIDA</v>
      </c>
      <c r="D300" s="200" t="str">
        <f ca="1">IFERROR(__xludf.DUMMYFUNCTION("""COMPUTED_VALUE"""),"07905330000175")</f>
        <v>07905330000175</v>
      </c>
      <c r="E300" s="201" t="str">
        <f ca="1">IFERROR(__xludf.DUMMYFUNCTION("""COMPUTED_VALUE"""),"001")</f>
        <v>001</v>
      </c>
      <c r="F300" s="201" t="str">
        <f ca="1">IFERROR(__xludf.DUMMYFUNCTION("""COMPUTED_VALUE"""),"0804")</f>
        <v>0804</v>
      </c>
      <c r="G300" s="202" t="str">
        <f ca="1">IFERROR(__xludf.DUMMYFUNCTION("""COMPUTED_VALUE"""),"331724")</f>
        <v>331724</v>
      </c>
      <c r="H300" s="202">
        <f ca="1">IFERROR(__xludf.DUMMYFUNCTION("""COMPUTED_VALUE"""),0)</f>
        <v>0</v>
      </c>
      <c r="I300" s="202">
        <f ca="1">IFERROR(__xludf.DUMMYFUNCTION("""COMPUTED_VALUE"""),273)</f>
        <v>273</v>
      </c>
      <c r="J300" s="202">
        <f ca="1">IFERROR(__xludf.DUMMYFUNCTION("""COMPUTED_VALUE"""),525)</f>
        <v>525</v>
      </c>
      <c r="K300" s="202">
        <f ca="1">IFERROR(__xludf.DUMMYFUNCTION("""COMPUTED_VALUE"""),0)</f>
        <v>0</v>
      </c>
      <c r="L300" s="202">
        <f ca="1">IFERROR(__xludf.DUMMYFUNCTION("""COMPUTED_VALUE"""),0)</f>
        <v>0</v>
      </c>
      <c r="M300" s="202">
        <f ca="1">IFERROR(__xludf.DUMMYFUNCTION("""COMPUTED_VALUE"""),1365)</f>
        <v>1365</v>
      </c>
      <c r="N300" s="202">
        <f ca="1">IFERROR(__xludf.DUMMYFUNCTION("""COMPUTED_VALUE"""),0)</f>
        <v>0</v>
      </c>
      <c r="O300" s="202">
        <f ca="1">IFERROR(__xludf.DUMMYFUNCTION("""COMPUTED_VALUE"""),1386)</f>
        <v>1386</v>
      </c>
      <c r="P300" s="202">
        <f t="shared" ca="1" si="1"/>
        <v>3549</v>
      </c>
    </row>
    <row r="301" spans="1:16" ht="12.75">
      <c r="A301" s="194" t="str">
        <f ca="1">IFERROR(__xludf.DUMMYFUNCTION("""COMPUTED_VALUE"""),"Paraíso")</f>
        <v>Paraíso</v>
      </c>
      <c r="B301" s="194" t="str">
        <f ca="1">IFERROR(__xludf.DUMMYFUNCTION("""COMPUTED_VALUE"""),"Paraiso do Tocantins")</f>
        <v>Paraiso do Tocantins</v>
      </c>
      <c r="C301" s="195" t="str">
        <f ca="1">IFERROR(__xludf.DUMMYFUNCTION("""COMPUTED_VALUE"""),"ASS. DE APOIO ESC. EST. AMANCIO DE MORAES")</f>
        <v>ASS. DE APOIO ESC. EST. AMANCIO DE MORAES</v>
      </c>
      <c r="D301" s="210" t="str">
        <f ca="1">IFERROR(__xludf.DUMMYFUNCTION("""COMPUTED_VALUE"""),"01068375000156")</f>
        <v>01068375000156</v>
      </c>
      <c r="E301" s="197" t="str">
        <f ca="1">IFERROR(__xludf.DUMMYFUNCTION("""COMPUTED_VALUE"""),"104")</f>
        <v>104</v>
      </c>
      <c r="F301" s="197" t="str">
        <f ca="1">IFERROR(__xludf.DUMMYFUNCTION("""COMPUTED_VALUE"""),"1141")</f>
        <v>1141</v>
      </c>
      <c r="G301" s="198" t="str">
        <f ca="1">IFERROR(__xludf.DUMMYFUNCTION("""COMPUTED_VALUE"""),"308140")</f>
        <v>308140</v>
      </c>
      <c r="H301" s="198">
        <f ca="1">IFERROR(__xludf.DUMMYFUNCTION("""COMPUTED_VALUE"""),0)</f>
        <v>0</v>
      </c>
      <c r="I301" s="198">
        <f ca="1">IFERROR(__xludf.DUMMYFUNCTION("""COMPUTED_VALUE"""),0)</f>
        <v>0</v>
      </c>
      <c r="J301" s="198">
        <f ca="1">IFERROR(__xludf.DUMMYFUNCTION("""COMPUTED_VALUE"""),5061)</f>
        <v>5061</v>
      </c>
      <c r="K301" s="198">
        <f ca="1">IFERROR(__xludf.DUMMYFUNCTION("""COMPUTED_VALUE"""),0)</f>
        <v>0</v>
      </c>
      <c r="L301" s="198">
        <f ca="1">IFERROR(__xludf.DUMMYFUNCTION("""COMPUTED_VALUE"""),0)</f>
        <v>0</v>
      </c>
      <c r="M301" s="198">
        <f ca="1">IFERROR(__xludf.DUMMYFUNCTION("""COMPUTED_VALUE"""),315)</f>
        <v>315</v>
      </c>
      <c r="N301" s="198">
        <f ca="1">IFERROR(__xludf.DUMMYFUNCTION("""COMPUTED_VALUE"""),0)</f>
        <v>0</v>
      </c>
      <c r="O301" s="198">
        <f ca="1">IFERROR(__xludf.DUMMYFUNCTION("""COMPUTED_VALUE"""),0)</f>
        <v>0</v>
      </c>
      <c r="P301" s="198">
        <f t="shared" ca="1" si="1"/>
        <v>5376</v>
      </c>
    </row>
    <row r="302" spans="1:16" ht="12.75">
      <c r="A302" s="199" t="str">
        <f ca="1">IFERROR(__xludf.DUMMYFUNCTION("""COMPUTED_VALUE"""),"Paraíso")</f>
        <v>Paraíso</v>
      </c>
      <c r="B302" s="199" t="str">
        <f ca="1">IFERROR(__xludf.DUMMYFUNCTION("""COMPUTED_VALUE"""),"Paraiso do Tocantins")</f>
        <v>Paraiso do Tocantins</v>
      </c>
      <c r="C302" s="145" t="str">
        <f ca="1">IFERROR(__xludf.DUMMYFUNCTION("""COMPUTED_VALUE"""),"A.A. ESCOLA ESTADUAL DEUSA DE MORAES")</f>
        <v>A.A. ESCOLA ESTADUAL DEUSA DE MORAES</v>
      </c>
      <c r="D302" s="200" t="str">
        <f ca="1">IFERROR(__xludf.DUMMYFUNCTION("""COMPUTED_VALUE"""),"01068362000187")</f>
        <v>01068362000187</v>
      </c>
      <c r="E302" s="201" t="str">
        <f ca="1">IFERROR(__xludf.DUMMYFUNCTION("""COMPUTED_VALUE"""),"001")</f>
        <v>001</v>
      </c>
      <c r="F302" s="201" t="str">
        <f ca="1">IFERROR(__xludf.DUMMYFUNCTION("""COMPUTED_VALUE"""),"0804")</f>
        <v>0804</v>
      </c>
      <c r="G302" s="202" t="str">
        <f ca="1">IFERROR(__xludf.DUMMYFUNCTION("""COMPUTED_VALUE"""),"304549")</f>
        <v>304549</v>
      </c>
      <c r="H302" s="202">
        <f ca="1">IFERROR(__xludf.DUMMYFUNCTION("""COMPUTED_VALUE"""),0)</f>
        <v>0</v>
      </c>
      <c r="I302" s="202">
        <f ca="1">IFERROR(__xludf.DUMMYFUNCTION("""COMPUTED_VALUE"""),0)</f>
        <v>0</v>
      </c>
      <c r="J302" s="202">
        <f ca="1">IFERROR(__xludf.DUMMYFUNCTION("""COMPUTED_VALUE"""),8001)</f>
        <v>8001</v>
      </c>
      <c r="K302" s="202">
        <f ca="1">IFERROR(__xludf.DUMMYFUNCTION("""COMPUTED_VALUE"""),0)</f>
        <v>0</v>
      </c>
      <c r="L302" s="202">
        <f ca="1">IFERROR(__xludf.DUMMYFUNCTION("""COMPUTED_VALUE"""),0)</f>
        <v>0</v>
      </c>
      <c r="M302" s="202">
        <f ca="1">IFERROR(__xludf.DUMMYFUNCTION("""COMPUTED_VALUE"""),0)</f>
        <v>0</v>
      </c>
      <c r="N302" s="202">
        <f ca="1">IFERROR(__xludf.DUMMYFUNCTION("""COMPUTED_VALUE"""),0)</f>
        <v>0</v>
      </c>
      <c r="O302" s="202">
        <f ca="1">IFERROR(__xludf.DUMMYFUNCTION("""COMPUTED_VALUE"""),0)</f>
        <v>0</v>
      </c>
      <c r="P302" s="202">
        <f t="shared" ca="1" si="1"/>
        <v>8001</v>
      </c>
    </row>
    <row r="303" spans="1:16" ht="12.75">
      <c r="A303" s="194" t="str">
        <f ca="1">IFERROR(__xludf.DUMMYFUNCTION("""COMPUTED_VALUE"""),"Paraíso")</f>
        <v>Paraíso</v>
      </c>
      <c r="B303" s="194" t="str">
        <f ca="1">IFERROR(__xludf.DUMMYFUNCTION("""COMPUTED_VALUE"""),"Paraiso do Tocantins")</f>
        <v>Paraiso do Tocantins</v>
      </c>
      <c r="C303" s="195" t="str">
        <f ca="1">IFERROR(__xludf.DUMMYFUNCTION("""COMPUTED_VALUE"""),"A. ESC COM. DA ESC EST J.K. DE OLIVEIRA")</f>
        <v>A. ESC COM. DA ESC EST J.K. DE OLIVEIRA</v>
      </c>
      <c r="D303" s="196" t="str">
        <f ca="1">IFERROR(__xludf.DUMMYFUNCTION("""COMPUTED_VALUE"""),"00921537000194")</f>
        <v>00921537000194</v>
      </c>
      <c r="E303" s="197" t="str">
        <f ca="1">IFERROR(__xludf.DUMMYFUNCTION("""COMPUTED_VALUE"""),"001")</f>
        <v>001</v>
      </c>
      <c r="F303" s="197" t="str">
        <f ca="1">IFERROR(__xludf.DUMMYFUNCTION("""COMPUTED_VALUE"""),"0804")</f>
        <v>0804</v>
      </c>
      <c r="G303" s="198" t="str">
        <f ca="1">IFERROR(__xludf.DUMMYFUNCTION("""COMPUTED_VALUE"""),"163821")</f>
        <v>163821</v>
      </c>
      <c r="H303" s="198">
        <f ca="1">IFERROR(__xludf.DUMMYFUNCTION("""COMPUTED_VALUE"""),0)</f>
        <v>0</v>
      </c>
      <c r="I303" s="198">
        <f ca="1">IFERROR(__xludf.DUMMYFUNCTION("""COMPUTED_VALUE"""),0)</f>
        <v>0</v>
      </c>
      <c r="J303" s="198">
        <f ca="1">IFERROR(__xludf.DUMMYFUNCTION("""COMPUTED_VALUE"""),5523)</f>
        <v>5523</v>
      </c>
      <c r="K303" s="198">
        <f ca="1">IFERROR(__xludf.DUMMYFUNCTION("""COMPUTED_VALUE"""),0)</f>
        <v>0</v>
      </c>
      <c r="L303" s="198">
        <f ca="1">IFERROR(__xludf.DUMMYFUNCTION("""COMPUTED_VALUE"""),0)</f>
        <v>0</v>
      </c>
      <c r="M303" s="198">
        <f ca="1">IFERROR(__xludf.DUMMYFUNCTION("""COMPUTED_VALUE"""),0)</f>
        <v>0</v>
      </c>
      <c r="N303" s="198">
        <f ca="1">IFERROR(__xludf.DUMMYFUNCTION("""COMPUTED_VALUE"""),504)</f>
        <v>504</v>
      </c>
      <c r="O303" s="198">
        <f ca="1">IFERROR(__xludf.DUMMYFUNCTION("""COMPUTED_VALUE"""),0)</f>
        <v>0</v>
      </c>
      <c r="P303" s="198">
        <f t="shared" ca="1" si="1"/>
        <v>6027</v>
      </c>
    </row>
    <row r="304" spans="1:16" ht="12.75">
      <c r="A304" s="199" t="str">
        <f ca="1">IFERROR(__xludf.DUMMYFUNCTION("""COMPUTED_VALUE"""),"Paraíso")</f>
        <v>Paraíso</v>
      </c>
      <c r="B304" s="199" t="str">
        <f ca="1">IFERROR(__xludf.DUMMYFUNCTION("""COMPUTED_VALUE"""),"Paraiso do Tocantins")</f>
        <v>Paraiso do Tocantins</v>
      </c>
      <c r="C304" s="145" t="str">
        <f ca="1">IFERROR(__xludf.DUMMYFUNCTION("""COMPUTED_VALUE"""),"A.A.  ESCOLA EST. SAO JOSE OPERARIO")</f>
        <v>A.A.  ESCOLA EST. SAO JOSE OPERARIO</v>
      </c>
      <c r="D304" s="200" t="str">
        <f ca="1">IFERROR(__xludf.DUMMYFUNCTION("""COMPUTED_VALUE"""),"01186454000161")</f>
        <v>01186454000161</v>
      </c>
      <c r="E304" s="201" t="str">
        <f ca="1">IFERROR(__xludf.DUMMYFUNCTION("""COMPUTED_VALUE"""),"001")</f>
        <v>001</v>
      </c>
      <c r="F304" s="201" t="str">
        <f ca="1">IFERROR(__xludf.DUMMYFUNCTION("""COMPUTED_VALUE"""),"0804")</f>
        <v>0804</v>
      </c>
      <c r="G304" s="202" t="str">
        <f ca="1">IFERROR(__xludf.DUMMYFUNCTION("""COMPUTED_VALUE"""),"285986")</f>
        <v>285986</v>
      </c>
      <c r="H304" s="202">
        <f ca="1">IFERROR(__xludf.DUMMYFUNCTION("""COMPUTED_VALUE"""),0)</f>
        <v>0</v>
      </c>
      <c r="I304" s="202">
        <f ca="1">IFERROR(__xludf.DUMMYFUNCTION("""COMPUTED_VALUE"""),0)</f>
        <v>0</v>
      </c>
      <c r="J304" s="202">
        <f ca="1">IFERROR(__xludf.DUMMYFUNCTION("""COMPUTED_VALUE"""),8988)</f>
        <v>8988</v>
      </c>
      <c r="K304" s="202">
        <f ca="1">IFERROR(__xludf.DUMMYFUNCTION("""COMPUTED_VALUE"""),0)</f>
        <v>0</v>
      </c>
      <c r="L304" s="202">
        <f ca="1">IFERROR(__xludf.DUMMYFUNCTION("""COMPUTED_VALUE"""),0)</f>
        <v>0</v>
      </c>
      <c r="M304" s="202">
        <f ca="1">IFERROR(__xludf.DUMMYFUNCTION("""COMPUTED_VALUE"""),0)</f>
        <v>0</v>
      </c>
      <c r="N304" s="202">
        <f ca="1">IFERROR(__xludf.DUMMYFUNCTION("""COMPUTED_VALUE"""),2499)</f>
        <v>2499</v>
      </c>
      <c r="O304" s="202">
        <f ca="1">IFERROR(__xludf.DUMMYFUNCTION("""COMPUTED_VALUE"""),0)</f>
        <v>0</v>
      </c>
      <c r="P304" s="202">
        <f t="shared" ca="1" si="1"/>
        <v>11487</v>
      </c>
    </row>
    <row r="305" spans="1:16" ht="12.75">
      <c r="A305" s="194" t="str">
        <f ca="1">IFERROR(__xludf.DUMMYFUNCTION("""COMPUTED_VALUE"""),"Paraíso")</f>
        <v>Paraíso</v>
      </c>
      <c r="B305" s="194" t="str">
        <f ca="1">IFERROR(__xludf.DUMMYFUNCTION("""COMPUTED_VALUE"""),"Paraiso do Tocantins")</f>
        <v>Paraiso do Tocantins</v>
      </c>
      <c r="C305" s="195" t="str">
        <f ca="1">IFERROR(__xludf.DUMMYFUNCTION("""COMPUTED_VALUE"""),"A.A. DO COL. PRESB. VALE DO TOCANTINS")</f>
        <v>A.A. DO COL. PRESB. VALE DO TOCANTINS</v>
      </c>
      <c r="D305" s="196" t="str">
        <f ca="1">IFERROR(__xludf.DUMMYFUNCTION("""COMPUTED_VALUE"""),"01071426000107")</f>
        <v>01071426000107</v>
      </c>
      <c r="E305" s="197" t="str">
        <f ca="1">IFERROR(__xludf.DUMMYFUNCTION("""COMPUTED_VALUE"""),"001")</f>
        <v>001</v>
      </c>
      <c r="F305" s="197" t="str">
        <f ca="1">IFERROR(__xludf.DUMMYFUNCTION("""COMPUTED_VALUE"""),"0804")</f>
        <v>0804</v>
      </c>
      <c r="G305" s="198" t="str">
        <f ca="1">IFERROR(__xludf.DUMMYFUNCTION("""COMPUTED_VALUE"""),"311618")</f>
        <v>311618</v>
      </c>
      <c r="H305" s="198">
        <f ca="1">IFERROR(__xludf.DUMMYFUNCTION("""COMPUTED_VALUE"""),0)</f>
        <v>0</v>
      </c>
      <c r="I305" s="198">
        <f ca="1">IFERROR(__xludf.DUMMYFUNCTION("""COMPUTED_VALUE"""),0)</f>
        <v>0</v>
      </c>
      <c r="J305" s="198">
        <f ca="1">IFERROR(__xludf.DUMMYFUNCTION("""COMPUTED_VALUE"""),10437)</f>
        <v>10437</v>
      </c>
      <c r="K305" s="198">
        <f ca="1">IFERROR(__xludf.DUMMYFUNCTION("""COMPUTED_VALUE"""),0)</f>
        <v>0</v>
      </c>
      <c r="L305" s="198">
        <f ca="1">IFERROR(__xludf.DUMMYFUNCTION("""COMPUTED_VALUE"""),0)</f>
        <v>0</v>
      </c>
      <c r="M305" s="198">
        <f ca="1">IFERROR(__xludf.DUMMYFUNCTION("""COMPUTED_VALUE"""),0)</f>
        <v>0</v>
      </c>
      <c r="N305" s="198">
        <f ca="1">IFERROR(__xludf.DUMMYFUNCTION("""COMPUTED_VALUE"""),8652)</f>
        <v>8652</v>
      </c>
      <c r="O305" s="198">
        <f ca="1">IFERROR(__xludf.DUMMYFUNCTION("""COMPUTED_VALUE"""),0)</f>
        <v>0</v>
      </c>
      <c r="P305" s="198">
        <f t="shared" ca="1" si="1"/>
        <v>19089</v>
      </c>
    </row>
    <row r="306" spans="1:16" ht="12.75">
      <c r="A306" s="199" t="str">
        <f ca="1">IFERROR(__xludf.DUMMYFUNCTION("""COMPUTED_VALUE"""),"Paraíso")</f>
        <v>Paraíso</v>
      </c>
      <c r="B306" s="199" t="str">
        <f ca="1">IFERROR(__xludf.DUMMYFUNCTION("""COMPUTED_VALUE"""),"Pium")</f>
        <v>Pium</v>
      </c>
      <c r="C306" s="145" t="str">
        <f ca="1">IFERROR(__xludf.DUMMYFUNCTION("""COMPUTED_VALUE"""),"A.A. COLEGIO ESTADUAL BARTOLOMEU BUENO")</f>
        <v>A.A. COLEGIO ESTADUAL BARTOLOMEU BUENO</v>
      </c>
      <c r="D306" s="200" t="str">
        <f ca="1">IFERROR(__xludf.DUMMYFUNCTION("""COMPUTED_VALUE"""),"01071436000134")</f>
        <v>01071436000134</v>
      </c>
      <c r="E306" s="201" t="str">
        <f ca="1">IFERROR(__xludf.DUMMYFUNCTION("""COMPUTED_VALUE"""),"001")</f>
        <v>001</v>
      </c>
      <c r="F306" s="201" t="str">
        <f ca="1">IFERROR(__xludf.DUMMYFUNCTION("""COMPUTED_VALUE"""),"0804")</f>
        <v>0804</v>
      </c>
      <c r="G306" s="202" t="str">
        <f ca="1">IFERROR(__xludf.DUMMYFUNCTION("""COMPUTED_VALUE"""),"286206")</f>
        <v>286206</v>
      </c>
      <c r="H306" s="202">
        <f ca="1">IFERROR(__xludf.DUMMYFUNCTION("""COMPUTED_VALUE"""),0)</f>
        <v>0</v>
      </c>
      <c r="I306" s="202">
        <f ca="1">IFERROR(__xludf.DUMMYFUNCTION("""COMPUTED_VALUE"""),0)</f>
        <v>0</v>
      </c>
      <c r="J306" s="202">
        <f ca="1">IFERROR(__xludf.DUMMYFUNCTION("""COMPUTED_VALUE"""),1239)</f>
        <v>1239</v>
      </c>
      <c r="K306" s="202">
        <f ca="1">IFERROR(__xludf.DUMMYFUNCTION("""COMPUTED_VALUE"""),0)</f>
        <v>0</v>
      </c>
      <c r="L306" s="202">
        <f ca="1">IFERROR(__xludf.DUMMYFUNCTION("""COMPUTED_VALUE"""),0)</f>
        <v>0</v>
      </c>
      <c r="M306" s="202">
        <f ca="1">IFERROR(__xludf.DUMMYFUNCTION("""COMPUTED_VALUE"""),210)</f>
        <v>210</v>
      </c>
      <c r="N306" s="202">
        <f ca="1">IFERROR(__xludf.DUMMYFUNCTION("""COMPUTED_VALUE"""),5544)</f>
        <v>5544</v>
      </c>
      <c r="O306" s="202">
        <f ca="1">IFERROR(__xludf.DUMMYFUNCTION("""COMPUTED_VALUE"""),0)</f>
        <v>0</v>
      </c>
      <c r="P306" s="202">
        <f t="shared" ca="1" si="1"/>
        <v>6993</v>
      </c>
    </row>
    <row r="307" spans="1:16" ht="12.75">
      <c r="A307" s="194" t="str">
        <f ca="1">IFERROR(__xludf.DUMMYFUNCTION("""COMPUTED_VALUE"""),"Paraíso")</f>
        <v>Paraíso</v>
      </c>
      <c r="B307" s="194" t="str">
        <f ca="1">IFERROR(__xludf.DUMMYFUNCTION("""COMPUTED_VALUE"""),"Pugmil")</f>
        <v>Pugmil</v>
      </c>
      <c r="C307" s="195" t="str">
        <f ca="1">IFERROR(__xludf.DUMMYFUNCTION("""COMPUTED_VALUE"""),"A.A. DA ESC. EST. DARCY RIBEIRO")</f>
        <v>A.A. DA ESC. EST. DARCY RIBEIRO</v>
      </c>
      <c r="D307" s="196" t="str">
        <f ca="1">IFERROR(__xludf.DUMMYFUNCTION("""COMPUTED_VALUE"""),"02382845000114")</f>
        <v>02382845000114</v>
      </c>
      <c r="E307" s="197" t="str">
        <f ca="1">IFERROR(__xludf.DUMMYFUNCTION("""COMPUTED_VALUE"""),"001")</f>
        <v>001</v>
      </c>
      <c r="F307" s="197" t="str">
        <f ca="1">IFERROR(__xludf.DUMMYFUNCTION("""COMPUTED_VALUE"""),"0804")</f>
        <v>0804</v>
      </c>
      <c r="G307" s="198" t="str">
        <f ca="1">IFERROR(__xludf.DUMMYFUNCTION("""COMPUTED_VALUE"""),"286648")</f>
        <v>286648</v>
      </c>
      <c r="H307" s="198">
        <f ca="1">IFERROR(__xludf.DUMMYFUNCTION("""COMPUTED_VALUE"""),0)</f>
        <v>0</v>
      </c>
      <c r="I307" s="198">
        <f ca="1">IFERROR(__xludf.DUMMYFUNCTION("""COMPUTED_VALUE"""),0)</f>
        <v>0</v>
      </c>
      <c r="J307" s="198">
        <f ca="1">IFERROR(__xludf.DUMMYFUNCTION("""COMPUTED_VALUE"""),1239)</f>
        <v>1239</v>
      </c>
      <c r="K307" s="198">
        <f ca="1">IFERROR(__xludf.DUMMYFUNCTION("""COMPUTED_VALUE"""),0)</f>
        <v>0</v>
      </c>
      <c r="L307" s="198">
        <f ca="1">IFERROR(__xludf.DUMMYFUNCTION("""COMPUTED_VALUE"""),0)</f>
        <v>0</v>
      </c>
      <c r="M307" s="198">
        <f ca="1">IFERROR(__xludf.DUMMYFUNCTION("""COMPUTED_VALUE"""),0)</f>
        <v>0</v>
      </c>
      <c r="N307" s="198">
        <f ca="1">IFERROR(__xludf.DUMMYFUNCTION("""COMPUTED_VALUE"""),2037)</f>
        <v>2037</v>
      </c>
      <c r="O307" s="198">
        <f ca="1">IFERROR(__xludf.DUMMYFUNCTION("""COMPUTED_VALUE"""),966)</f>
        <v>966</v>
      </c>
      <c r="P307" s="198">
        <f t="shared" ca="1" si="1"/>
        <v>4242</v>
      </c>
    </row>
    <row r="308" spans="1:16" ht="12.75">
      <c r="A308" s="199" t="str">
        <f ca="1">IFERROR(__xludf.DUMMYFUNCTION("""COMPUTED_VALUE"""),"Pedro Afonso")</f>
        <v>Pedro Afonso</v>
      </c>
      <c r="B308" s="199" t="str">
        <f ca="1">IFERROR(__xludf.DUMMYFUNCTION("""COMPUTED_VALUE"""),"Bom Jesus do Tocantins")</f>
        <v>Bom Jesus do Tocantins</v>
      </c>
      <c r="C308" s="145" t="str">
        <f ca="1">IFERROR(__xludf.DUMMYFUNCTION("""COMPUTED_VALUE"""),"ASSOC. DE AP.A ESC. EST. ALFREDO NASSER")</f>
        <v>ASSOC. DE AP.A ESC. EST. ALFREDO NASSER</v>
      </c>
      <c r="D308" s="200" t="str">
        <f ca="1">IFERROR(__xludf.DUMMYFUNCTION("""COMPUTED_VALUE"""),"01138329000186")</f>
        <v>01138329000186</v>
      </c>
      <c r="E308" s="201" t="str">
        <f ca="1">IFERROR(__xludf.DUMMYFUNCTION("""COMPUTED_VALUE"""),"001")</f>
        <v>001</v>
      </c>
      <c r="F308" s="201" t="str">
        <f ca="1">IFERROR(__xludf.DUMMYFUNCTION("""COMPUTED_VALUE"""),"1595")</f>
        <v>1595</v>
      </c>
      <c r="G308" s="202" t="str">
        <f ca="1">IFERROR(__xludf.DUMMYFUNCTION("""COMPUTED_VALUE"""),"59277")</f>
        <v>59277</v>
      </c>
      <c r="H308" s="202">
        <f ca="1">IFERROR(__xludf.DUMMYFUNCTION("""COMPUTED_VALUE"""),0)</f>
        <v>0</v>
      </c>
      <c r="I308" s="202">
        <f ca="1">IFERROR(__xludf.DUMMYFUNCTION("""COMPUTED_VALUE"""),0)</f>
        <v>0</v>
      </c>
      <c r="J308" s="202">
        <f ca="1">IFERROR(__xludf.DUMMYFUNCTION("""COMPUTED_VALUE"""),5460)</f>
        <v>5460</v>
      </c>
      <c r="K308" s="202">
        <f ca="1">IFERROR(__xludf.DUMMYFUNCTION("""COMPUTED_VALUE"""),0)</f>
        <v>0</v>
      </c>
      <c r="L308" s="202">
        <f ca="1">IFERROR(__xludf.DUMMYFUNCTION("""COMPUTED_VALUE"""),0)</f>
        <v>0</v>
      </c>
      <c r="M308" s="202">
        <f ca="1">IFERROR(__xludf.DUMMYFUNCTION("""COMPUTED_VALUE"""),0)</f>
        <v>0</v>
      </c>
      <c r="N308" s="202">
        <f ca="1">IFERROR(__xludf.DUMMYFUNCTION("""COMPUTED_VALUE"""),4200)</f>
        <v>4200</v>
      </c>
      <c r="O308" s="202">
        <f ca="1">IFERROR(__xludf.DUMMYFUNCTION("""COMPUTED_VALUE"""),0)</f>
        <v>0</v>
      </c>
      <c r="P308" s="202">
        <f t="shared" ca="1" si="1"/>
        <v>9660</v>
      </c>
    </row>
    <row r="309" spans="1:16" ht="12.75">
      <c r="A309" s="194" t="str">
        <f ca="1">IFERROR(__xludf.DUMMYFUNCTION("""COMPUTED_VALUE"""),"Pedro Afonso")</f>
        <v>Pedro Afonso</v>
      </c>
      <c r="B309" s="194" t="str">
        <f ca="1">IFERROR(__xludf.DUMMYFUNCTION("""COMPUTED_VALUE"""),"Centenario")</f>
        <v>Centenario</v>
      </c>
      <c r="C309" s="195" t="str">
        <f ca="1">IFERROR(__xludf.DUMMYFUNCTION("""COMPUTED_VALUE"""),"A. ESC. COM. DO COL. EST. OTONIEL C.DE JESUS")</f>
        <v>A. ESC. COM. DO COL. EST. OTONIEL C.DE JESUS</v>
      </c>
      <c r="D309" s="196" t="str">
        <f ca="1">IFERROR(__xludf.DUMMYFUNCTION("""COMPUTED_VALUE"""),"02008180000183")</f>
        <v>02008180000183</v>
      </c>
      <c r="E309" s="197" t="str">
        <f ca="1">IFERROR(__xludf.DUMMYFUNCTION("""COMPUTED_VALUE"""),"001")</f>
        <v>001</v>
      </c>
      <c r="F309" s="197" t="str">
        <f ca="1">IFERROR(__xludf.DUMMYFUNCTION("""COMPUTED_VALUE"""),"1595")</f>
        <v>1595</v>
      </c>
      <c r="G309" s="198" t="str">
        <f ca="1">IFERROR(__xludf.DUMMYFUNCTION("""COMPUTED_VALUE"""),"10081")</f>
        <v>10081</v>
      </c>
      <c r="H309" s="198">
        <f ca="1">IFERROR(__xludf.DUMMYFUNCTION("""COMPUTED_VALUE"""),0)</f>
        <v>0</v>
      </c>
      <c r="I309" s="198">
        <f ca="1">IFERROR(__xludf.DUMMYFUNCTION("""COMPUTED_VALUE"""),0)</f>
        <v>0</v>
      </c>
      <c r="J309" s="198">
        <f ca="1">IFERROR(__xludf.DUMMYFUNCTION("""COMPUTED_VALUE"""),714)</f>
        <v>714</v>
      </c>
      <c r="K309" s="198">
        <f ca="1">IFERROR(__xludf.DUMMYFUNCTION("""COMPUTED_VALUE"""),0)</f>
        <v>0</v>
      </c>
      <c r="L309" s="198">
        <f ca="1">IFERROR(__xludf.DUMMYFUNCTION("""COMPUTED_VALUE"""),0)</f>
        <v>0</v>
      </c>
      <c r="M309" s="198">
        <f ca="1">IFERROR(__xludf.DUMMYFUNCTION("""COMPUTED_VALUE"""),0)</f>
        <v>0</v>
      </c>
      <c r="N309" s="198">
        <f ca="1">IFERROR(__xludf.DUMMYFUNCTION("""COMPUTED_VALUE"""),2331)</f>
        <v>2331</v>
      </c>
      <c r="O309" s="198">
        <f ca="1">IFERROR(__xludf.DUMMYFUNCTION("""COMPUTED_VALUE"""),0)</f>
        <v>0</v>
      </c>
      <c r="P309" s="198">
        <f t="shared" ca="1" si="1"/>
        <v>3045</v>
      </c>
    </row>
    <row r="310" spans="1:16" ht="12.75">
      <c r="A310" s="199" t="str">
        <f ca="1">IFERROR(__xludf.DUMMYFUNCTION("""COMPUTED_VALUE"""),"Pedro Afonso")</f>
        <v>Pedro Afonso</v>
      </c>
      <c r="B310" s="199" t="str">
        <f ca="1">IFERROR(__xludf.DUMMYFUNCTION("""COMPUTED_VALUE"""),"Itacaja")</f>
        <v>Itacaja</v>
      </c>
      <c r="C310" s="145" t="str">
        <f ca="1">IFERROR(__xludf.DUMMYFUNCTION("""COMPUTED_VALUE"""),"A.A. COLEGIO ESTADUAL DE ITACAJA")</f>
        <v>A.A. COLEGIO ESTADUAL DE ITACAJA</v>
      </c>
      <c r="D310" s="200" t="str">
        <f ca="1">IFERROR(__xludf.DUMMYFUNCTION("""COMPUTED_VALUE"""),"01138428000168")</f>
        <v>01138428000168</v>
      </c>
      <c r="E310" s="201" t="str">
        <f ca="1">IFERROR(__xludf.DUMMYFUNCTION("""COMPUTED_VALUE"""),"001")</f>
        <v>001</v>
      </c>
      <c r="F310" s="201" t="str">
        <f ca="1">IFERROR(__xludf.DUMMYFUNCTION("""COMPUTED_VALUE"""),"1595")</f>
        <v>1595</v>
      </c>
      <c r="G310" s="202" t="str">
        <f ca="1">IFERROR(__xludf.DUMMYFUNCTION("""COMPUTED_VALUE"""),"59773")</f>
        <v>59773</v>
      </c>
      <c r="H310" s="202">
        <f ca="1">IFERROR(__xludf.DUMMYFUNCTION("""COMPUTED_VALUE"""),0)</f>
        <v>0</v>
      </c>
      <c r="I310" s="202">
        <f ca="1">IFERROR(__xludf.DUMMYFUNCTION("""COMPUTED_VALUE"""),0)</f>
        <v>0</v>
      </c>
      <c r="J310" s="202">
        <f ca="1">IFERROR(__xludf.DUMMYFUNCTION("""COMPUTED_VALUE"""),6657)</f>
        <v>6657</v>
      </c>
      <c r="K310" s="202">
        <f ca="1">IFERROR(__xludf.DUMMYFUNCTION("""COMPUTED_VALUE"""),0)</f>
        <v>0</v>
      </c>
      <c r="L310" s="202">
        <f ca="1">IFERROR(__xludf.DUMMYFUNCTION("""COMPUTED_VALUE"""),0)</f>
        <v>0</v>
      </c>
      <c r="M310" s="202">
        <f ca="1">IFERROR(__xludf.DUMMYFUNCTION("""COMPUTED_VALUE"""),0)</f>
        <v>0</v>
      </c>
      <c r="N310" s="202">
        <f ca="1">IFERROR(__xludf.DUMMYFUNCTION("""COMPUTED_VALUE"""),4662)</f>
        <v>4662</v>
      </c>
      <c r="O310" s="202">
        <f ca="1">IFERROR(__xludf.DUMMYFUNCTION("""COMPUTED_VALUE"""),0)</f>
        <v>0</v>
      </c>
      <c r="P310" s="202">
        <f t="shared" ca="1" si="1"/>
        <v>11319</v>
      </c>
    </row>
    <row r="311" spans="1:16" ht="12.75">
      <c r="A311" s="194" t="str">
        <f ca="1">IFERROR(__xludf.DUMMYFUNCTION("""COMPUTED_VALUE"""),"Pedro Afonso")</f>
        <v>Pedro Afonso</v>
      </c>
      <c r="B311" s="194" t="str">
        <f ca="1">IFERROR(__xludf.DUMMYFUNCTION("""COMPUTED_VALUE"""),"Itacaja")</f>
        <v>Itacaja</v>
      </c>
      <c r="C311" s="195" t="str">
        <f ca="1">IFERROR(__xludf.DUMMYFUNCTION("""COMPUTED_VALUE"""),"ASSOC. APOIO ESC. EST. ALMEIDA SARDINHA")</f>
        <v>ASSOC. APOIO ESC. EST. ALMEIDA SARDINHA</v>
      </c>
      <c r="D311" s="196" t="str">
        <f ca="1">IFERROR(__xludf.DUMMYFUNCTION("""COMPUTED_VALUE"""),"01138335000133")</f>
        <v>01138335000133</v>
      </c>
      <c r="E311" s="197" t="str">
        <f ca="1">IFERROR(__xludf.DUMMYFUNCTION("""COMPUTED_VALUE"""),"001")</f>
        <v>001</v>
      </c>
      <c r="F311" s="197" t="str">
        <f ca="1">IFERROR(__xludf.DUMMYFUNCTION("""COMPUTED_VALUE"""),"2094")</f>
        <v>2094</v>
      </c>
      <c r="G311" s="198" t="str">
        <f ca="1">IFERROR(__xludf.DUMMYFUNCTION("""COMPUTED_VALUE"""),"466484")</f>
        <v>466484</v>
      </c>
      <c r="H311" s="198">
        <f ca="1">IFERROR(__xludf.DUMMYFUNCTION("""COMPUTED_VALUE"""),0)</f>
        <v>0</v>
      </c>
      <c r="I311" s="198">
        <f ca="1">IFERROR(__xludf.DUMMYFUNCTION("""COMPUTED_VALUE"""),0)</f>
        <v>0</v>
      </c>
      <c r="J311" s="198">
        <f ca="1">IFERROR(__xludf.DUMMYFUNCTION("""COMPUTED_VALUE"""),1932)</f>
        <v>1932</v>
      </c>
      <c r="K311" s="198">
        <f ca="1">IFERROR(__xludf.DUMMYFUNCTION("""COMPUTED_VALUE"""),0)</f>
        <v>0</v>
      </c>
      <c r="L311" s="198">
        <f ca="1">IFERROR(__xludf.DUMMYFUNCTION("""COMPUTED_VALUE"""),0)</f>
        <v>0</v>
      </c>
      <c r="M311" s="198">
        <f ca="1">IFERROR(__xludf.DUMMYFUNCTION("""COMPUTED_VALUE"""),168)</f>
        <v>168</v>
      </c>
      <c r="N311" s="198">
        <f ca="1">IFERROR(__xludf.DUMMYFUNCTION("""COMPUTED_VALUE"""),1239)</f>
        <v>1239</v>
      </c>
      <c r="O311" s="198">
        <f ca="1">IFERROR(__xludf.DUMMYFUNCTION("""COMPUTED_VALUE"""),945)</f>
        <v>945</v>
      </c>
      <c r="P311" s="198">
        <f t="shared" ca="1" si="1"/>
        <v>4284</v>
      </c>
    </row>
    <row r="312" spans="1:16" ht="12.75">
      <c r="A312" s="199" t="str">
        <f ca="1">IFERROR(__xludf.DUMMYFUNCTION("""COMPUTED_VALUE"""),"Pedro Afonso")</f>
        <v>Pedro Afonso</v>
      </c>
      <c r="B312" s="199" t="str">
        <f ca="1">IFERROR(__xludf.DUMMYFUNCTION("""COMPUTED_VALUE"""),"Itacajá")</f>
        <v>Itacajá</v>
      </c>
      <c r="C312" s="145" t="str">
        <f ca="1">IFERROR(__xludf.DUMMYFUNCTION("""COMPUTED_VALUE"""),"A.A. ESCOLAS ESTADUAIS INDIGENAS DE ITACAJA II")</f>
        <v>A.A. ESCOLAS ESTADUAIS INDIGENAS DE ITACAJA II</v>
      </c>
      <c r="D312" s="200" t="str">
        <f ca="1">IFERROR(__xludf.DUMMYFUNCTION("""COMPUTED_VALUE"""),"43551682000133")</f>
        <v>43551682000133</v>
      </c>
      <c r="E312" s="201" t="str">
        <f ca="1">IFERROR(__xludf.DUMMYFUNCTION("""COMPUTED_VALUE"""),"001")</f>
        <v>001</v>
      </c>
      <c r="F312" s="201" t="str">
        <f ca="1">IFERROR(__xludf.DUMMYFUNCTION("""COMPUTED_VALUE"""),"1595")</f>
        <v>1595</v>
      </c>
      <c r="G312" s="202" t="str">
        <f ca="1">IFERROR(__xludf.DUMMYFUNCTION("""COMPUTED_VALUE"""),"327905")</f>
        <v>327905</v>
      </c>
      <c r="H312" s="202">
        <f ca="1">IFERROR(__xludf.DUMMYFUNCTION("""COMPUTED_VALUE"""),0)</f>
        <v>0</v>
      </c>
      <c r="I312" s="202">
        <f ca="1">IFERROR(__xludf.DUMMYFUNCTION("""COMPUTED_VALUE"""),0)</f>
        <v>0</v>
      </c>
      <c r="J312" s="202">
        <f ca="1">IFERROR(__xludf.DUMMYFUNCTION("""COMPUTED_VALUE"""),0)</f>
        <v>0</v>
      </c>
      <c r="K312" s="202">
        <f ca="1">IFERROR(__xludf.DUMMYFUNCTION("""COMPUTED_VALUE"""),0)</f>
        <v>0</v>
      </c>
      <c r="L312" s="202">
        <f ca="1">IFERROR(__xludf.DUMMYFUNCTION("""COMPUTED_VALUE"""),3486)</f>
        <v>3486</v>
      </c>
      <c r="M312" s="202">
        <f ca="1">IFERROR(__xludf.DUMMYFUNCTION("""COMPUTED_VALUE"""),0)</f>
        <v>0</v>
      </c>
      <c r="N312" s="202">
        <f ca="1">IFERROR(__xludf.DUMMYFUNCTION("""COMPUTED_VALUE"""),0)</f>
        <v>0</v>
      </c>
      <c r="O312" s="202">
        <f ca="1">IFERROR(__xludf.DUMMYFUNCTION("""COMPUTED_VALUE"""),0)</f>
        <v>0</v>
      </c>
      <c r="P312" s="202">
        <f t="shared" ca="1" si="1"/>
        <v>3486</v>
      </c>
    </row>
    <row r="313" spans="1:16" ht="12.75">
      <c r="A313" s="194" t="str">
        <f ca="1">IFERROR(__xludf.DUMMYFUNCTION("""COMPUTED_VALUE"""),"Pedro Afonso")</f>
        <v>Pedro Afonso</v>
      </c>
      <c r="B313" s="194" t="str">
        <f ca="1">IFERROR(__xludf.DUMMYFUNCTION("""COMPUTED_VALUE"""),"Pedro Afonso")</f>
        <v>Pedro Afonso</v>
      </c>
      <c r="C313" s="195" t="str">
        <f ca="1">IFERROR(__xludf.DUMMYFUNCTION("""COMPUTED_VALUE"""),"A.A. EC.INDIGENAS")</f>
        <v>A.A. EC.INDIGENAS</v>
      </c>
      <c r="D313" s="196" t="str">
        <f ca="1">IFERROR(__xludf.DUMMYFUNCTION("""COMPUTED_VALUE"""),"06135108000178")</f>
        <v>06135108000178</v>
      </c>
      <c r="E313" s="197" t="str">
        <f ca="1">IFERROR(__xludf.DUMMYFUNCTION("""COMPUTED_VALUE"""),"001")</f>
        <v>001</v>
      </c>
      <c r="F313" s="197" t="str">
        <f ca="1">IFERROR(__xludf.DUMMYFUNCTION("""COMPUTED_VALUE"""),"1595")</f>
        <v>1595</v>
      </c>
      <c r="G313" s="198" t="str">
        <f ca="1">IFERROR(__xludf.DUMMYFUNCTION("""COMPUTED_VALUE"""),"114499")</f>
        <v>114499</v>
      </c>
      <c r="H313" s="198">
        <f ca="1">IFERROR(__xludf.DUMMYFUNCTION("""COMPUTED_VALUE"""),0)</f>
        <v>0</v>
      </c>
      <c r="I313" s="198">
        <f ca="1">IFERROR(__xludf.DUMMYFUNCTION("""COMPUTED_VALUE"""),0)</f>
        <v>0</v>
      </c>
      <c r="J313" s="198">
        <f ca="1">IFERROR(__xludf.DUMMYFUNCTION("""COMPUTED_VALUE"""),0)</f>
        <v>0</v>
      </c>
      <c r="K313" s="198">
        <f ca="1">IFERROR(__xludf.DUMMYFUNCTION("""COMPUTED_VALUE"""),0)</f>
        <v>0</v>
      </c>
      <c r="L313" s="198">
        <f ca="1">IFERROR(__xludf.DUMMYFUNCTION("""COMPUTED_VALUE"""),23247)</f>
        <v>23247</v>
      </c>
      <c r="M313" s="198">
        <f ca="1">IFERROR(__xludf.DUMMYFUNCTION("""COMPUTED_VALUE"""),0)</f>
        <v>0</v>
      </c>
      <c r="N313" s="198">
        <f ca="1">IFERROR(__xludf.DUMMYFUNCTION("""COMPUTED_VALUE"""),0)</f>
        <v>0</v>
      </c>
      <c r="O313" s="198">
        <f ca="1">IFERROR(__xludf.DUMMYFUNCTION("""COMPUTED_VALUE"""),0)</f>
        <v>0</v>
      </c>
      <c r="P313" s="198">
        <f t="shared" ca="1" si="1"/>
        <v>23247</v>
      </c>
    </row>
    <row r="314" spans="1:16" ht="12.75">
      <c r="A314" s="199" t="str">
        <f ca="1">IFERROR(__xludf.DUMMYFUNCTION("""COMPUTED_VALUE"""),"Pedro Afonso")</f>
        <v>Pedro Afonso</v>
      </c>
      <c r="B314" s="199" t="str">
        <f ca="1">IFERROR(__xludf.DUMMYFUNCTION("""COMPUTED_VALUE"""),"Pedro Afonso")</f>
        <v>Pedro Afonso</v>
      </c>
      <c r="C314" s="145" t="str">
        <f ca="1">IFERROR(__xludf.DUMMYFUNCTION("""COMPUTED_VALUE"""),"A.A. E. EST.IS.DA REG.DE ENS.DE GUARAI")</f>
        <v>A.A. E. EST.IS.DA REG.DE ENS.DE GUARAI</v>
      </c>
      <c r="D314" s="200" t="str">
        <f ca="1">IFERROR(__xludf.DUMMYFUNCTION("""COMPUTED_VALUE"""),"02508361000179")</f>
        <v>02508361000179</v>
      </c>
      <c r="E314" s="201" t="str">
        <f ca="1">IFERROR(__xludf.DUMMYFUNCTION("""COMPUTED_VALUE"""),"001")</f>
        <v>001</v>
      </c>
      <c r="F314" s="201" t="str">
        <f ca="1">IFERROR(__xludf.DUMMYFUNCTION("""COMPUTED_VALUE"""),"1595")</f>
        <v>1595</v>
      </c>
      <c r="G314" s="202" t="str">
        <f ca="1">IFERROR(__xludf.DUMMYFUNCTION("""COMPUTED_VALUE"""),"110663")</f>
        <v>110663</v>
      </c>
      <c r="H314" s="202">
        <f ca="1">IFERROR(__xludf.DUMMYFUNCTION("""COMPUTED_VALUE"""),0)</f>
        <v>0</v>
      </c>
      <c r="I314" s="202">
        <f ca="1">IFERROR(__xludf.DUMMYFUNCTION("""COMPUTED_VALUE"""),0)</f>
        <v>0</v>
      </c>
      <c r="J314" s="202">
        <f ca="1">IFERROR(__xludf.DUMMYFUNCTION("""COMPUTED_VALUE"""),1743)</f>
        <v>1743</v>
      </c>
      <c r="K314" s="202">
        <f ca="1">IFERROR(__xludf.DUMMYFUNCTION("""COMPUTED_VALUE"""),0)</f>
        <v>0</v>
      </c>
      <c r="L314" s="202">
        <f ca="1">IFERROR(__xludf.DUMMYFUNCTION("""COMPUTED_VALUE"""),0)</f>
        <v>0</v>
      </c>
      <c r="M314" s="202">
        <f ca="1">IFERROR(__xludf.DUMMYFUNCTION("""COMPUTED_VALUE"""),63)</f>
        <v>63</v>
      </c>
      <c r="N314" s="202">
        <f ca="1">IFERROR(__xludf.DUMMYFUNCTION("""COMPUTED_VALUE"""),735)</f>
        <v>735</v>
      </c>
      <c r="O314" s="202">
        <f ca="1">IFERROR(__xludf.DUMMYFUNCTION("""COMPUTED_VALUE"""),0)</f>
        <v>0</v>
      </c>
      <c r="P314" s="202">
        <f t="shared" ca="1" si="1"/>
        <v>2541</v>
      </c>
    </row>
    <row r="315" spans="1:16" ht="12.75">
      <c r="A315" s="194" t="str">
        <f ca="1">IFERROR(__xludf.DUMMYFUNCTION("""COMPUTED_VALUE"""),"Pedro Afonso")</f>
        <v>Pedro Afonso</v>
      </c>
      <c r="B315" s="194" t="str">
        <f ca="1">IFERROR(__xludf.DUMMYFUNCTION("""COMPUTED_VALUE"""),"Pedro Afonso")</f>
        <v>Pedro Afonso</v>
      </c>
      <c r="C315" s="195" t="str">
        <f ca="1">IFERROR(__xludf.DUMMYFUNCTION("""COMPUTED_VALUE"""),"A.A. ESCOLAR DO COLEGIO EST.CRISTO REI")</f>
        <v>A.A. ESCOLAR DO COLEGIO EST.CRISTO REI</v>
      </c>
      <c r="D315" s="196" t="str">
        <f ca="1">IFERROR(__xludf.DUMMYFUNCTION("""COMPUTED_VALUE"""),"02250658000187")</f>
        <v>02250658000187</v>
      </c>
      <c r="E315" s="197" t="str">
        <f ca="1">IFERROR(__xludf.DUMMYFUNCTION("""COMPUTED_VALUE"""),"001")</f>
        <v>001</v>
      </c>
      <c r="F315" s="197" t="str">
        <f ca="1">IFERROR(__xludf.DUMMYFUNCTION("""COMPUTED_VALUE"""),"1595")</f>
        <v>1595</v>
      </c>
      <c r="G315" s="198" t="str">
        <f ca="1">IFERROR(__xludf.DUMMYFUNCTION("""COMPUTED_VALUE"""),"66141")</f>
        <v>66141</v>
      </c>
      <c r="H315" s="198">
        <f ca="1">IFERROR(__xludf.DUMMYFUNCTION("""COMPUTED_VALUE"""),0)</f>
        <v>0</v>
      </c>
      <c r="I315" s="198">
        <f ca="1">IFERROR(__xludf.DUMMYFUNCTION("""COMPUTED_VALUE"""),0)</f>
        <v>0</v>
      </c>
      <c r="J315" s="198">
        <f ca="1">IFERROR(__xludf.DUMMYFUNCTION("""COMPUTED_VALUE"""),0)</f>
        <v>0</v>
      </c>
      <c r="K315" s="198">
        <f ca="1">IFERROR(__xludf.DUMMYFUNCTION("""COMPUTED_VALUE"""),0)</f>
        <v>0</v>
      </c>
      <c r="L315" s="198">
        <f ca="1">IFERROR(__xludf.DUMMYFUNCTION("""COMPUTED_VALUE"""),0)</f>
        <v>0</v>
      </c>
      <c r="M315" s="198">
        <f ca="1">IFERROR(__xludf.DUMMYFUNCTION("""COMPUTED_VALUE"""),126)</f>
        <v>126</v>
      </c>
      <c r="N315" s="198">
        <f ca="1">IFERROR(__xludf.DUMMYFUNCTION("""COMPUTED_VALUE"""),11319)</f>
        <v>11319</v>
      </c>
      <c r="O315" s="198">
        <f ca="1">IFERROR(__xludf.DUMMYFUNCTION("""COMPUTED_VALUE"""),0)</f>
        <v>0</v>
      </c>
      <c r="P315" s="198">
        <f t="shared" ca="1" si="1"/>
        <v>11445</v>
      </c>
    </row>
    <row r="316" spans="1:16" ht="12.75">
      <c r="A316" s="199" t="str">
        <f ca="1">IFERROR(__xludf.DUMMYFUNCTION("""COMPUTED_VALUE"""),"Pedro Afonso")</f>
        <v>Pedro Afonso</v>
      </c>
      <c r="B316" s="199" t="str">
        <f ca="1">IFERROR(__xludf.DUMMYFUNCTION("""COMPUTED_VALUE"""),"Pedro Afonso")</f>
        <v>Pedro Afonso</v>
      </c>
      <c r="C316" s="145" t="str">
        <f ca="1">IFERROR(__xludf.DUMMYFUNCTION("""COMPUTED_VALUE"""),"ASSOCIAÇÃO DE PAIS E AMIGOS DOS EXCEPCIONAIS DE PEDRO AFONSO")</f>
        <v>ASSOCIAÇÃO DE PAIS E AMIGOS DOS EXCEPCIONAIS DE PEDRO AFONSO</v>
      </c>
      <c r="D316" s="200" t="str">
        <f ca="1">IFERROR(__xludf.DUMMYFUNCTION("""COMPUTED_VALUE"""),"04406588000139")</f>
        <v>04406588000139</v>
      </c>
      <c r="E316" s="201" t="str">
        <f ca="1">IFERROR(__xludf.DUMMYFUNCTION("""COMPUTED_VALUE"""),"001")</f>
        <v>001</v>
      </c>
      <c r="F316" s="201" t="str">
        <f ca="1">IFERROR(__xludf.DUMMYFUNCTION("""COMPUTED_VALUE"""),"1595")</f>
        <v>1595</v>
      </c>
      <c r="G316" s="202" t="str">
        <f ca="1">IFERROR(__xludf.DUMMYFUNCTION("""COMPUTED_VALUE"""),"119105")</f>
        <v>119105</v>
      </c>
      <c r="H316" s="202">
        <f ca="1">IFERROR(__xludf.DUMMYFUNCTION("""COMPUTED_VALUE"""),0)</f>
        <v>0</v>
      </c>
      <c r="I316" s="202">
        <f ca="1">IFERROR(__xludf.DUMMYFUNCTION("""COMPUTED_VALUE"""),0)</f>
        <v>0</v>
      </c>
      <c r="J316" s="202">
        <f ca="1">IFERROR(__xludf.DUMMYFUNCTION("""COMPUTED_VALUE"""),105)</f>
        <v>105</v>
      </c>
      <c r="K316" s="202">
        <f ca="1">IFERROR(__xludf.DUMMYFUNCTION("""COMPUTED_VALUE"""),0)</f>
        <v>0</v>
      </c>
      <c r="L316" s="202">
        <f ca="1">IFERROR(__xludf.DUMMYFUNCTION("""COMPUTED_VALUE"""),0)</f>
        <v>0</v>
      </c>
      <c r="M316" s="202">
        <f ca="1">IFERROR(__xludf.DUMMYFUNCTION("""COMPUTED_VALUE"""),2688)</f>
        <v>2688</v>
      </c>
      <c r="N316" s="202">
        <f ca="1">IFERROR(__xludf.DUMMYFUNCTION("""COMPUTED_VALUE"""),0)</f>
        <v>0</v>
      </c>
      <c r="O316" s="202">
        <f ca="1">IFERROR(__xludf.DUMMYFUNCTION("""COMPUTED_VALUE"""),2583)</f>
        <v>2583</v>
      </c>
      <c r="P316" s="202">
        <f t="shared" ca="1" si="1"/>
        <v>5376</v>
      </c>
    </row>
    <row r="317" spans="1:16" ht="12.75">
      <c r="A317" s="194" t="str">
        <f ca="1">IFERROR(__xludf.DUMMYFUNCTION("""COMPUTED_VALUE"""),"Pedro Afonso")</f>
        <v>Pedro Afonso</v>
      </c>
      <c r="B317" s="194" t="str">
        <f ca="1">IFERROR(__xludf.DUMMYFUNCTION("""COMPUTED_VALUE"""),"Pedro Afonso")</f>
        <v>Pedro Afonso</v>
      </c>
      <c r="C317" s="195" t="str">
        <f ca="1">IFERROR(__xludf.DUMMYFUNCTION("""COMPUTED_VALUE"""),"A. DE PAIS E MEST. DA ESC. EST. ANA AMORIM")</f>
        <v>A. DE PAIS E MEST. DA ESC. EST. ANA AMORIM</v>
      </c>
      <c r="D317" s="196" t="str">
        <f ca="1">IFERROR(__xludf.DUMMYFUNCTION("""COMPUTED_VALUE"""),"01990364000129")</f>
        <v>01990364000129</v>
      </c>
      <c r="E317" s="197" t="str">
        <f ca="1">IFERROR(__xludf.DUMMYFUNCTION("""COMPUTED_VALUE"""),"001")</f>
        <v>001</v>
      </c>
      <c r="F317" s="197" t="str">
        <f ca="1">IFERROR(__xludf.DUMMYFUNCTION("""COMPUTED_VALUE"""),"1595")</f>
        <v>1595</v>
      </c>
      <c r="G317" s="198" t="str">
        <f ca="1">IFERROR(__xludf.DUMMYFUNCTION("""COMPUTED_VALUE"""),"59722")</f>
        <v>59722</v>
      </c>
      <c r="H317" s="198">
        <f ca="1">IFERROR(__xludf.DUMMYFUNCTION("""COMPUTED_VALUE"""),0)</f>
        <v>0</v>
      </c>
      <c r="I317" s="198">
        <f ca="1">IFERROR(__xludf.DUMMYFUNCTION("""COMPUTED_VALUE"""),0)</f>
        <v>0</v>
      </c>
      <c r="J317" s="198">
        <f ca="1">IFERROR(__xludf.DUMMYFUNCTION("""COMPUTED_VALUE"""),10416)</f>
        <v>10416</v>
      </c>
      <c r="K317" s="198">
        <f ca="1">IFERROR(__xludf.DUMMYFUNCTION("""COMPUTED_VALUE"""),0)</f>
        <v>0</v>
      </c>
      <c r="L317" s="198">
        <f ca="1">IFERROR(__xludf.DUMMYFUNCTION("""COMPUTED_VALUE"""),0)</f>
        <v>0</v>
      </c>
      <c r="M317" s="198">
        <f ca="1">IFERROR(__xludf.DUMMYFUNCTION("""COMPUTED_VALUE"""),294)</f>
        <v>294</v>
      </c>
      <c r="N317" s="198">
        <f ca="1">IFERROR(__xludf.DUMMYFUNCTION("""COMPUTED_VALUE"""),0)</f>
        <v>0</v>
      </c>
      <c r="O317" s="198">
        <f ca="1">IFERROR(__xludf.DUMMYFUNCTION("""COMPUTED_VALUE"""),2499)</f>
        <v>2499</v>
      </c>
      <c r="P317" s="198">
        <f t="shared" ca="1" si="1"/>
        <v>13209</v>
      </c>
    </row>
    <row r="318" spans="1:16" ht="12.75">
      <c r="A318" s="199" t="str">
        <f ca="1">IFERROR(__xludf.DUMMYFUNCTION("""COMPUTED_VALUE"""),"Pedro Afonso")</f>
        <v>Pedro Afonso</v>
      </c>
      <c r="B318" s="199" t="str">
        <f ca="1">IFERROR(__xludf.DUMMYFUNCTION("""COMPUTED_VALUE"""),"Pedro Afonso")</f>
        <v>Pedro Afonso</v>
      </c>
      <c r="C318" s="145" t="str">
        <f ca="1">IFERROR(__xludf.DUMMYFUNCTION("""COMPUTED_VALUE"""),"ASS. DE APOIO A ESCOLA ESTADUAL BOM TEMPO")</f>
        <v>ASS. DE APOIO A ESCOLA ESTADUAL BOM TEMPO</v>
      </c>
      <c r="D318" s="200" t="str">
        <f ca="1">IFERROR(__xludf.DUMMYFUNCTION("""COMPUTED_VALUE"""),"44776099000193")</f>
        <v>44776099000193</v>
      </c>
      <c r="E318" s="201" t="str">
        <f ca="1">IFERROR(__xludf.DUMMYFUNCTION("""COMPUTED_VALUE"""),"001")</f>
        <v>001</v>
      </c>
      <c r="F318" s="201" t="str">
        <f ca="1">IFERROR(__xludf.DUMMYFUNCTION("""COMPUTED_VALUE"""),"1595")</f>
        <v>1595</v>
      </c>
      <c r="G318" s="202" t="str">
        <f ca="1">IFERROR(__xludf.DUMMYFUNCTION("""COMPUTED_VALUE"""),"324981")</f>
        <v>324981</v>
      </c>
      <c r="H318" s="202">
        <f ca="1">IFERROR(__xludf.DUMMYFUNCTION("""COMPUTED_VALUE"""),0)</f>
        <v>0</v>
      </c>
      <c r="I318" s="202">
        <f ca="1">IFERROR(__xludf.DUMMYFUNCTION("""COMPUTED_VALUE"""),0)</f>
        <v>0</v>
      </c>
      <c r="J318" s="202">
        <f ca="1">IFERROR(__xludf.DUMMYFUNCTION("""COMPUTED_VALUE"""),861)</f>
        <v>861</v>
      </c>
      <c r="K318" s="202">
        <f ca="1">IFERROR(__xludf.DUMMYFUNCTION("""COMPUTED_VALUE"""),0)</f>
        <v>0</v>
      </c>
      <c r="L318" s="202">
        <f ca="1">IFERROR(__xludf.DUMMYFUNCTION("""COMPUTED_VALUE"""),0)</f>
        <v>0</v>
      </c>
      <c r="M318" s="202">
        <f ca="1">IFERROR(__xludf.DUMMYFUNCTION("""COMPUTED_VALUE"""),0)</f>
        <v>0</v>
      </c>
      <c r="N318" s="202">
        <f ca="1">IFERROR(__xludf.DUMMYFUNCTION("""COMPUTED_VALUE"""),189)</f>
        <v>189</v>
      </c>
      <c r="O318" s="202">
        <f ca="1">IFERROR(__xludf.DUMMYFUNCTION("""COMPUTED_VALUE"""),294)</f>
        <v>294</v>
      </c>
      <c r="P318" s="202">
        <f t="shared" ca="1" si="1"/>
        <v>1344</v>
      </c>
    </row>
    <row r="319" spans="1:16" ht="12.75">
      <c r="A319" s="194" t="str">
        <f ca="1">IFERROR(__xludf.DUMMYFUNCTION("""COMPUTED_VALUE"""),"Pedro Afonso")</f>
        <v>Pedro Afonso</v>
      </c>
      <c r="B319" s="194" t="str">
        <f ca="1">IFERROR(__xludf.DUMMYFUNCTION("""COMPUTED_VALUE"""),"Recursolandia")</f>
        <v>Recursolandia</v>
      </c>
      <c r="C319" s="195" t="str">
        <f ca="1">IFERROR(__xludf.DUMMYFUNCTION("""COMPUTED_VALUE"""),"ASS. DE A. A ESCOLA EST. RECURSO I")</f>
        <v>ASS. DE A. A ESCOLA EST. RECURSO I</v>
      </c>
      <c r="D319" s="196" t="str">
        <f ca="1">IFERROR(__xludf.DUMMYFUNCTION("""COMPUTED_VALUE"""),"02021097000144")</f>
        <v>02021097000144</v>
      </c>
      <c r="E319" s="197" t="str">
        <f ca="1">IFERROR(__xludf.DUMMYFUNCTION("""COMPUTED_VALUE"""),"001")</f>
        <v>001</v>
      </c>
      <c r="F319" s="197" t="str">
        <f ca="1">IFERROR(__xludf.DUMMYFUNCTION("""COMPUTED_VALUE"""),"1595")</f>
        <v>1595</v>
      </c>
      <c r="G319" s="198" t="str">
        <f ca="1">IFERROR(__xludf.DUMMYFUNCTION("""COMPUTED_VALUE"""),"11029")</f>
        <v>11029</v>
      </c>
      <c r="H319" s="198">
        <f ca="1">IFERROR(__xludf.DUMMYFUNCTION("""COMPUTED_VALUE"""),0)</f>
        <v>0</v>
      </c>
      <c r="I319" s="198">
        <f ca="1">IFERROR(__xludf.DUMMYFUNCTION("""COMPUTED_VALUE"""),0)</f>
        <v>0</v>
      </c>
      <c r="J319" s="198">
        <f ca="1">IFERROR(__xludf.DUMMYFUNCTION("""COMPUTED_VALUE"""),2541)</f>
        <v>2541</v>
      </c>
      <c r="K319" s="198">
        <f ca="1">IFERROR(__xludf.DUMMYFUNCTION("""COMPUTED_VALUE"""),0)</f>
        <v>0</v>
      </c>
      <c r="L319" s="198">
        <f ca="1">IFERROR(__xludf.DUMMYFUNCTION("""COMPUTED_VALUE"""),0)</f>
        <v>0</v>
      </c>
      <c r="M319" s="198">
        <f ca="1">IFERROR(__xludf.DUMMYFUNCTION("""COMPUTED_VALUE"""),0)</f>
        <v>0</v>
      </c>
      <c r="N319" s="198">
        <f ca="1">IFERROR(__xludf.DUMMYFUNCTION("""COMPUTED_VALUE"""),4431)</f>
        <v>4431</v>
      </c>
      <c r="O319" s="198">
        <f ca="1">IFERROR(__xludf.DUMMYFUNCTION("""COMPUTED_VALUE"""),0)</f>
        <v>0</v>
      </c>
      <c r="P319" s="198">
        <f t="shared" ca="1" si="1"/>
        <v>6972</v>
      </c>
    </row>
    <row r="320" spans="1:16" ht="12.75">
      <c r="A320" s="199" t="str">
        <f ca="1">IFERROR(__xludf.DUMMYFUNCTION("""COMPUTED_VALUE"""),"Pedro Afonso")</f>
        <v>Pedro Afonso</v>
      </c>
      <c r="B320" s="199" t="str">
        <f ca="1">IFERROR(__xludf.DUMMYFUNCTION("""COMPUTED_VALUE"""),"Santa Maria do Tocantins")</f>
        <v>Santa Maria do Tocantins</v>
      </c>
      <c r="C320" s="145" t="str">
        <f ca="1">IFERROR(__xludf.DUMMYFUNCTION("""COMPUTED_VALUE"""),"A. A.AS ESC.DO COL. EST. SANTA MARIA")</f>
        <v>A. A.AS ESC.DO COL. EST. SANTA MARIA</v>
      </c>
      <c r="D320" s="200" t="str">
        <f ca="1">IFERROR(__xludf.DUMMYFUNCTION("""COMPUTED_VALUE"""),"02087933000193")</f>
        <v>02087933000193</v>
      </c>
      <c r="E320" s="201" t="str">
        <f ca="1">IFERROR(__xludf.DUMMYFUNCTION("""COMPUTED_VALUE"""),"001")</f>
        <v>001</v>
      </c>
      <c r="F320" s="201" t="str">
        <f ca="1">IFERROR(__xludf.DUMMYFUNCTION("""COMPUTED_VALUE"""),"1595")</f>
        <v>1595</v>
      </c>
      <c r="G320" s="202" t="str">
        <f ca="1">IFERROR(__xludf.DUMMYFUNCTION("""COMPUTED_VALUE"""),"83089")</f>
        <v>83089</v>
      </c>
      <c r="H320" s="202">
        <f ca="1">IFERROR(__xludf.DUMMYFUNCTION("""COMPUTED_VALUE"""),0)</f>
        <v>0</v>
      </c>
      <c r="I320" s="202">
        <f ca="1">IFERROR(__xludf.DUMMYFUNCTION("""COMPUTED_VALUE"""),0)</f>
        <v>0</v>
      </c>
      <c r="J320" s="202">
        <f ca="1">IFERROR(__xludf.DUMMYFUNCTION("""COMPUTED_VALUE"""),3045)</f>
        <v>3045</v>
      </c>
      <c r="K320" s="202">
        <f ca="1">IFERROR(__xludf.DUMMYFUNCTION("""COMPUTED_VALUE"""),0)</f>
        <v>0</v>
      </c>
      <c r="L320" s="202">
        <f ca="1">IFERROR(__xludf.DUMMYFUNCTION("""COMPUTED_VALUE"""),0)</f>
        <v>0</v>
      </c>
      <c r="M320" s="202">
        <f ca="1">IFERROR(__xludf.DUMMYFUNCTION("""COMPUTED_VALUE"""),0)</f>
        <v>0</v>
      </c>
      <c r="N320" s="202">
        <f ca="1">IFERROR(__xludf.DUMMYFUNCTION("""COMPUTED_VALUE"""),2646)</f>
        <v>2646</v>
      </c>
      <c r="O320" s="202">
        <f ca="1">IFERROR(__xludf.DUMMYFUNCTION("""COMPUTED_VALUE"""),0)</f>
        <v>0</v>
      </c>
      <c r="P320" s="202">
        <f t="shared" ca="1" si="1"/>
        <v>5691</v>
      </c>
    </row>
    <row r="321" spans="1:16" ht="12.75">
      <c r="A321" s="194" t="str">
        <f ca="1">IFERROR(__xludf.DUMMYFUNCTION("""COMPUTED_VALUE"""),"Pedro Afonso")</f>
        <v>Pedro Afonso</v>
      </c>
      <c r="B321" s="194" t="str">
        <f ca="1">IFERROR(__xludf.DUMMYFUNCTION("""COMPUTED_VALUE"""),"Tupirama")</f>
        <v>Tupirama</v>
      </c>
      <c r="C321" s="195" t="str">
        <f ca="1">IFERROR(__xludf.DUMMYFUNCTION("""COMPUTED_VALUE"""),"A.A. A ESCOLA EST. MARIA DA GLORIA")</f>
        <v>A.A. A ESCOLA EST. MARIA DA GLORIA</v>
      </c>
      <c r="D321" s="196" t="str">
        <f ca="1">IFERROR(__xludf.DUMMYFUNCTION("""COMPUTED_VALUE"""),"02096555000104")</f>
        <v>02096555000104</v>
      </c>
      <c r="E321" s="197" t="str">
        <f ca="1">IFERROR(__xludf.DUMMYFUNCTION("""COMPUTED_VALUE"""),"001")</f>
        <v>001</v>
      </c>
      <c r="F321" s="197" t="str">
        <f ca="1">IFERROR(__xludf.DUMMYFUNCTION("""COMPUTED_VALUE"""),"2094")</f>
        <v>2094</v>
      </c>
      <c r="G321" s="198" t="str">
        <f ca="1">IFERROR(__xludf.DUMMYFUNCTION("""COMPUTED_VALUE"""),"50482")</f>
        <v>50482</v>
      </c>
      <c r="H321" s="198">
        <f ca="1">IFERROR(__xludf.DUMMYFUNCTION("""COMPUTED_VALUE"""),0)</f>
        <v>0</v>
      </c>
      <c r="I321" s="198">
        <f ca="1">IFERROR(__xludf.DUMMYFUNCTION("""COMPUTED_VALUE"""),0)</f>
        <v>0</v>
      </c>
      <c r="J321" s="198">
        <f ca="1">IFERROR(__xludf.DUMMYFUNCTION("""COMPUTED_VALUE"""),0)</f>
        <v>0</v>
      </c>
      <c r="K321" s="198">
        <f ca="1">IFERROR(__xludf.DUMMYFUNCTION("""COMPUTED_VALUE"""),0)</f>
        <v>0</v>
      </c>
      <c r="L321" s="198">
        <f ca="1">IFERROR(__xludf.DUMMYFUNCTION("""COMPUTED_VALUE"""),0)</f>
        <v>0</v>
      </c>
      <c r="M321" s="198">
        <f ca="1">IFERROR(__xludf.DUMMYFUNCTION("""COMPUTED_VALUE"""),0)</f>
        <v>0</v>
      </c>
      <c r="N321" s="198">
        <f ca="1">IFERROR(__xludf.DUMMYFUNCTION("""COMPUTED_VALUE"""),1281)</f>
        <v>1281</v>
      </c>
      <c r="O321" s="198">
        <f ca="1">IFERROR(__xludf.DUMMYFUNCTION("""COMPUTED_VALUE"""),0)</f>
        <v>0</v>
      </c>
      <c r="P321" s="198">
        <f t="shared" ca="1" si="1"/>
        <v>1281</v>
      </c>
    </row>
    <row r="322" spans="1:16" ht="12.75">
      <c r="A322" s="199" t="str">
        <f ca="1">IFERROR(__xludf.DUMMYFUNCTION("""COMPUTED_VALUE"""),"Porto Nacional")</f>
        <v>Porto Nacional</v>
      </c>
      <c r="B322" s="199" t="str">
        <f ca="1">IFERROR(__xludf.DUMMYFUNCTION("""COMPUTED_VALUE"""),"Brejinho de Nazare")</f>
        <v>Brejinho de Nazare</v>
      </c>
      <c r="C322" s="145" t="str">
        <f ca="1">IFERROR(__xludf.DUMMYFUNCTION("""COMPUTED_VALUE"""),"A.A. DO COLEGIO ESTADUAL PADRAO")</f>
        <v>A.A. DO COLEGIO ESTADUAL PADRAO</v>
      </c>
      <c r="D322" s="200" t="str">
        <f ca="1">IFERROR(__xludf.DUMMYFUNCTION("""COMPUTED_VALUE"""),"01181175000105")</f>
        <v>01181175000105</v>
      </c>
      <c r="E322" s="201" t="str">
        <f ca="1">IFERROR(__xludf.DUMMYFUNCTION("""COMPUTED_VALUE"""),"001")</f>
        <v>001</v>
      </c>
      <c r="F322" s="201" t="str">
        <f ca="1">IFERROR(__xludf.DUMMYFUNCTION("""COMPUTED_VALUE"""),"3976")</f>
        <v>3976</v>
      </c>
      <c r="G322" s="202" t="str">
        <f ca="1">IFERROR(__xludf.DUMMYFUNCTION("""COMPUTED_VALUE"""),"51047")</f>
        <v>51047</v>
      </c>
      <c r="H322" s="202">
        <f ca="1">IFERROR(__xludf.DUMMYFUNCTION("""COMPUTED_VALUE"""),0)</f>
        <v>0</v>
      </c>
      <c r="I322" s="202">
        <f ca="1">IFERROR(__xludf.DUMMYFUNCTION("""COMPUTED_VALUE"""),0)</f>
        <v>0</v>
      </c>
      <c r="J322" s="202">
        <f ca="1">IFERROR(__xludf.DUMMYFUNCTION("""COMPUTED_VALUE"""),0)</f>
        <v>0</v>
      </c>
      <c r="K322" s="202">
        <f ca="1">IFERROR(__xludf.DUMMYFUNCTION("""COMPUTED_VALUE"""),0)</f>
        <v>0</v>
      </c>
      <c r="L322" s="202">
        <f ca="1">IFERROR(__xludf.DUMMYFUNCTION("""COMPUTED_VALUE"""),0)</f>
        <v>0</v>
      </c>
      <c r="M322" s="202">
        <f ca="1">IFERROR(__xludf.DUMMYFUNCTION("""COMPUTED_VALUE"""),0)</f>
        <v>0</v>
      </c>
      <c r="N322" s="202">
        <f ca="1">IFERROR(__xludf.DUMMYFUNCTION("""COMPUTED_VALUE"""),0)</f>
        <v>0</v>
      </c>
      <c r="O322" s="202">
        <f ca="1">IFERROR(__xludf.DUMMYFUNCTION("""COMPUTED_VALUE"""),294)</f>
        <v>294</v>
      </c>
      <c r="P322" s="202">
        <f t="shared" ca="1" si="1"/>
        <v>294</v>
      </c>
    </row>
    <row r="323" spans="1:16" ht="12.75">
      <c r="A323" s="194" t="str">
        <f ca="1">IFERROR(__xludf.DUMMYFUNCTION("""COMPUTED_VALUE"""),"Porto Nacional")</f>
        <v>Porto Nacional</v>
      </c>
      <c r="B323" s="194" t="str">
        <f ca="1">IFERROR(__xludf.DUMMYFUNCTION("""COMPUTED_VALUE"""),"Brejinho de Nazare")</f>
        <v>Brejinho de Nazare</v>
      </c>
      <c r="C323" s="195" t="str">
        <f ca="1">IFERROR(__xludf.DUMMYFUNCTION("""COMPUTED_VALUE"""),"AS.DE APOIO A ESC. EST. JONAS PEREIRA LIMA")</f>
        <v>AS.DE APOIO A ESC. EST. JONAS PEREIRA LIMA</v>
      </c>
      <c r="D323" s="196" t="str">
        <f ca="1">IFERROR(__xludf.DUMMYFUNCTION("""COMPUTED_VALUE"""),"01148459000108")</f>
        <v>01148459000108</v>
      </c>
      <c r="E323" s="197" t="str">
        <f ca="1">IFERROR(__xludf.DUMMYFUNCTION("""COMPUTED_VALUE"""),"001")</f>
        <v>001</v>
      </c>
      <c r="F323" s="197" t="str">
        <f ca="1">IFERROR(__xludf.DUMMYFUNCTION("""COMPUTED_VALUE"""),"3976")</f>
        <v>3976</v>
      </c>
      <c r="G323" s="198" t="str">
        <f ca="1">IFERROR(__xludf.DUMMYFUNCTION("""COMPUTED_VALUE"""),"80489")</f>
        <v>80489</v>
      </c>
      <c r="H323" s="198">
        <f ca="1">IFERROR(__xludf.DUMMYFUNCTION("""COMPUTED_VALUE"""),0)</f>
        <v>0</v>
      </c>
      <c r="I323" s="198">
        <f ca="1">IFERROR(__xludf.DUMMYFUNCTION("""COMPUTED_VALUE"""),0)</f>
        <v>0</v>
      </c>
      <c r="J323" s="198">
        <f ca="1">IFERROR(__xludf.DUMMYFUNCTION("""COMPUTED_VALUE"""),0)</f>
        <v>0</v>
      </c>
      <c r="K323" s="198">
        <f ca="1">IFERROR(__xludf.DUMMYFUNCTION("""COMPUTED_VALUE"""),0)</f>
        <v>0</v>
      </c>
      <c r="L323" s="198">
        <f ca="1">IFERROR(__xludf.DUMMYFUNCTION("""COMPUTED_VALUE"""),0)</f>
        <v>0</v>
      </c>
      <c r="M323" s="198">
        <f ca="1">IFERROR(__xludf.DUMMYFUNCTION("""COMPUTED_VALUE"""),273)</f>
        <v>273</v>
      </c>
      <c r="N323" s="198">
        <f ca="1">IFERROR(__xludf.DUMMYFUNCTION("""COMPUTED_VALUE"""),0)</f>
        <v>0</v>
      </c>
      <c r="O323" s="198">
        <f ca="1">IFERROR(__xludf.DUMMYFUNCTION("""COMPUTED_VALUE"""),0)</f>
        <v>0</v>
      </c>
      <c r="P323" s="198">
        <f t="shared" ca="1" si="1"/>
        <v>273</v>
      </c>
    </row>
    <row r="324" spans="1:16" ht="12.75">
      <c r="A324" s="199" t="str">
        <f ca="1">IFERROR(__xludf.DUMMYFUNCTION("""COMPUTED_VALUE"""),"Porto Nacional")</f>
        <v>Porto Nacional</v>
      </c>
      <c r="B324" s="199" t="str">
        <f ca="1">IFERROR(__xludf.DUMMYFUNCTION("""COMPUTED_VALUE"""),"Chapada da Natividade")</f>
        <v>Chapada da Natividade</v>
      </c>
      <c r="C324" s="145" t="str">
        <f ca="1">IFERROR(__xludf.DUMMYFUNCTION("""COMPUTED_VALUE"""),"A. APOIO ESCOLA EST. FULGENCIO NUNES")</f>
        <v>A. APOIO ESCOLA EST. FULGENCIO NUNES</v>
      </c>
      <c r="D324" s="200" t="str">
        <f ca="1">IFERROR(__xludf.DUMMYFUNCTION("""COMPUTED_VALUE"""),"01257085000150")</f>
        <v>01257085000150</v>
      </c>
      <c r="E324" s="201" t="str">
        <f ca="1">IFERROR(__xludf.DUMMYFUNCTION("""COMPUTED_VALUE"""),"003")</f>
        <v>003</v>
      </c>
      <c r="F324" s="201" t="str">
        <f ca="1">IFERROR(__xludf.DUMMYFUNCTION("""COMPUTED_VALUE"""),"0037")</f>
        <v>0037</v>
      </c>
      <c r="G324" s="202" t="str">
        <f ca="1">IFERROR(__xludf.DUMMYFUNCTION("""COMPUTED_VALUE"""),"706153")</f>
        <v>706153</v>
      </c>
      <c r="H324" s="202">
        <f ca="1">IFERROR(__xludf.DUMMYFUNCTION("""COMPUTED_VALUE"""),0)</f>
        <v>0</v>
      </c>
      <c r="I324" s="202">
        <f ca="1">IFERROR(__xludf.DUMMYFUNCTION("""COMPUTED_VALUE"""),0)</f>
        <v>0</v>
      </c>
      <c r="J324" s="202">
        <f ca="1">IFERROR(__xludf.DUMMYFUNCTION("""COMPUTED_VALUE"""),0)</f>
        <v>0</v>
      </c>
      <c r="K324" s="202">
        <f ca="1">IFERROR(__xludf.DUMMYFUNCTION("""COMPUTED_VALUE"""),6741)</f>
        <v>6741</v>
      </c>
      <c r="L324" s="202">
        <f ca="1">IFERROR(__xludf.DUMMYFUNCTION("""COMPUTED_VALUE"""),0)</f>
        <v>0</v>
      </c>
      <c r="M324" s="202">
        <f ca="1">IFERROR(__xludf.DUMMYFUNCTION("""COMPUTED_VALUE"""),0)</f>
        <v>0</v>
      </c>
      <c r="N324" s="202">
        <f ca="1">IFERROR(__xludf.DUMMYFUNCTION("""COMPUTED_VALUE"""),0)</f>
        <v>0</v>
      </c>
      <c r="O324" s="202">
        <f ca="1">IFERROR(__xludf.DUMMYFUNCTION("""COMPUTED_VALUE"""),0)</f>
        <v>0</v>
      </c>
      <c r="P324" s="202">
        <f t="shared" ca="1" si="1"/>
        <v>6741</v>
      </c>
    </row>
    <row r="325" spans="1:16" ht="12.75">
      <c r="A325" s="194" t="str">
        <f ca="1">IFERROR(__xludf.DUMMYFUNCTION("""COMPUTED_VALUE"""),"Porto Nacional")</f>
        <v>Porto Nacional</v>
      </c>
      <c r="B325" s="194" t="str">
        <f ca="1">IFERROR(__xludf.DUMMYFUNCTION("""COMPUTED_VALUE"""),"Fatima")</f>
        <v>Fatima</v>
      </c>
      <c r="C325" s="195" t="str">
        <f ca="1">IFERROR(__xludf.DUMMYFUNCTION("""COMPUTED_VALUE"""),"A.A. ESCOLA ESTADUAL CONCEICAO BRITO")</f>
        <v>A.A. ESCOLA ESTADUAL CONCEICAO BRITO</v>
      </c>
      <c r="D325" s="196" t="str">
        <f ca="1">IFERROR(__xludf.DUMMYFUNCTION("""COMPUTED_VALUE"""),"01268285000109")</f>
        <v>01268285000109</v>
      </c>
      <c r="E325" s="197" t="str">
        <f ca="1">IFERROR(__xludf.DUMMYFUNCTION("""COMPUTED_VALUE"""),"001")</f>
        <v>001</v>
      </c>
      <c r="F325" s="197" t="str">
        <f ca="1">IFERROR(__xludf.DUMMYFUNCTION("""COMPUTED_VALUE"""),"4107")</f>
        <v>4107</v>
      </c>
      <c r="G325" s="198" t="str">
        <f ca="1">IFERROR(__xludf.DUMMYFUNCTION("""COMPUTED_VALUE"""),"50911")</f>
        <v>50911</v>
      </c>
      <c r="H325" s="198">
        <f ca="1">IFERROR(__xludf.DUMMYFUNCTION("""COMPUTED_VALUE"""),0)</f>
        <v>0</v>
      </c>
      <c r="I325" s="198">
        <f ca="1">IFERROR(__xludf.DUMMYFUNCTION("""COMPUTED_VALUE"""),0)</f>
        <v>0</v>
      </c>
      <c r="J325" s="198">
        <f ca="1">IFERROR(__xludf.DUMMYFUNCTION("""COMPUTED_VALUE"""),5754)</f>
        <v>5754</v>
      </c>
      <c r="K325" s="198">
        <f ca="1">IFERROR(__xludf.DUMMYFUNCTION("""COMPUTED_VALUE"""),0)</f>
        <v>0</v>
      </c>
      <c r="L325" s="198">
        <f ca="1">IFERROR(__xludf.DUMMYFUNCTION("""COMPUTED_VALUE"""),0)</f>
        <v>0</v>
      </c>
      <c r="M325" s="198">
        <f ca="1">IFERROR(__xludf.DUMMYFUNCTION("""COMPUTED_VALUE"""),210)</f>
        <v>210</v>
      </c>
      <c r="N325" s="198">
        <f ca="1">IFERROR(__xludf.DUMMYFUNCTION("""COMPUTED_VALUE"""),2898)</f>
        <v>2898</v>
      </c>
      <c r="O325" s="198">
        <f ca="1">IFERROR(__xludf.DUMMYFUNCTION("""COMPUTED_VALUE"""),0)</f>
        <v>0</v>
      </c>
      <c r="P325" s="198">
        <f t="shared" ca="1" si="1"/>
        <v>8862</v>
      </c>
    </row>
    <row r="326" spans="1:16" ht="12.75">
      <c r="A326" s="199" t="str">
        <f ca="1">IFERROR(__xludf.DUMMYFUNCTION("""COMPUTED_VALUE"""),"Porto Nacional")</f>
        <v>Porto Nacional</v>
      </c>
      <c r="B326" s="199" t="str">
        <f ca="1">IFERROR(__xludf.DUMMYFUNCTION("""COMPUTED_VALUE"""),"Fatima")</f>
        <v>Fatima</v>
      </c>
      <c r="C326" s="145" t="str">
        <f ca="1">IFERROR(__xludf.DUMMYFUNCTION("""COMPUTED_VALUE"""),"ASSOC. DE APOIO A ESCOLA ESPECIAL RENASCER")</f>
        <v>ASSOC. DE APOIO A ESCOLA ESPECIAL RENASCER</v>
      </c>
      <c r="D326" s="200" t="str">
        <f ca="1">IFERROR(__xludf.DUMMYFUNCTION("""COMPUTED_VALUE"""),"11726757000183")</f>
        <v>11726757000183</v>
      </c>
      <c r="E326" s="201" t="str">
        <f ca="1">IFERROR(__xludf.DUMMYFUNCTION("""COMPUTED_VALUE"""),"001")</f>
        <v>001</v>
      </c>
      <c r="F326" s="201" t="str">
        <f ca="1">IFERROR(__xludf.DUMMYFUNCTION("""COMPUTED_VALUE"""),"4107")</f>
        <v>4107</v>
      </c>
      <c r="G326" s="202" t="str">
        <f ca="1">IFERROR(__xludf.DUMMYFUNCTION("""COMPUTED_VALUE"""),"7991X")</f>
        <v>7991X</v>
      </c>
      <c r="H326" s="202">
        <f ca="1">IFERROR(__xludf.DUMMYFUNCTION("""COMPUTED_VALUE"""),0)</f>
        <v>0</v>
      </c>
      <c r="I326" s="202">
        <f ca="1">IFERROR(__xludf.DUMMYFUNCTION("""COMPUTED_VALUE"""),0)</f>
        <v>0</v>
      </c>
      <c r="J326" s="202">
        <f ca="1">IFERROR(__xludf.DUMMYFUNCTION("""COMPUTED_VALUE"""),0)</f>
        <v>0</v>
      </c>
      <c r="K326" s="202">
        <f ca="1">IFERROR(__xludf.DUMMYFUNCTION("""COMPUTED_VALUE"""),0)</f>
        <v>0</v>
      </c>
      <c r="L326" s="202">
        <f ca="1">IFERROR(__xludf.DUMMYFUNCTION("""COMPUTED_VALUE"""),0)</f>
        <v>0</v>
      </c>
      <c r="M326" s="202">
        <f ca="1">IFERROR(__xludf.DUMMYFUNCTION("""COMPUTED_VALUE"""),672)</f>
        <v>672</v>
      </c>
      <c r="N326" s="202">
        <f ca="1">IFERROR(__xludf.DUMMYFUNCTION("""COMPUTED_VALUE"""),0)</f>
        <v>0</v>
      </c>
      <c r="O326" s="202">
        <f ca="1">IFERROR(__xludf.DUMMYFUNCTION("""COMPUTED_VALUE"""),672)</f>
        <v>672</v>
      </c>
      <c r="P326" s="202">
        <f t="shared" ca="1" si="1"/>
        <v>1344</v>
      </c>
    </row>
    <row r="327" spans="1:16" ht="12.75">
      <c r="A327" s="194" t="str">
        <f ca="1">IFERROR(__xludf.DUMMYFUNCTION("""COMPUTED_VALUE"""),"Porto Nacional")</f>
        <v>Porto Nacional</v>
      </c>
      <c r="B327" s="194" t="str">
        <f ca="1">IFERROR(__xludf.DUMMYFUNCTION("""COMPUTED_VALUE"""),"Ipueiras")</f>
        <v>Ipueiras</v>
      </c>
      <c r="C327" s="195" t="str">
        <f ca="1">IFERROR(__xludf.DUMMYFUNCTION("""COMPUTED_VALUE"""),"ASSOC. DE APOIO DA ESC. EST. FELIX CAMOA")</f>
        <v>ASSOC. DE APOIO DA ESC. EST. FELIX CAMOA</v>
      </c>
      <c r="D327" s="196" t="str">
        <f ca="1">IFERROR(__xludf.DUMMYFUNCTION("""COMPUTED_VALUE"""),"01469443000199")</f>
        <v>01469443000199</v>
      </c>
      <c r="E327" s="197" t="str">
        <f ca="1">IFERROR(__xludf.DUMMYFUNCTION("""COMPUTED_VALUE"""),"001")</f>
        <v>001</v>
      </c>
      <c r="F327" s="197" t="str">
        <f ca="1">IFERROR(__xludf.DUMMYFUNCTION("""COMPUTED_VALUE"""),"1117")</f>
        <v>1117</v>
      </c>
      <c r="G327" s="198" t="str">
        <f ca="1">IFERROR(__xludf.DUMMYFUNCTION("""COMPUTED_VALUE"""),"315052")</f>
        <v>315052</v>
      </c>
      <c r="H327" s="198">
        <f ca="1">IFERROR(__xludf.DUMMYFUNCTION("""COMPUTED_VALUE"""),0)</f>
        <v>0</v>
      </c>
      <c r="I327" s="198">
        <f ca="1">IFERROR(__xludf.DUMMYFUNCTION("""COMPUTED_VALUE"""),0)</f>
        <v>0</v>
      </c>
      <c r="J327" s="198">
        <f ca="1">IFERROR(__xludf.DUMMYFUNCTION("""COMPUTED_VALUE"""),252)</f>
        <v>252</v>
      </c>
      <c r="K327" s="198">
        <f ca="1">IFERROR(__xludf.DUMMYFUNCTION("""COMPUTED_VALUE"""),0)</f>
        <v>0</v>
      </c>
      <c r="L327" s="198">
        <f ca="1">IFERROR(__xludf.DUMMYFUNCTION("""COMPUTED_VALUE"""),0)</f>
        <v>0</v>
      </c>
      <c r="M327" s="198">
        <f ca="1">IFERROR(__xludf.DUMMYFUNCTION("""COMPUTED_VALUE"""),126)</f>
        <v>126</v>
      </c>
      <c r="N327" s="198">
        <f ca="1">IFERROR(__xludf.DUMMYFUNCTION("""COMPUTED_VALUE"""),1617)</f>
        <v>1617</v>
      </c>
      <c r="O327" s="198">
        <f ca="1">IFERROR(__xludf.DUMMYFUNCTION("""COMPUTED_VALUE"""),336)</f>
        <v>336</v>
      </c>
      <c r="P327" s="198">
        <f t="shared" ca="1" si="1"/>
        <v>2331</v>
      </c>
    </row>
    <row r="328" spans="1:16" ht="12.75">
      <c r="A328" s="199" t="str">
        <f ca="1">IFERROR(__xludf.DUMMYFUNCTION("""COMPUTED_VALUE"""),"Porto Nacional")</f>
        <v>Porto Nacional</v>
      </c>
      <c r="B328" s="199" t="str">
        <f ca="1">IFERROR(__xludf.DUMMYFUNCTION("""COMPUTED_VALUE"""),"Monte do Carmo")</f>
        <v>Monte do Carmo</v>
      </c>
      <c r="C328" s="145" t="str">
        <f ca="1">IFERROR(__xludf.DUMMYFUNCTION("""COMPUTED_VALUE"""),"A.APOIO DA ESCOLA ESTADUAL MESTRA BELA")</f>
        <v>A.APOIO DA ESCOLA ESTADUAL MESTRA BELA</v>
      </c>
      <c r="D328" s="200" t="str">
        <f ca="1">IFERROR(__xludf.DUMMYFUNCTION("""COMPUTED_VALUE"""),"01071442000191")</f>
        <v>01071442000191</v>
      </c>
      <c r="E328" s="201" t="str">
        <f ca="1">IFERROR(__xludf.DUMMYFUNCTION("""COMPUTED_VALUE"""),"001")</f>
        <v>001</v>
      </c>
      <c r="F328" s="201" t="str">
        <f ca="1">IFERROR(__xludf.DUMMYFUNCTION("""COMPUTED_VALUE"""),"1117")</f>
        <v>1117</v>
      </c>
      <c r="G328" s="202" t="str">
        <f ca="1">IFERROR(__xludf.DUMMYFUNCTION("""COMPUTED_VALUE"""),"31286X")</f>
        <v>31286X</v>
      </c>
      <c r="H328" s="202">
        <f ca="1">IFERROR(__xludf.DUMMYFUNCTION("""COMPUTED_VALUE"""),0)</f>
        <v>0</v>
      </c>
      <c r="I328" s="202">
        <f ca="1">IFERROR(__xludf.DUMMYFUNCTION("""COMPUTED_VALUE"""),0)</f>
        <v>0</v>
      </c>
      <c r="J328" s="202">
        <f ca="1">IFERROR(__xludf.DUMMYFUNCTION("""COMPUTED_VALUE"""),0)</f>
        <v>0</v>
      </c>
      <c r="K328" s="202">
        <f ca="1">IFERROR(__xludf.DUMMYFUNCTION("""COMPUTED_VALUE"""),0)</f>
        <v>0</v>
      </c>
      <c r="L328" s="202">
        <f ca="1">IFERROR(__xludf.DUMMYFUNCTION("""COMPUTED_VALUE"""),0)</f>
        <v>0</v>
      </c>
      <c r="M328" s="202">
        <f ca="1">IFERROR(__xludf.DUMMYFUNCTION("""COMPUTED_VALUE"""),147)</f>
        <v>147</v>
      </c>
      <c r="N328" s="202">
        <f ca="1">IFERROR(__xludf.DUMMYFUNCTION("""COMPUTED_VALUE"""),0)</f>
        <v>0</v>
      </c>
      <c r="O328" s="202">
        <f ca="1">IFERROR(__xludf.DUMMYFUNCTION("""COMPUTED_VALUE"""),0)</f>
        <v>0</v>
      </c>
      <c r="P328" s="202">
        <f t="shared" ca="1" si="1"/>
        <v>147</v>
      </c>
    </row>
    <row r="329" spans="1:16" ht="12.75">
      <c r="A329" s="194" t="str">
        <f ca="1">IFERROR(__xludf.DUMMYFUNCTION("""COMPUTED_VALUE"""),"Porto Nacional")</f>
        <v>Porto Nacional</v>
      </c>
      <c r="B329" s="194" t="str">
        <f ca="1">IFERROR(__xludf.DUMMYFUNCTION("""COMPUTED_VALUE"""),"Monte do Carmo")</f>
        <v>Monte do Carmo</v>
      </c>
      <c r="C329" s="195" t="str">
        <f ca="1">IFERROR(__xludf.DUMMYFUNCTION("""COMPUTED_VALUE"""),"ASSOC. APOIA A ESC. EST. PROF.DINA DE OLIVEIRA AMORIM")</f>
        <v>ASSOC. APOIA A ESC. EST. PROF.DINA DE OLIVEIRA AMORIM</v>
      </c>
      <c r="D329" s="196" t="str">
        <f ca="1">IFERROR(__xludf.DUMMYFUNCTION("""COMPUTED_VALUE"""),"16437349000125")</f>
        <v>16437349000125</v>
      </c>
      <c r="E329" s="197" t="str">
        <f ca="1">IFERROR(__xludf.DUMMYFUNCTION("""COMPUTED_VALUE"""),"001")</f>
        <v>001</v>
      </c>
      <c r="F329" s="197" t="str">
        <f ca="1">IFERROR(__xludf.DUMMYFUNCTION("""COMPUTED_VALUE"""),"1117")</f>
        <v>1117</v>
      </c>
      <c r="G329" s="198" t="str">
        <f ca="1">IFERROR(__xludf.DUMMYFUNCTION("""COMPUTED_VALUE"""),"339113")</f>
        <v>339113</v>
      </c>
      <c r="H329" s="198">
        <f ca="1">IFERROR(__xludf.DUMMYFUNCTION("""COMPUTED_VALUE"""),0)</f>
        <v>0</v>
      </c>
      <c r="I329" s="198">
        <f ca="1">IFERROR(__xludf.DUMMYFUNCTION("""COMPUTED_VALUE"""),0)</f>
        <v>0</v>
      </c>
      <c r="J329" s="198">
        <f ca="1">IFERROR(__xludf.DUMMYFUNCTION("""COMPUTED_VALUE"""),1743)</f>
        <v>1743</v>
      </c>
      <c r="K329" s="198">
        <f ca="1">IFERROR(__xludf.DUMMYFUNCTION("""COMPUTED_VALUE"""),0)</f>
        <v>0</v>
      </c>
      <c r="L329" s="198">
        <f ca="1">IFERROR(__xludf.DUMMYFUNCTION("""COMPUTED_VALUE"""),0)</f>
        <v>0</v>
      </c>
      <c r="M329" s="198">
        <f ca="1">IFERROR(__xludf.DUMMYFUNCTION("""COMPUTED_VALUE"""),0)</f>
        <v>0</v>
      </c>
      <c r="N329" s="198">
        <f ca="1">IFERROR(__xludf.DUMMYFUNCTION("""COMPUTED_VALUE"""),0)</f>
        <v>0</v>
      </c>
      <c r="O329" s="198">
        <f ca="1">IFERROR(__xludf.DUMMYFUNCTION("""COMPUTED_VALUE"""),0)</f>
        <v>0</v>
      </c>
      <c r="P329" s="198">
        <f t="shared" ca="1" si="1"/>
        <v>1743</v>
      </c>
    </row>
    <row r="330" spans="1:16" ht="12.75">
      <c r="A330" s="199" t="str">
        <f ca="1">IFERROR(__xludf.DUMMYFUNCTION("""COMPUTED_VALUE"""),"Porto Nacional")</f>
        <v>Porto Nacional</v>
      </c>
      <c r="B330" s="199" t="str">
        <f ca="1">IFERROR(__xludf.DUMMYFUNCTION("""COMPUTED_VALUE"""),"Natividade")</f>
        <v>Natividade</v>
      </c>
      <c r="C330" s="145" t="str">
        <f ca="1">IFERROR(__xludf.DUMMYFUNCTION("""COMPUTED_VALUE"""),"ASSOC. DE APOIO A ESC. ESPECIAL TIA CORACI DE SENA FERNANDES")</f>
        <v>ASSOC. DE APOIO A ESC. ESPECIAL TIA CORACI DE SENA FERNANDES</v>
      </c>
      <c r="D330" s="200" t="str">
        <f ca="1">IFERROR(__xludf.DUMMYFUNCTION("""COMPUTED_VALUE"""),"17163914000176")</f>
        <v>17163914000176</v>
      </c>
      <c r="E330" s="201" t="str">
        <f ca="1">IFERROR(__xludf.DUMMYFUNCTION("""COMPUTED_VALUE"""),"001")</f>
        <v>001</v>
      </c>
      <c r="F330" s="201" t="str">
        <f ca="1">IFERROR(__xludf.DUMMYFUNCTION("""COMPUTED_VALUE"""),"2334")</f>
        <v>2334</v>
      </c>
      <c r="G330" s="202" t="str">
        <f ca="1">IFERROR(__xludf.DUMMYFUNCTION("""COMPUTED_VALUE"""),"19860")</f>
        <v>19860</v>
      </c>
      <c r="H330" s="202">
        <f ca="1">IFERROR(__xludf.DUMMYFUNCTION("""COMPUTED_VALUE"""),0)</f>
        <v>0</v>
      </c>
      <c r="I330" s="202">
        <f ca="1">IFERROR(__xludf.DUMMYFUNCTION("""COMPUTED_VALUE"""),0)</f>
        <v>0</v>
      </c>
      <c r="J330" s="202">
        <f ca="1">IFERROR(__xludf.DUMMYFUNCTION("""COMPUTED_VALUE"""),147)</f>
        <v>147</v>
      </c>
      <c r="K330" s="202">
        <f ca="1">IFERROR(__xludf.DUMMYFUNCTION("""COMPUTED_VALUE"""),0)</f>
        <v>0</v>
      </c>
      <c r="L330" s="202">
        <f ca="1">IFERROR(__xludf.DUMMYFUNCTION("""COMPUTED_VALUE"""),0)</f>
        <v>0</v>
      </c>
      <c r="M330" s="202">
        <f ca="1">IFERROR(__xludf.DUMMYFUNCTION("""COMPUTED_VALUE"""),1029)</f>
        <v>1029</v>
      </c>
      <c r="N330" s="202">
        <f ca="1">IFERROR(__xludf.DUMMYFUNCTION("""COMPUTED_VALUE"""),0)</f>
        <v>0</v>
      </c>
      <c r="O330" s="202">
        <f ca="1">IFERROR(__xludf.DUMMYFUNCTION("""COMPUTED_VALUE"""),945)</f>
        <v>945</v>
      </c>
      <c r="P330" s="202">
        <f t="shared" ca="1" si="1"/>
        <v>2121</v>
      </c>
    </row>
    <row r="331" spans="1:16" ht="12.75">
      <c r="A331" s="194" t="str">
        <f ca="1">IFERROR(__xludf.DUMMYFUNCTION("""COMPUTED_VALUE"""),"Porto Nacional")</f>
        <v>Porto Nacional</v>
      </c>
      <c r="B331" s="194" t="str">
        <f ca="1">IFERROR(__xludf.DUMMYFUNCTION("""COMPUTED_VALUE"""),"Natividade")</f>
        <v>Natividade</v>
      </c>
      <c r="C331" s="195" t="str">
        <f ca="1">IFERROR(__xludf.DUMMYFUNCTION("""COMPUTED_VALUE"""),"ASS. APOIO ESC. EST. JOAQUIM LINO SUARTE")</f>
        <v>ASS. APOIO ESC. EST. JOAQUIM LINO SUARTE</v>
      </c>
      <c r="D331" s="196" t="str">
        <f ca="1">IFERROR(__xludf.DUMMYFUNCTION("""COMPUTED_VALUE"""),"01133708000183")</f>
        <v>01133708000183</v>
      </c>
      <c r="E331" s="197" t="str">
        <f ca="1">IFERROR(__xludf.DUMMYFUNCTION("""COMPUTED_VALUE"""),"003")</f>
        <v>003</v>
      </c>
      <c r="F331" s="197" t="str">
        <f ca="1">IFERROR(__xludf.DUMMYFUNCTION("""COMPUTED_VALUE"""),"0037")</f>
        <v>0037</v>
      </c>
      <c r="G331" s="198" t="str">
        <f ca="1">IFERROR(__xludf.DUMMYFUNCTION("""COMPUTED_VALUE"""),"0702670")</f>
        <v>0702670</v>
      </c>
      <c r="H331" s="198">
        <f ca="1">IFERROR(__xludf.DUMMYFUNCTION("""COMPUTED_VALUE"""),0)</f>
        <v>0</v>
      </c>
      <c r="I331" s="198">
        <f ca="1">IFERROR(__xludf.DUMMYFUNCTION("""COMPUTED_VALUE"""),0)</f>
        <v>0</v>
      </c>
      <c r="J331" s="198">
        <f ca="1">IFERROR(__xludf.DUMMYFUNCTION("""COMPUTED_VALUE"""),3549)</f>
        <v>3549</v>
      </c>
      <c r="K331" s="198">
        <f ca="1">IFERROR(__xludf.DUMMYFUNCTION("""COMPUTED_VALUE"""),0)</f>
        <v>0</v>
      </c>
      <c r="L331" s="198">
        <f ca="1">IFERROR(__xludf.DUMMYFUNCTION("""COMPUTED_VALUE"""),0)</f>
        <v>0</v>
      </c>
      <c r="M331" s="198">
        <f ca="1">IFERROR(__xludf.DUMMYFUNCTION("""COMPUTED_VALUE"""),252)</f>
        <v>252</v>
      </c>
      <c r="N331" s="198">
        <f ca="1">IFERROR(__xludf.DUMMYFUNCTION("""COMPUTED_VALUE"""),1008)</f>
        <v>1008</v>
      </c>
      <c r="O331" s="198">
        <f ca="1">IFERROR(__xludf.DUMMYFUNCTION("""COMPUTED_VALUE"""),0)</f>
        <v>0</v>
      </c>
      <c r="P331" s="198">
        <f t="shared" ca="1" si="1"/>
        <v>4809</v>
      </c>
    </row>
    <row r="332" spans="1:16" ht="12.75">
      <c r="A332" s="199" t="str">
        <f ca="1">IFERROR(__xludf.DUMMYFUNCTION("""COMPUTED_VALUE"""),"Porto Nacional")</f>
        <v>Porto Nacional</v>
      </c>
      <c r="B332" s="199" t="str">
        <f ca="1">IFERROR(__xludf.DUMMYFUNCTION("""COMPUTED_VALUE"""),"Natividade")</f>
        <v>Natividade</v>
      </c>
      <c r="C332" s="145" t="str">
        <f ca="1">IFERROR(__xludf.DUMMYFUNCTION("""COMPUTED_VALUE"""),"A.A. E. EST.NOSSA SENHORA DE FATIMA")</f>
        <v>A.A. E. EST.NOSSA SENHORA DE FATIMA</v>
      </c>
      <c r="D332" s="200" t="str">
        <f ca="1">IFERROR(__xludf.DUMMYFUNCTION("""COMPUTED_VALUE"""),"01064860000151")</f>
        <v>01064860000151</v>
      </c>
      <c r="E332" s="201" t="str">
        <f ca="1">IFERROR(__xludf.DUMMYFUNCTION("""COMPUTED_VALUE"""),"003")</f>
        <v>003</v>
      </c>
      <c r="F332" s="201" t="str">
        <f ca="1">IFERROR(__xludf.DUMMYFUNCTION("""COMPUTED_VALUE"""),"0037")</f>
        <v>0037</v>
      </c>
      <c r="G332" s="202" t="str">
        <f ca="1">IFERROR(__xludf.DUMMYFUNCTION("""COMPUTED_VALUE"""),"0702646")</f>
        <v>0702646</v>
      </c>
      <c r="H332" s="202">
        <f ca="1">IFERROR(__xludf.DUMMYFUNCTION("""COMPUTED_VALUE"""),0)</f>
        <v>0</v>
      </c>
      <c r="I332" s="202">
        <f ca="1">IFERROR(__xludf.DUMMYFUNCTION("""COMPUTED_VALUE"""),0)</f>
        <v>0</v>
      </c>
      <c r="J332" s="202">
        <f ca="1">IFERROR(__xludf.DUMMYFUNCTION("""COMPUTED_VALUE"""),6384)</f>
        <v>6384</v>
      </c>
      <c r="K332" s="202">
        <f ca="1">IFERROR(__xludf.DUMMYFUNCTION("""COMPUTED_VALUE"""),0)</f>
        <v>0</v>
      </c>
      <c r="L332" s="202">
        <f ca="1">IFERROR(__xludf.DUMMYFUNCTION("""COMPUTED_VALUE"""),0)</f>
        <v>0</v>
      </c>
      <c r="M332" s="202">
        <f ca="1">IFERROR(__xludf.DUMMYFUNCTION("""COMPUTED_VALUE"""),210)</f>
        <v>210</v>
      </c>
      <c r="N332" s="202">
        <f ca="1">IFERROR(__xludf.DUMMYFUNCTION("""COMPUTED_VALUE"""),0)</f>
        <v>0</v>
      </c>
      <c r="O332" s="202">
        <f ca="1">IFERROR(__xludf.DUMMYFUNCTION("""COMPUTED_VALUE"""),294)</f>
        <v>294</v>
      </c>
      <c r="P332" s="202">
        <f t="shared" ca="1" si="1"/>
        <v>6888</v>
      </c>
    </row>
    <row r="333" spans="1:16" ht="12.75">
      <c r="A333" s="194" t="str">
        <f ca="1">IFERROR(__xludf.DUMMYFUNCTION("""COMPUTED_VALUE"""),"Porto Nacional")</f>
        <v>Porto Nacional</v>
      </c>
      <c r="B333" s="194" t="str">
        <f ca="1">IFERROR(__xludf.DUMMYFUNCTION("""COMPUTED_VALUE"""),"Oliveira de Fatima")</f>
        <v>Oliveira de Fatima</v>
      </c>
      <c r="C333" s="195" t="str">
        <f ca="1">IFERROR(__xludf.DUMMYFUNCTION("""COMPUTED_VALUE"""),"ASS. DE APOIO DA ESC. EST.RIACHUELO")</f>
        <v>ASS. DE APOIO DA ESC. EST.RIACHUELO</v>
      </c>
      <c r="D333" s="196" t="str">
        <f ca="1">IFERROR(__xludf.DUMMYFUNCTION("""COMPUTED_VALUE"""),"01696068000110")</f>
        <v>01696068000110</v>
      </c>
      <c r="E333" s="197" t="str">
        <f ca="1">IFERROR(__xludf.DUMMYFUNCTION("""COMPUTED_VALUE"""),"001")</f>
        <v>001</v>
      </c>
      <c r="F333" s="197" t="str">
        <f ca="1">IFERROR(__xludf.DUMMYFUNCTION("""COMPUTED_VALUE"""),"4107")</f>
        <v>4107</v>
      </c>
      <c r="G333" s="198" t="str">
        <f ca="1">IFERROR(__xludf.DUMMYFUNCTION("""COMPUTED_VALUE"""),"319511")</f>
        <v>319511</v>
      </c>
      <c r="H333" s="198">
        <f ca="1">IFERROR(__xludf.DUMMYFUNCTION("""COMPUTED_VALUE"""),0)</f>
        <v>0</v>
      </c>
      <c r="I333" s="198">
        <f ca="1">IFERROR(__xludf.DUMMYFUNCTION("""COMPUTED_VALUE"""),0)</f>
        <v>0</v>
      </c>
      <c r="J333" s="198">
        <f ca="1">IFERROR(__xludf.DUMMYFUNCTION("""COMPUTED_VALUE"""),441)</f>
        <v>441</v>
      </c>
      <c r="K333" s="198">
        <f ca="1">IFERROR(__xludf.DUMMYFUNCTION("""COMPUTED_VALUE"""),0)</f>
        <v>0</v>
      </c>
      <c r="L333" s="198">
        <f ca="1">IFERROR(__xludf.DUMMYFUNCTION("""COMPUTED_VALUE"""),0)</f>
        <v>0</v>
      </c>
      <c r="M333" s="198">
        <f ca="1">IFERROR(__xludf.DUMMYFUNCTION("""COMPUTED_VALUE"""),0)</f>
        <v>0</v>
      </c>
      <c r="N333" s="198">
        <f ca="1">IFERROR(__xludf.DUMMYFUNCTION("""COMPUTED_VALUE"""),1113)</f>
        <v>1113</v>
      </c>
      <c r="O333" s="198">
        <f ca="1">IFERROR(__xludf.DUMMYFUNCTION("""COMPUTED_VALUE"""),336)</f>
        <v>336</v>
      </c>
      <c r="P333" s="198">
        <f t="shared" ca="1" si="1"/>
        <v>1890</v>
      </c>
    </row>
    <row r="334" spans="1:16" ht="12.75">
      <c r="A334" s="199" t="str">
        <f ca="1">IFERROR(__xludf.DUMMYFUNCTION("""COMPUTED_VALUE"""),"Porto Nacional")</f>
        <v>Porto Nacional</v>
      </c>
      <c r="B334" s="199" t="str">
        <f ca="1">IFERROR(__xludf.DUMMYFUNCTION("""COMPUTED_VALUE"""),"Pindorama do Tocantins")</f>
        <v>Pindorama do Tocantins</v>
      </c>
      <c r="C334" s="145" t="str">
        <f ca="1">IFERROR(__xludf.DUMMYFUNCTION("""COMPUTED_VALUE"""),"A.A. E. E. DEP.JOSE A. DE ASSIS")</f>
        <v>A.A. E. E. DEP.JOSE A. DE ASSIS</v>
      </c>
      <c r="D334" s="200" t="str">
        <f ca="1">IFERROR(__xludf.DUMMYFUNCTION("""COMPUTED_VALUE"""),"01066411000142")</f>
        <v>01066411000142</v>
      </c>
      <c r="E334" s="201" t="str">
        <f ca="1">IFERROR(__xludf.DUMMYFUNCTION("""COMPUTED_VALUE"""),"001")</f>
        <v>001</v>
      </c>
      <c r="F334" s="201" t="str">
        <f ca="1">IFERROR(__xludf.DUMMYFUNCTION("""COMPUTED_VALUE"""),"1117")</f>
        <v>1117</v>
      </c>
      <c r="G334" s="202" t="str">
        <f ca="1">IFERROR(__xludf.DUMMYFUNCTION("""COMPUTED_VALUE"""),"312770")</f>
        <v>312770</v>
      </c>
      <c r="H334" s="202">
        <f ca="1">IFERROR(__xludf.DUMMYFUNCTION("""COMPUTED_VALUE"""),0)</f>
        <v>0</v>
      </c>
      <c r="I334" s="202">
        <f ca="1">IFERROR(__xludf.DUMMYFUNCTION("""COMPUTED_VALUE"""),0)</f>
        <v>0</v>
      </c>
      <c r="J334" s="202">
        <f ca="1">IFERROR(__xludf.DUMMYFUNCTION("""COMPUTED_VALUE"""),3003)</f>
        <v>3003</v>
      </c>
      <c r="K334" s="202">
        <f ca="1">IFERROR(__xludf.DUMMYFUNCTION("""COMPUTED_VALUE"""),0)</f>
        <v>0</v>
      </c>
      <c r="L334" s="202">
        <f ca="1">IFERROR(__xludf.DUMMYFUNCTION("""COMPUTED_VALUE"""),0)</f>
        <v>0</v>
      </c>
      <c r="M334" s="202">
        <f ca="1">IFERROR(__xludf.DUMMYFUNCTION("""COMPUTED_VALUE"""),231)</f>
        <v>231</v>
      </c>
      <c r="N334" s="202">
        <f ca="1">IFERROR(__xludf.DUMMYFUNCTION("""COMPUTED_VALUE"""),756)</f>
        <v>756</v>
      </c>
      <c r="O334" s="202">
        <f ca="1">IFERROR(__xludf.DUMMYFUNCTION("""COMPUTED_VALUE"""),0)</f>
        <v>0</v>
      </c>
      <c r="P334" s="202">
        <f t="shared" ca="1" si="1"/>
        <v>3990</v>
      </c>
    </row>
    <row r="335" spans="1:16" ht="12.75">
      <c r="A335" s="194" t="str">
        <f ca="1">IFERROR(__xludf.DUMMYFUNCTION("""COMPUTED_VALUE"""),"Porto Nacional")</f>
        <v>Porto Nacional</v>
      </c>
      <c r="B335" s="194" t="str">
        <f ca="1">IFERROR(__xludf.DUMMYFUNCTION("""COMPUTED_VALUE"""),"Ponte Alta do Tocantins")</f>
        <v>Ponte Alta do Tocantins</v>
      </c>
      <c r="C335" s="195" t="str">
        <f ca="1">IFERROR(__xludf.DUMMYFUNCTION("""COMPUTED_VALUE"""),"ASS. A. AO COL. EST. ODOLFO SOARES")</f>
        <v>ASS. A. AO COL. EST. ODOLFO SOARES</v>
      </c>
      <c r="D335" s="196" t="str">
        <f ca="1">IFERROR(__xludf.DUMMYFUNCTION("""COMPUTED_VALUE"""),"01342866000143")</f>
        <v>01342866000143</v>
      </c>
      <c r="E335" s="197" t="str">
        <f ca="1">IFERROR(__xludf.DUMMYFUNCTION("""COMPUTED_VALUE"""),"001")</f>
        <v>001</v>
      </c>
      <c r="F335" s="197" t="str">
        <f ca="1">IFERROR(__xludf.DUMMYFUNCTION("""COMPUTED_VALUE"""),"1117")</f>
        <v>1117</v>
      </c>
      <c r="G335" s="198" t="str">
        <f ca="1">IFERROR(__xludf.DUMMYFUNCTION("""COMPUTED_VALUE"""),"333921")</f>
        <v>333921</v>
      </c>
      <c r="H335" s="198">
        <f ca="1">IFERROR(__xludf.DUMMYFUNCTION("""COMPUTED_VALUE"""),0)</f>
        <v>0</v>
      </c>
      <c r="I335" s="198">
        <f ca="1">IFERROR(__xludf.DUMMYFUNCTION("""COMPUTED_VALUE"""),0)</f>
        <v>0</v>
      </c>
      <c r="J335" s="198">
        <f ca="1">IFERROR(__xludf.DUMMYFUNCTION("""COMPUTED_VALUE"""),6510)</f>
        <v>6510</v>
      </c>
      <c r="K335" s="198">
        <f ca="1">IFERROR(__xludf.DUMMYFUNCTION("""COMPUTED_VALUE"""),0)</f>
        <v>0</v>
      </c>
      <c r="L335" s="198">
        <f ca="1">IFERROR(__xludf.DUMMYFUNCTION("""COMPUTED_VALUE"""),0)</f>
        <v>0</v>
      </c>
      <c r="M335" s="198">
        <f ca="1">IFERROR(__xludf.DUMMYFUNCTION("""COMPUTED_VALUE"""),315)</f>
        <v>315</v>
      </c>
      <c r="N335" s="198">
        <f ca="1">IFERROR(__xludf.DUMMYFUNCTION("""COMPUTED_VALUE"""),7035)</f>
        <v>7035</v>
      </c>
      <c r="O335" s="198">
        <f ca="1">IFERROR(__xludf.DUMMYFUNCTION("""COMPUTED_VALUE"""),0)</f>
        <v>0</v>
      </c>
      <c r="P335" s="198">
        <f t="shared" ca="1" si="1"/>
        <v>13860</v>
      </c>
    </row>
    <row r="336" spans="1:16" ht="12.75">
      <c r="A336" s="199" t="str">
        <f ca="1">IFERROR(__xludf.DUMMYFUNCTION("""COMPUTED_VALUE"""),"Porto Nacional")</f>
        <v>Porto Nacional</v>
      </c>
      <c r="B336" s="199" t="str">
        <f ca="1">IFERROR(__xludf.DUMMYFUNCTION("""COMPUTED_VALUE"""),"Ponte Alta do Tocantins")</f>
        <v>Ponte Alta do Tocantins</v>
      </c>
      <c r="C336" s="145" t="str">
        <f ca="1">IFERROR(__xludf.DUMMYFUNCTION("""COMPUTED_VALUE"""),"ASS. APOIO DA ESCOLA EST. ALCIDES RUFO")</f>
        <v>ASS. APOIO DA ESCOLA EST. ALCIDES RUFO</v>
      </c>
      <c r="D336" s="200" t="str">
        <f ca="1">IFERROR(__xludf.DUMMYFUNCTION("""COMPUTED_VALUE"""),"01192931000100")</f>
        <v>01192931000100</v>
      </c>
      <c r="E336" s="201" t="str">
        <f ca="1">IFERROR(__xludf.DUMMYFUNCTION("""COMPUTED_VALUE"""),"001")</f>
        <v>001</v>
      </c>
      <c r="F336" s="201" t="str">
        <f ca="1">IFERROR(__xludf.DUMMYFUNCTION("""COMPUTED_VALUE"""),"1117")</f>
        <v>1117</v>
      </c>
      <c r="G336" s="202" t="str">
        <f ca="1">IFERROR(__xludf.DUMMYFUNCTION("""COMPUTED_VALUE"""),"313785")</f>
        <v>313785</v>
      </c>
      <c r="H336" s="202">
        <f ca="1">IFERROR(__xludf.DUMMYFUNCTION("""COMPUTED_VALUE"""),0)</f>
        <v>0</v>
      </c>
      <c r="I336" s="202">
        <f ca="1">IFERROR(__xludf.DUMMYFUNCTION("""COMPUTED_VALUE"""),0)</f>
        <v>0</v>
      </c>
      <c r="J336" s="202">
        <f ca="1">IFERROR(__xludf.DUMMYFUNCTION("""COMPUTED_VALUE"""),5586)</f>
        <v>5586</v>
      </c>
      <c r="K336" s="202">
        <f ca="1">IFERROR(__xludf.DUMMYFUNCTION("""COMPUTED_VALUE"""),0)</f>
        <v>0</v>
      </c>
      <c r="L336" s="202">
        <f ca="1">IFERROR(__xludf.DUMMYFUNCTION("""COMPUTED_VALUE"""),0)</f>
        <v>0</v>
      </c>
      <c r="M336" s="202">
        <f ca="1">IFERROR(__xludf.DUMMYFUNCTION("""COMPUTED_VALUE"""),0)</f>
        <v>0</v>
      </c>
      <c r="N336" s="202">
        <f ca="1">IFERROR(__xludf.DUMMYFUNCTION("""COMPUTED_VALUE"""),0)</f>
        <v>0</v>
      </c>
      <c r="O336" s="202">
        <f ca="1">IFERROR(__xludf.DUMMYFUNCTION("""COMPUTED_VALUE"""),0)</f>
        <v>0</v>
      </c>
      <c r="P336" s="202">
        <f t="shared" ca="1" si="1"/>
        <v>5586</v>
      </c>
    </row>
    <row r="337" spans="1:16" ht="12.75">
      <c r="A337" s="194" t="str">
        <f ca="1">IFERROR(__xludf.DUMMYFUNCTION("""COMPUTED_VALUE"""),"Porto Nacional")</f>
        <v>Porto Nacional</v>
      </c>
      <c r="B337" s="194" t="str">
        <f ca="1">IFERROR(__xludf.DUMMYFUNCTION("""COMPUTED_VALUE"""),"Ponte Alta do Tocantins")</f>
        <v>Ponte Alta do Tocantins</v>
      </c>
      <c r="C337" s="195" t="str">
        <f ca="1">IFERROR(__xludf.DUMMYFUNCTION("""COMPUTED_VALUE"""),"ASS. DE APOIO A ESCOLA EST. ESPECIAL AMILSON FRAZÃO DOS REIS")</f>
        <v>ASS. DE APOIO A ESCOLA EST. ESPECIAL AMILSON FRAZÃO DOS REIS</v>
      </c>
      <c r="D337" s="196" t="str">
        <f ca="1">IFERROR(__xludf.DUMMYFUNCTION("""COMPUTED_VALUE"""),"20309905000155")</f>
        <v>20309905000155</v>
      </c>
      <c r="E337" s="197" t="str">
        <f ca="1">IFERROR(__xludf.DUMMYFUNCTION("""COMPUTED_VALUE"""),"001")</f>
        <v>001</v>
      </c>
      <c r="F337" s="197" t="str">
        <f ca="1">IFERROR(__xludf.DUMMYFUNCTION("""COMPUTED_VALUE"""),"1117")</f>
        <v>1117</v>
      </c>
      <c r="G337" s="198" t="str">
        <f ca="1">IFERROR(__xludf.DUMMYFUNCTION("""COMPUTED_VALUE"""),"567426")</f>
        <v>567426</v>
      </c>
      <c r="H337" s="198">
        <f ca="1">IFERROR(__xludf.DUMMYFUNCTION("""COMPUTED_VALUE"""),0)</f>
        <v>0</v>
      </c>
      <c r="I337" s="198">
        <f ca="1">IFERROR(__xludf.DUMMYFUNCTION("""COMPUTED_VALUE"""),0)</f>
        <v>0</v>
      </c>
      <c r="J337" s="198">
        <f ca="1">IFERROR(__xludf.DUMMYFUNCTION("""COMPUTED_VALUE"""),168)</f>
        <v>168</v>
      </c>
      <c r="K337" s="198">
        <f ca="1">IFERROR(__xludf.DUMMYFUNCTION("""COMPUTED_VALUE"""),0)</f>
        <v>0</v>
      </c>
      <c r="L337" s="198">
        <f ca="1">IFERROR(__xludf.DUMMYFUNCTION("""COMPUTED_VALUE"""),0)</f>
        <v>0</v>
      </c>
      <c r="M337" s="198">
        <f ca="1">IFERROR(__xludf.DUMMYFUNCTION("""COMPUTED_VALUE"""),840)</f>
        <v>840</v>
      </c>
      <c r="N337" s="198">
        <f ca="1">IFERROR(__xludf.DUMMYFUNCTION("""COMPUTED_VALUE"""),0)</f>
        <v>0</v>
      </c>
      <c r="O337" s="198">
        <f ca="1">IFERROR(__xludf.DUMMYFUNCTION("""COMPUTED_VALUE"""),924)</f>
        <v>924</v>
      </c>
      <c r="P337" s="198">
        <f t="shared" ca="1" si="1"/>
        <v>1932</v>
      </c>
    </row>
    <row r="338" spans="1:16" ht="12.75">
      <c r="A338" s="199" t="str">
        <f ca="1">IFERROR(__xludf.DUMMYFUNCTION("""COMPUTED_VALUE"""),"Porto Nacional")</f>
        <v>Porto Nacional</v>
      </c>
      <c r="B338" s="199" t="str">
        <f ca="1">IFERROR(__xludf.DUMMYFUNCTION("""COMPUTED_VALUE"""),"Porto Nacional")</f>
        <v>Porto Nacional</v>
      </c>
      <c r="C338" s="145" t="str">
        <f ca="1">IFERROR(__xludf.DUMMYFUNCTION("""COMPUTED_VALUE"""),"ASSOC. DE APOIO AO CEM FELIX CAMOA I")</f>
        <v>ASSOC. DE APOIO AO CEM FELIX CAMOA I</v>
      </c>
      <c r="D338" s="200" t="str">
        <f ca="1">IFERROR(__xludf.DUMMYFUNCTION("""COMPUTED_VALUE"""),"01112476000187")</f>
        <v>01112476000187</v>
      </c>
      <c r="E338" s="201" t="str">
        <f ca="1">IFERROR(__xludf.DUMMYFUNCTION("""COMPUTED_VALUE"""),"104")</f>
        <v>104</v>
      </c>
      <c r="F338" s="201" t="str">
        <f ca="1">IFERROR(__xludf.DUMMYFUNCTION("""COMPUTED_VALUE"""),"1829")</f>
        <v>1829</v>
      </c>
      <c r="G338" s="202" t="str">
        <f ca="1">IFERROR(__xludf.DUMMYFUNCTION("""COMPUTED_VALUE"""),"3050011")</f>
        <v>3050011</v>
      </c>
      <c r="H338" s="202">
        <f ca="1">IFERROR(__xludf.DUMMYFUNCTION("""COMPUTED_VALUE"""),0)</f>
        <v>0</v>
      </c>
      <c r="I338" s="202">
        <f ca="1">IFERROR(__xludf.DUMMYFUNCTION("""COMPUTED_VALUE"""),0)</f>
        <v>0</v>
      </c>
      <c r="J338" s="202">
        <f ca="1">IFERROR(__xludf.DUMMYFUNCTION("""COMPUTED_VALUE"""),0)</f>
        <v>0</v>
      </c>
      <c r="K338" s="202">
        <f ca="1">IFERROR(__xludf.DUMMYFUNCTION("""COMPUTED_VALUE"""),0)</f>
        <v>0</v>
      </c>
      <c r="L338" s="202">
        <f ca="1">IFERROR(__xludf.DUMMYFUNCTION("""COMPUTED_VALUE"""),0)</f>
        <v>0</v>
      </c>
      <c r="M338" s="202">
        <f ca="1">IFERROR(__xludf.DUMMYFUNCTION("""COMPUTED_VALUE"""),126)</f>
        <v>126</v>
      </c>
      <c r="N338" s="202">
        <f ca="1">IFERROR(__xludf.DUMMYFUNCTION("""COMPUTED_VALUE"""),0)</f>
        <v>0</v>
      </c>
      <c r="O338" s="202">
        <f ca="1">IFERROR(__xludf.DUMMYFUNCTION("""COMPUTED_VALUE"""),0)</f>
        <v>0</v>
      </c>
      <c r="P338" s="202">
        <f t="shared" ca="1" si="1"/>
        <v>126</v>
      </c>
    </row>
    <row r="339" spans="1:16" ht="12.75">
      <c r="A339" s="194" t="str">
        <f ca="1">IFERROR(__xludf.DUMMYFUNCTION("""COMPUTED_VALUE"""),"Porto Nacional")</f>
        <v>Porto Nacional</v>
      </c>
      <c r="B339" s="194" t="str">
        <f ca="1">IFERROR(__xludf.DUMMYFUNCTION("""COMPUTED_VALUE"""),"Porto Nacional")</f>
        <v>Porto Nacional</v>
      </c>
      <c r="C339" s="195" t="str">
        <f ca="1">IFERROR(__xludf.DUMMYFUNCTION("""COMPUTED_VALUE"""),"ASSOC. DE A.DO CEM PROFº. FLORÊNCIO AIRES DA SILVA")</f>
        <v>ASSOC. DE A.DO CEM PROFº. FLORÊNCIO AIRES DA SILVA</v>
      </c>
      <c r="D339" s="196" t="str">
        <f ca="1">IFERROR(__xludf.DUMMYFUNCTION("""COMPUTED_VALUE"""),"01138326000142")</f>
        <v>01138326000142</v>
      </c>
      <c r="E339" s="197" t="str">
        <f ca="1">IFERROR(__xludf.DUMMYFUNCTION("""COMPUTED_VALUE"""),"001")</f>
        <v>001</v>
      </c>
      <c r="F339" s="197" t="str">
        <f ca="1">IFERROR(__xludf.DUMMYFUNCTION("""COMPUTED_VALUE"""),"1117")</f>
        <v>1117</v>
      </c>
      <c r="G339" s="198" t="str">
        <f ca="1">IFERROR(__xludf.DUMMYFUNCTION("""COMPUTED_VALUE"""),"5500X")</f>
        <v>5500X</v>
      </c>
      <c r="H339" s="198">
        <f ca="1">IFERROR(__xludf.DUMMYFUNCTION("""COMPUTED_VALUE"""),0)</f>
        <v>0</v>
      </c>
      <c r="I339" s="198">
        <f ca="1">IFERROR(__xludf.DUMMYFUNCTION("""COMPUTED_VALUE"""),0)</f>
        <v>0</v>
      </c>
      <c r="J339" s="198">
        <f ca="1">IFERROR(__xludf.DUMMYFUNCTION("""COMPUTED_VALUE"""),2121)</f>
        <v>2121</v>
      </c>
      <c r="K339" s="198">
        <f ca="1">IFERROR(__xludf.DUMMYFUNCTION("""COMPUTED_VALUE"""),0)</f>
        <v>0</v>
      </c>
      <c r="L339" s="198">
        <f ca="1">IFERROR(__xludf.DUMMYFUNCTION("""COMPUTED_VALUE"""),0)</f>
        <v>0</v>
      </c>
      <c r="M339" s="198">
        <f ca="1">IFERROR(__xludf.DUMMYFUNCTION("""COMPUTED_VALUE"""),231)</f>
        <v>231</v>
      </c>
      <c r="N339" s="198">
        <f ca="1">IFERROR(__xludf.DUMMYFUNCTION("""COMPUTED_VALUE"""),4851)</f>
        <v>4851</v>
      </c>
      <c r="O339" s="198">
        <f ca="1">IFERROR(__xludf.DUMMYFUNCTION("""COMPUTED_VALUE"""),1659)</f>
        <v>1659</v>
      </c>
      <c r="P339" s="198">
        <f t="shared" ca="1" si="1"/>
        <v>8862</v>
      </c>
    </row>
    <row r="340" spans="1:16" ht="12.75">
      <c r="A340" s="199" t="str">
        <f ca="1">IFERROR(__xludf.DUMMYFUNCTION("""COMPUTED_VALUE"""),"Porto Nacional")</f>
        <v>Porto Nacional</v>
      </c>
      <c r="B340" s="199" t="str">
        <f ca="1">IFERROR(__xludf.DUMMYFUNCTION("""COMPUTED_VALUE"""),"Porto Nacional")</f>
        <v>Porto Nacional</v>
      </c>
      <c r="C340" s="145" t="str">
        <f ca="1">IFERROR(__xludf.DUMMYFUNCTION("""COMPUTED_VALUE"""),"A. E. COM. ESC. CONV. ANGELICA R. ARANHA")</f>
        <v>A. E. COM. ESC. CONV. ANGELICA R. ARANHA</v>
      </c>
      <c r="D340" s="200" t="str">
        <f ca="1">IFERROR(__xludf.DUMMYFUNCTION("""COMPUTED_VALUE"""),"01075455000139")</f>
        <v>01075455000139</v>
      </c>
      <c r="E340" s="201" t="str">
        <f ca="1">IFERROR(__xludf.DUMMYFUNCTION("""COMPUTED_VALUE"""),"104")</f>
        <v>104</v>
      </c>
      <c r="F340" s="201" t="str">
        <f ca="1">IFERROR(__xludf.DUMMYFUNCTION("""COMPUTED_VALUE"""),"1829")</f>
        <v>1829</v>
      </c>
      <c r="G340" s="202" t="str">
        <f ca="1">IFERROR(__xludf.DUMMYFUNCTION("""COMPUTED_VALUE"""),"307313")</f>
        <v>307313</v>
      </c>
      <c r="H340" s="202">
        <f ca="1">IFERROR(__xludf.DUMMYFUNCTION("""COMPUTED_VALUE"""),0)</f>
        <v>0</v>
      </c>
      <c r="I340" s="202">
        <f ca="1">IFERROR(__xludf.DUMMYFUNCTION("""COMPUTED_VALUE"""),0)</f>
        <v>0</v>
      </c>
      <c r="J340" s="202">
        <f ca="1">IFERROR(__xludf.DUMMYFUNCTION("""COMPUTED_VALUE"""),3003)</f>
        <v>3003</v>
      </c>
      <c r="K340" s="202">
        <f ca="1">IFERROR(__xludf.DUMMYFUNCTION("""COMPUTED_VALUE"""),0)</f>
        <v>0</v>
      </c>
      <c r="L340" s="202">
        <f ca="1">IFERROR(__xludf.DUMMYFUNCTION("""COMPUTED_VALUE"""),0)</f>
        <v>0</v>
      </c>
      <c r="M340" s="202">
        <f ca="1">IFERROR(__xludf.DUMMYFUNCTION("""COMPUTED_VALUE"""),273)</f>
        <v>273</v>
      </c>
      <c r="N340" s="202">
        <f ca="1">IFERROR(__xludf.DUMMYFUNCTION("""COMPUTED_VALUE"""),1491)</f>
        <v>1491</v>
      </c>
      <c r="O340" s="202">
        <f ca="1">IFERROR(__xludf.DUMMYFUNCTION("""COMPUTED_VALUE"""),0)</f>
        <v>0</v>
      </c>
      <c r="P340" s="202">
        <f t="shared" ca="1" si="1"/>
        <v>4767</v>
      </c>
    </row>
    <row r="341" spans="1:16" ht="12.75">
      <c r="A341" s="194" t="str">
        <f ca="1">IFERROR(__xludf.DUMMYFUNCTION("""COMPUTED_VALUE"""),"Porto Nacional")</f>
        <v>Porto Nacional</v>
      </c>
      <c r="B341" s="194" t="str">
        <f ca="1">IFERROR(__xludf.DUMMYFUNCTION("""COMPUTED_VALUE"""),"Porto Nacional")</f>
        <v>Porto Nacional</v>
      </c>
      <c r="C341" s="206" t="str">
        <f ca="1">IFERROR(__xludf.DUMMYFUNCTION("""COMPUTED_VALUE"""),"A.A. ESC. EST. DR.PEDRO LUDOVICO TEIXEIRA")</f>
        <v>A.A. ESC. EST. DR.PEDRO LUDOVICO TEIXEIRA</v>
      </c>
      <c r="D341" s="196" t="str">
        <f ca="1">IFERROR(__xludf.DUMMYFUNCTION("""COMPUTED_VALUE"""),"01135997000150")</f>
        <v>01135997000150</v>
      </c>
      <c r="E341" s="197" t="str">
        <f ca="1">IFERROR(__xludf.DUMMYFUNCTION("""COMPUTED_VALUE"""),"104")</f>
        <v>104</v>
      </c>
      <c r="F341" s="197" t="str">
        <f ca="1">IFERROR(__xludf.DUMMYFUNCTION("""COMPUTED_VALUE"""),"1829")</f>
        <v>1829</v>
      </c>
      <c r="G341" s="198" t="str">
        <f ca="1">IFERROR(__xludf.DUMMYFUNCTION("""COMPUTED_VALUE"""),"305949")</f>
        <v>305949</v>
      </c>
      <c r="H341" s="198">
        <f ca="1">IFERROR(__xludf.DUMMYFUNCTION("""COMPUTED_VALUE"""),0)</f>
        <v>0</v>
      </c>
      <c r="I341" s="198">
        <f ca="1">IFERROR(__xludf.DUMMYFUNCTION("""COMPUTED_VALUE"""),0)</f>
        <v>0</v>
      </c>
      <c r="J341" s="198">
        <f ca="1">IFERROR(__xludf.DUMMYFUNCTION("""COMPUTED_VALUE"""),10374)</f>
        <v>10374</v>
      </c>
      <c r="K341" s="198">
        <f ca="1">IFERROR(__xludf.DUMMYFUNCTION("""COMPUTED_VALUE"""),0)</f>
        <v>0</v>
      </c>
      <c r="L341" s="198">
        <f ca="1">IFERROR(__xludf.DUMMYFUNCTION("""COMPUTED_VALUE"""),0)</f>
        <v>0</v>
      </c>
      <c r="M341" s="198">
        <f ca="1">IFERROR(__xludf.DUMMYFUNCTION("""COMPUTED_VALUE"""),483)</f>
        <v>483</v>
      </c>
      <c r="N341" s="198">
        <f ca="1">IFERROR(__xludf.DUMMYFUNCTION("""COMPUTED_VALUE"""),5418)</f>
        <v>5418</v>
      </c>
      <c r="O341" s="198">
        <f ca="1">IFERROR(__xludf.DUMMYFUNCTION("""COMPUTED_VALUE"""),0)</f>
        <v>0</v>
      </c>
      <c r="P341" s="198">
        <f t="shared" ca="1" si="1"/>
        <v>16275</v>
      </c>
    </row>
    <row r="342" spans="1:16" ht="12.75">
      <c r="A342" s="199" t="str">
        <f ca="1">IFERROR(__xludf.DUMMYFUNCTION("""COMPUTED_VALUE"""),"Porto Nacional")</f>
        <v>Porto Nacional</v>
      </c>
      <c r="B342" s="199" t="str">
        <f ca="1">IFERROR(__xludf.DUMMYFUNCTION("""COMPUTED_VALUE"""),"Porto Nacional")</f>
        <v>Porto Nacional</v>
      </c>
      <c r="C342" s="145" t="str">
        <f ca="1">IFERROR(__xludf.DUMMYFUNCTION("""COMPUTED_VALUE"""),"A. ESCOL.COM. ESC. EST. MAL.ARTUR C.E SILVA")</f>
        <v>A. ESCOL.COM. ESC. EST. MAL.ARTUR C.E SILVA</v>
      </c>
      <c r="D342" s="200" t="str">
        <f ca="1">IFERROR(__xludf.DUMMYFUNCTION("""COMPUTED_VALUE"""),"01112763000197")</f>
        <v>01112763000197</v>
      </c>
      <c r="E342" s="201" t="str">
        <f ca="1">IFERROR(__xludf.DUMMYFUNCTION("""COMPUTED_VALUE"""),"104")</f>
        <v>104</v>
      </c>
      <c r="F342" s="201" t="str">
        <f ca="1">IFERROR(__xludf.DUMMYFUNCTION("""COMPUTED_VALUE"""),"1829")</f>
        <v>1829</v>
      </c>
      <c r="G342" s="202" t="str">
        <f ca="1">IFERROR(__xludf.DUMMYFUNCTION("""COMPUTED_VALUE"""),"307364")</f>
        <v>307364</v>
      </c>
      <c r="H342" s="202">
        <f ca="1">IFERROR(__xludf.DUMMYFUNCTION("""COMPUTED_VALUE"""),0)</f>
        <v>0</v>
      </c>
      <c r="I342" s="202">
        <f ca="1">IFERROR(__xludf.DUMMYFUNCTION("""COMPUTED_VALUE"""),0)</f>
        <v>0</v>
      </c>
      <c r="J342" s="202">
        <f ca="1">IFERROR(__xludf.DUMMYFUNCTION("""COMPUTED_VALUE"""),4746)</f>
        <v>4746</v>
      </c>
      <c r="K342" s="202">
        <f ca="1">IFERROR(__xludf.DUMMYFUNCTION("""COMPUTED_VALUE"""),0)</f>
        <v>0</v>
      </c>
      <c r="L342" s="202">
        <f ca="1">IFERROR(__xludf.DUMMYFUNCTION("""COMPUTED_VALUE"""),0)</f>
        <v>0</v>
      </c>
      <c r="M342" s="202">
        <f ca="1">IFERROR(__xludf.DUMMYFUNCTION("""COMPUTED_VALUE"""),105)</f>
        <v>105</v>
      </c>
      <c r="N342" s="202">
        <f ca="1">IFERROR(__xludf.DUMMYFUNCTION("""COMPUTED_VALUE"""),2919)</f>
        <v>2919</v>
      </c>
      <c r="O342" s="202">
        <f ca="1">IFERROR(__xludf.DUMMYFUNCTION("""COMPUTED_VALUE"""),2058)</f>
        <v>2058</v>
      </c>
      <c r="P342" s="202">
        <f t="shared" ca="1" si="1"/>
        <v>9828</v>
      </c>
    </row>
    <row r="343" spans="1:16" ht="12.75">
      <c r="A343" s="194" t="str">
        <f ca="1">IFERROR(__xludf.DUMMYFUNCTION("""COMPUTED_VALUE"""),"Porto Nacional")</f>
        <v>Porto Nacional</v>
      </c>
      <c r="B343" s="194" t="str">
        <f ca="1">IFERROR(__xludf.DUMMYFUNCTION("""COMPUTED_VALUE"""),"Porto Nacional")</f>
        <v>Porto Nacional</v>
      </c>
      <c r="C343" s="195" t="str">
        <f ca="1">IFERROR(__xludf.DUMMYFUNCTION("""COMPUTED_VALUE"""),"A.A.  ESCOLA ESTADUAL ALFREDO NASSER")</f>
        <v>A.A.  ESCOLA ESTADUAL ALFREDO NASSER</v>
      </c>
      <c r="D343" s="196" t="str">
        <f ca="1">IFERROR(__xludf.DUMMYFUNCTION("""COMPUTED_VALUE"""),"01251862000150")</f>
        <v>01251862000150</v>
      </c>
      <c r="E343" s="197" t="str">
        <f ca="1">IFERROR(__xludf.DUMMYFUNCTION("""COMPUTED_VALUE"""),"104")</f>
        <v>104</v>
      </c>
      <c r="F343" s="197" t="str">
        <f ca="1">IFERROR(__xludf.DUMMYFUNCTION("""COMPUTED_VALUE"""),"1829")</f>
        <v>1829</v>
      </c>
      <c r="G343" s="198" t="str">
        <f ca="1">IFERROR(__xludf.DUMMYFUNCTION("""COMPUTED_VALUE"""),"307410")</f>
        <v>307410</v>
      </c>
      <c r="H343" s="198">
        <f ca="1">IFERROR(__xludf.DUMMYFUNCTION("""COMPUTED_VALUE"""),0)</f>
        <v>0</v>
      </c>
      <c r="I343" s="198">
        <f ca="1">IFERROR(__xludf.DUMMYFUNCTION("""COMPUTED_VALUE"""),0)</f>
        <v>0</v>
      </c>
      <c r="J343" s="198">
        <f ca="1">IFERROR(__xludf.DUMMYFUNCTION("""COMPUTED_VALUE"""),2835)</f>
        <v>2835</v>
      </c>
      <c r="K343" s="198">
        <f ca="1">IFERROR(__xludf.DUMMYFUNCTION("""COMPUTED_VALUE"""),0)</f>
        <v>0</v>
      </c>
      <c r="L343" s="198">
        <f ca="1">IFERROR(__xludf.DUMMYFUNCTION("""COMPUTED_VALUE"""),0)</f>
        <v>0</v>
      </c>
      <c r="M343" s="198">
        <f ca="1">IFERROR(__xludf.DUMMYFUNCTION("""COMPUTED_VALUE"""),168)</f>
        <v>168</v>
      </c>
      <c r="N343" s="198">
        <f ca="1">IFERROR(__xludf.DUMMYFUNCTION("""COMPUTED_VALUE"""),1155)</f>
        <v>1155</v>
      </c>
      <c r="O343" s="198">
        <f ca="1">IFERROR(__xludf.DUMMYFUNCTION("""COMPUTED_VALUE"""),0)</f>
        <v>0</v>
      </c>
      <c r="P343" s="198">
        <f t="shared" ca="1" si="1"/>
        <v>4158</v>
      </c>
    </row>
    <row r="344" spans="1:16" ht="12.75">
      <c r="A344" s="199" t="str">
        <f ca="1">IFERROR(__xludf.DUMMYFUNCTION("""COMPUTED_VALUE"""),"Porto Nacional")</f>
        <v>Porto Nacional</v>
      </c>
      <c r="B344" s="199" t="str">
        <f ca="1">IFERROR(__xludf.DUMMYFUNCTION("""COMPUTED_VALUE"""),"Porto Nacional")</f>
        <v>Porto Nacional</v>
      </c>
      <c r="C344" s="145" t="str">
        <f ca="1">IFERROR(__xludf.DUMMYFUNCTION("""COMPUTED_VALUE"""),"A.A. ESCOLA ESTADUAL ANA MACEDO MAIA")</f>
        <v>A.A. ESCOLA ESTADUAL ANA MACEDO MAIA</v>
      </c>
      <c r="D344" s="200" t="str">
        <f ca="1">IFERROR(__xludf.DUMMYFUNCTION("""COMPUTED_VALUE"""),"01243662000155")</f>
        <v>01243662000155</v>
      </c>
      <c r="E344" s="201" t="str">
        <f ca="1">IFERROR(__xludf.DUMMYFUNCTION("""COMPUTED_VALUE"""),"104")</f>
        <v>104</v>
      </c>
      <c r="F344" s="201" t="str">
        <f ca="1">IFERROR(__xludf.DUMMYFUNCTION("""COMPUTED_VALUE"""),"1829")</f>
        <v>1829</v>
      </c>
      <c r="G344" s="202" t="str">
        <f ca="1">IFERROR(__xludf.DUMMYFUNCTION("""COMPUTED_VALUE"""),"306015")</f>
        <v>306015</v>
      </c>
      <c r="H344" s="202">
        <f ca="1">IFERROR(__xludf.DUMMYFUNCTION("""COMPUTED_VALUE"""),0)</f>
        <v>0</v>
      </c>
      <c r="I344" s="202">
        <f ca="1">IFERROR(__xludf.DUMMYFUNCTION("""COMPUTED_VALUE"""),0)</f>
        <v>0</v>
      </c>
      <c r="J344" s="202">
        <f ca="1">IFERROR(__xludf.DUMMYFUNCTION("""COMPUTED_VALUE"""),6384)</f>
        <v>6384</v>
      </c>
      <c r="K344" s="202">
        <f ca="1">IFERROR(__xludf.DUMMYFUNCTION("""COMPUTED_VALUE"""),0)</f>
        <v>0</v>
      </c>
      <c r="L344" s="202">
        <f ca="1">IFERROR(__xludf.DUMMYFUNCTION("""COMPUTED_VALUE"""),0)</f>
        <v>0</v>
      </c>
      <c r="M344" s="202">
        <f ca="1">IFERROR(__xludf.DUMMYFUNCTION("""COMPUTED_VALUE"""),0)</f>
        <v>0</v>
      </c>
      <c r="N344" s="202">
        <f ca="1">IFERROR(__xludf.DUMMYFUNCTION("""COMPUTED_VALUE"""),0)</f>
        <v>0</v>
      </c>
      <c r="O344" s="202">
        <f ca="1">IFERROR(__xludf.DUMMYFUNCTION("""COMPUTED_VALUE"""),0)</f>
        <v>0</v>
      </c>
      <c r="P344" s="202">
        <f t="shared" ca="1" si="1"/>
        <v>6384</v>
      </c>
    </row>
    <row r="345" spans="1:16" ht="12.75">
      <c r="A345" s="194" t="str">
        <f ca="1">IFERROR(__xludf.DUMMYFUNCTION("""COMPUTED_VALUE"""),"Porto Nacional")</f>
        <v>Porto Nacional</v>
      </c>
      <c r="B345" s="194" t="str">
        <f ca="1">IFERROR(__xludf.DUMMYFUNCTION("""COMPUTED_VALUE"""),"Porto Nacional")</f>
        <v>Porto Nacional</v>
      </c>
      <c r="C345" s="195" t="str">
        <f ca="1">IFERROR(__xludf.DUMMYFUNCTION("""COMPUTED_VALUE"""),"A. ESCOLAR COMUN. DA ESC. CONV. BRASIL")</f>
        <v>A. ESCOLAR COMUN. DA ESC. CONV. BRASIL</v>
      </c>
      <c r="D345" s="196" t="str">
        <f ca="1">IFERROR(__xludf.DUMMYFUNCTION("""COMPUTED_VALUE"""),"01112471000154")</f>
        <v>01112471000154</v>
      </c>
      <c r="E345" s="197" t="str">
        <f ca="1">IFERROR(__xludf.DUMMYFUNCTION("""COMPUTED_VALUE"""),"104")</f>
        <v>104</v>
      </c>
      <c r="F345" s="197" t="str">
        <f ca="1">IFERROR(__xludf.DUMMYFUNCTION("""COMPUTED_VALUE"""),"1829")</f>
        <v>1829</v>
      </c>
      <c r="G345" s="198" t="str">
        <f ca="1">IFERROR(__xludf.DUMMYFUNCTION("""COMPUTED_VALUE"""),"307402")</f>
        <v>307402</v>
      </c>
      <c r="H345" s="198">
        <f ca="1">IFERROR(__xludf.DUMMYFUNCTION("""COMPUTED_VALUE"""),0)</f>
        <v>0</v>
      </c>
      <c r="I345" s="198">
        <f ca="1">IFERROR(__xludf.DUMMYFUNCTION("""COMPUTED_VALUE"""),0)</f>
        <v>0</v>
      </c>
      <c r="J345" s="198">
        <f ca="1">IFERROR(__xludf.DUMMYFUNCTION("""COMPUTED_VALUE"""),1827)</f>
        <v>1827</v>
      </c>
      <c r="K345" s="198">
        <f ca="1">IFERROR(__xludf.DUMMYFUNCTION("""COMPUTED_VALUE"""),0)</f>
        <v>0</v>
      </c>
      <c r="L345" s="198">
        <f ca="1">IFERROR(__xludf.DUMMYFUNCTION("""COMPUTED_VALUE"""),0)</f>
        <v>0</v>
      </c>
      <c r="M345" s="198">
        <f ca="1">IFERROR(__xludf.DUMMYFUNCTION("""COMPUTED_VALUE"""),0)</f>
        <v>0</v>
      </c>
      <c r="N345" s="198">
        <f ca="1">IFERROR(__xludf.DUMMYFUNCTION("""COMPUTED_VALUE"""),1113)</f>
        <v>1113</v>
      </c>
      <c r="O345" s="198">
        <f ca="1">IFERROR(__xludf.DUMMYFUNCTION("""COMPUTED_VALUE"""),0)</f>
        <v>0</v>
      </c>
      <c r="P345" s="198">
        <f t="shared" ca="1" si="1"/>
        <v>2940</v>
      </c>
    </row>
    <row r="346" spans="1:16" ht="12.75">
      <c r="A346" s="199" t="str">
        <f ca="1">IFERROR(__xludf.DUMMYFUNCTION("""COMPUTED_VALUE"""),"Porto Nacional")</f>
        <v>Porto Nacional</v>
      </c>
      <c r="B346" s="199" t="str">
        <f ca="1">IFERROR(__xludf.DUMMYFUNCTION("""COMPUTED_VALUE"""),"Porto Nacional")</f>
        <v>Porto Nacional</v>
      </c>
      <c r="C346" s="145" t="str">
        <f ca="1">IFERROR(__xludf.DUMMYFUNCTION("""COMPUTED_VALUE"""),"A.A.  ESCOLA ESTADUAL CUSTÓDIA DA SILVA PEDREIRA")</f>
        <v>A.A.  ESCOLA ESTADUAL CUSTÓDIA DA SILVA PEDREIRA</v>
      </c>
      <c r="D346" s="200" t="str">
        <f ca="1">IFERROR(__xludf.DUMMYFUNCTION("""COMPUTED_VALUE"""),"01192932000146")</f>
        <v>01192932000146</v>
      </c>
      <c r="E346" s="201" t="str">
        <f ca="1">IFERROR(__xludf.DUMMYFUNCTION("""COMPUTED_VALUE"""),"001")</f>
        <v>001</v>
      </c>
      <c r="F346" s="201" t="str">
        <f ca="1">IFERROR(__xludf.DUMMYFUNCTION("""COMPUTED_VALUE"""),"1117")</f>
        <v>1117</v>
      </c>
      <c r="G346" s="202" t="str">
        <f ca="1">IFERROR(__xludf.DUMMYFUNCTION("""COMPUTED_VALUE"""),"314080")</f>
        <v>314080</v>
      </c>
      <c r="H346" s="202">
        <f ca="1">IFERROR(__xludf.DUMMYFUNCTION("""COMPUTED_VALUE"""),0)</f>
        <v>0</v>
      </c>
      <c r="I346" s="202">
        <f ca="1">IFERROR(__xludf.DUMMYFUNCTION("""COMPUTED_VALUE"""),0)</f>
        <v>0</v>
      </c>
      <c r="J346" s="202">
        <f ca="1">IFERROR(__xludf.DUMMYFUNCTION("""COMPUTED_VALUE"""),9534)</f>
        <v>9534</v>
      </c>
      <c r="K346" s="202">
        <f ca="1">IFERROR(__xludf.DUMMYFUNCTION("""COMPUTED_VALUE"""),0)</f>
        <v>0</v>
      </c>
      <c r="L346" s="202">
        <f ca="1">IFERROR(__xludf.DUMMYFUNCTION("""COMPUTED_VALUE"""),0)</f>
        <v>0</v>
      </c>
      <c r="M346" s="202">
        <f ca="1">IFERROR(__xludf.DUMMYFUNCTION("""COMPUTED_VALUE"""),0)</f>
        <v>0</v>
      </c>
      <c r="N346" s="202">
        <f ca="1">IFERROR(__xludf.DUMMYFUNCTION("""COMPUTED_VALUE"""),6972)</f>
        <v>6972</v>
      </c>
      <c r="O346" s="202">
        <f ca="1">IFERROR(__xludf.DUMMYFUNCTION("""COMPUTED_VALUE"""),0)</f>
        <v>0</v>
      </c>
      <c r="P346" s="202">
        <f t="shared" ca="1" si="1"/>
        <v>16506</v>
      </c>
    </row>
    <row r="347" spans="1:16" ht="12.75">
      <c r="A347" s="194" t="str">
        <f ca="1">IFERROR(__xludf.DUMMYFUNCTION("""COMPUTED_VALUE"""),"Porto Nacional")</f>
        <v>Porto Nacional</v>
      </c>
      <c r="B347" s="194" t="str">
        <f ca="1">IFERROR(__xludf.DUMMYFUNCTION("""COMPUTED_VALUE"""),"Porto Nacional")</f>
        <v>Porto Nacional</v>
      </c>
      <c r="C347" s="195" t="str">
        <f ca="1">IFERROR(__xludf.DUMMYFUNCTION("""COMPUTED_VALUE"""),"A. ESC. COM./ESC. EST. D.DOMINGOS CARREROT")</f>
        <v>A. ESC. COM./ESC. EST. D.DOMINGOS CARREROT</v>
      </c>
      <c r="D347" s="196" t="str">
        <f ca="1">IFERROR(__xludf.DUMMYFUNCTION("""COMPUTED_VALUE"""),"00900197000115")</f>
        <v>00900197000115</v>
      </c>
      <c r="E347" s="197" t="str">
        <f ca="1">IFERROR(__xludf.DUMMYFUNCTION("""COMPUTED_VALUE"""),"104")</f>
        <v>104</v>
      </c>
      <c r="F347" s="197" t="str">
        <f ca="1">IFERROR(__xludf.DUMMYFUNCTION("""COMPUTED_VALUE"""),"1829")</f>
        <v>1829</v>
      </c>
      <c r="G347" s="198" t="str">
        <f ca="1">IFERROR(__xludf.DUMMYFUNCTION("""COMPUTED_VALUE"""),"305914")</f>
        <v>305914</v>
      </c>
      <c r="H347" s="198">
        <f ca="1">IFERROR(__xludf.DUMMYFUNCTION("""COMPUTED_VALUE"""),0)</f>
        <v>0</v>
      </c>
      <c r="I347" s="198">
        <f ca="1">IFERROR(__xludf.DUMMYFUNCTION("""COMPUTED_VALUE"""),0)</f>
        <v>0</v>
      </c>
      <c r="J347" s="198">
        <f ca="1">IFERROR(__xludf.DUMMYFUNCTION("""COMPUTED_VALUE"""),7455)</f>
        <v>7455</v>
      </c>
      <c r="K347" s="198">
        <f ca="1">IFERROR(__xludf.DUMMYFUNCTION("""COMPUTED_VALUE"""),0)</f>
        <v>0</v>
      </c>
      <c r="L347" s="198">
        <f ca="1">IFERROR(__xludf.DUMMYFUNCTION("""COMPUTED_VALUE"""),0)</f>
        <v>0</v>
      </c>
      <c r="M347" s="198">
        <f ca="1">IFERROR(__xludf.DUMMYFUNCTION("""COMPUTED_VALUE"""),273)</f>
        <v>273</v>
      </c>
      <c r="N347" s="198">
        <f ca="1">IFERROR(__xludf.DUMMYFUNCTION("""COMPUTED_VALUE"""),0)</f>
        <v>0</v>
      </c>
      <c r="O347" s="198">
        <f ca="1">IFERROR(__xludf.DUMMYFUNCTION("""COMPUTED_VALUE"""),0)</f>
        <v>0</v>
      </c>
      <c r="P347" s="198">
        <f t="shared" ca="1" si="1"/>
        <v>7728</v>
      </c>
    </row>
    <row r="348" spans="1:16" ht="12.75">
      <c r="A348" s="199" t="str">
        <f ca="1">IFERROR(__xludf.DUMMYFUNCTION("""COMPUTED_VALUE"""),"Porto Nacional")</f>
        <v>Porto Nacional</v>
      </c>
      <c r="B348" s="199" t="str">
        <f ca="1">IFERROR(__xludf.DUMMYFUNCTION("""COMPUTED_VALUE"""),"Porto Nacional")</f>
        <v>Porto Nacional</v>
      </c>
      <c r="C348" s="145" t="str">
        <f ca="1">IFERROR(__xludf.DUMMYFUNCTION("""COMPUTED_VALUE"""),"A.A.  A ESCOLA D. PEDRO II")</f>
        <v>A.A.  A ESCOLA D. PEDRO II</v>
      </c>
      <c r="D348" s="200" t="str">
        <f ca="1">IFERROR(__xludf.DUMMYFUNCTION("""COMPUTED_VALUE"""),"01133697000131")</f>
        <v>01133697000131</v>
      </c>
      <c r="E348" s="201" t="str">
        <f ca="1">IFERROR(__xludf.DUMMYFUNCTION("""COMPUTED_VALUE"""),"001")</f>
        <v>001</v>
      </c>
      <c r="F348" s="201" t="str">
        <f ca="1">IFERROR(__xludf.DUMMYFUNCTION("""COMPUTED_VALUE"""),"1117")</f>
        <v>1117</v>
      </c>
      <c r="G348" s="202" t="str">
        <f ca="1">IFERROR(__xludf.DUMMYFUNCTION("""COMPUTED_VALUE"""),"0313092")</f>
        <v>0313092</v>
      </c>
      <c r="H348" s="202">
        <f ca="1">IFERROR(__xludf.DUMMYFUNCTION("""COMPUTED_VALUE"""),0)</f>
        <v>0</v>
      </c>
      <c r="I348" s="202">
        <f ca="1">IFERROR(__xludf.DUMMYFUNCTION("""COMPUTED_VALUE"""),0)</f>
        <v>0</v>
      </c>
      <c r="J348" s="202">
        <f ca="1">IFERROR(__xludf.DUMMYFUNCTION("""COMPUTED_VALUE"""),0)</f>
        <v>0</v>
      </c>
      <c r="K348" s="202">
        <f ca="1">IFERROR(__xludf.DUMMYFUNCTION("""COMPUTED_VALUE"""),0)</f>
        <v>0</v>
      </c>
      <c r="L348" s="202">
        <f ca="1">IFERROR(__xludf.DUMMYFUNCTION("""COMPUTED_VALUE"""),0)</f>
        <v>0</v>
      </c>
      <c r="M348" s="202">
        <f ca="1">IFERROR(__xludf.DUMMYFUNCTION("""COMPUTED_VALUE"""),399)</f>
        <v>399</v>
      </c>
      <c r="N348" s="202">
        <f ca="1">IFERROR(__xludf.DUMMYFUNCTION("""COMPUTED_VALUE"""),0)</f>
        <v>0</v>
      </c>
      <c r="O348" s="202">
        <f ca="1">IFERROR(__xludf.DUMMYFUNCTION("""COMPUTED_VALUE"""),0)</f>
        <v>0</v>
      </c>
      <c r="P348" s="202">
        <f t="shared" ca="1" si="1"/>
        <v>399</v>
      </c>
    </row>
    <row r="349" spans="1:16" ht="12.75">
      <c r="A349" s="194" t="str">
        <f ca="1">IFERROR(__xludf.DUMMYFUNCTION("""COMPUTED_VALUE"""),"Porto Nacional")</f>
        <v>Porto Nacional</v>
      </c>
      <c r="B349" s="194" t="str">
        <f ca="1">IFERROR(__xludf.DUMMYFUNCTION("""COMPUTED_VALUE"""),"Porto Nacional")</f>
        <v>Porto Nacional</v>
      </c>
      <c r="C349" s="195" t="str">
        <f ca="1">IFERROR(__xludf.DUMMYFUNCTION("""COMPUTED_VALUE"""),"A.A. ESCOLA ESTADUAL IRMA ASPASIA")</f>
        <v>A.A. ESCOLA ESTADUAL IRMA ASPASIA</v>
      </c>
      <c r="D349" s="196" t="str">
        <f ca="1">IFERROR(__xludf.DUMMYFUNCTION("""COMPUTED_VALUE"""),"01136022000146")</f>
        <v>01136022000146</v>
      </c>
      <c r="E349" s="197" t="str">
        <f ca="1">IFERROR(__xludf.DUMMYFUNCTION("""COMPUTED_VALUE"""),"104")</f>
        <v>104</v>
      </c>
      <c r="F349" s="197" t="str">
        <f ca="1">IFERROR(__xludf.DUMMYFUNCTION("""COMPUTED_VALUE"""),"1829")</f>
        <v>1829</v>
      </c>
      <c r="G349" s="198" t="str">
        <f ca="1">IFERROR(__xludf.DUMMYFUNCTION("""COMPUTED_VALUE"""),"307453")</f>
        <v>307453</v>
      </c>
      <c r="H349" s="198">
        <f ca="1">IFERROR(__xludf.DUMMYFUNCTION("""COMPUTED_VALUE"""),0)</f>
        <v>0</v>
      </c>
      <c r="I349" s="198">
        <f ca="1">IFERROR(__xludf.DUMMYFUNCTION("""COMPUTED_VALUE"""),0)</f>
        <v>0</v>
      </c>
      <c r="J349" s="198">
        <f ca="1">IFERROR(__xludf.DUMMYFUNCTION("""COMPUTED_VALUE"""),2814)</f>
        <v>2814</v>
      </c>
      <c r="K349" s="198">
        <f ca="1">IFERROR(__xludf.DUMMYFUNCTION("""COMPUTED_VALUE"""),0)</f>
        <v>0</v>
      </c>
      <c r="L349" s="198">
        <f ca="1">IFERROR(__xludf.DUMMYFUNCTION("""COMPUTED_VALUE"""),0)</f>
        <v>0</v>
      </c>
      <c r="M349" s="198">
        <f ca="1">IFERROR(__xludf.DUMMYFUNCTION("""COMPUTED_VALUE"""),210)</f>
        <v>210</v>
      </c>
      <c r="N349" s="198">
        <f ca="1">IFERROR(__xludf.DUMMYFUNCTION("""COMPUTED_VALUE"""),4452)</f>
        <v>4452</v>
      </c>
      <c r="O349" s="198">
        <f ca="1">IFERROR(__xludf.DUMMYFUNCTION("""COMPUTED_VALUE"""),0)</f>
        <v>0</v>
      </c>
      <c r="P349" s="198">
        <f t="shared" ca="1" si="1"/>
        <v>7476</v>
      </c>
    </row>
    <row r="350" spans="1:16" ht="12.75">
      <c r="A350" s="199" t="str">
        <f ca="1">IFERROR(__xludf.DUMMYFUNCTION("""COMPUTED_VALUE"""),"Porto Nacional")</f>
        <v>Porto Nacional</v>
      </c>
      <c r="B350" s="199" t="str">
        <f ca="1">IFERROR(__xludf.DUMMYFUNCTION("""COMPUTED_VALUE"""),"Porto Nacional")</f>
        <v>Porto Nacional</v>
      </c>
      <c r="C350" s="145" t="str">
        <f ca="1">IFERROR(__xludf.DUMMYFUNCTION("""COMPUTED_VALUE"""),"A.A. DA ESC. EST. ALCIDES RODRIGUES AIRES")</f>
        <v>A.A. DA ESC. EST. ALCIDES RODRIGUES AIRES</v>
      </c>
      <c r="D350" s="200" t="str">
        <f ca="1">IFERROR(__xludf.DUMMYFUNCTION("""COMPUTED_VALUE"""),"03495455000113")</f>
        <v>03495455000113</v>
      </c>
      <c r="E350" s="201" t="str">
        <f ca="1">IFERROR(__xludf.DUMMYFUNCTION("""COMPUTED_VALUE"""),"001")</f>
        <v>001</v>
      </c>
      <c r="F350" s="201" t="str">
        <f ca="1">IFERROR(__xludf.DUMMYFUNCTION("""COMPUTED_VALUE"""),"1117")</f>
        <v>1117</v>
      </c>
      <c r="G350" s="202" t="str">
        <f ca="1">IFERROR(__xludf.DUMMYFUNCTION("""COMPUTED_VALUE"""),"77143")</f>
        <v>77143</v>
      </c>
      <c r="H350" s="202">
        <f ca="1">IFERROR(__xludf.DUMMYFUNCTION("""COMPUTED_VALUE"""),0)</f>
        <v>0</v>
      </c>
      <c r="I350" s="202">
        <f ca="1">IFERROR(__xludf.DUMMYFUNCTION("""COMPUTED_VALUE"""),0)</f>
        <v>0</v>
      </c>
      <c r="J350" s="202">
        <f ca="1">IFERROR(__xludf.DUMMYFUNCTION("""COMPUTED_VALUE"""),7812)</f>
        <v>7812</v>
      </c>
      <c r="K350" s="202">
        <f ca="1">IFERROR(__xludf.DUMMYFUNCTION("""COMPUTED_VALUE"""),0)</f>
        <v>0</v>
      </c>
      <c r="L350" s="202">
        <f ca="1">IFERROR(__xludf.DUMMYFUNCTION("""COMPUTED_VALUE"""),0)</f>
        <v>0</v>
      </c>
      <c r="M350" s="202">
        <f ca="1">IFERROR(__xludf.DUMMYFUNCTION("""COMPUTED_VALUE"""),294)</f>
        <v>294</v>
      </c>
      <c r="N350" s="202">
        <f ca="1">IFERROR(__xludf.DUMMYFUNCTION("""COMPUTED_VALUE"""),0)</f>
        <v>0</v>
      </c>
      <c r="O350" s="202">
        <f ca="1">IFERROR(__xludf.DUMMYFUNCTION("""COMPUTED_VALUE"""),1869)</f>
        <v>1869</v>
      </c>
      <c r="P350" s="202">
        <f t="shared" ca="1" si="1"/>
        <v>9975</v>
      </c>
    </row>
    <row r="351" spans="1:16" ht="12.75">
      <c r="A351" s="194" t="str">
        <f ca="1">IFERROR(__xludf.DUMMYFUNCTION("""COMPUTED_VALUE"""),"Porto Nacional")</f>
        <v>Porto Nacional</v>
      </c>
      <c r="B351" s="194" t="str">
        <f ca="1">IFERROR(__xludf.DUMMYFUNCTION("""COMPUTED_VALUE"""),"Porto Nacional")</f>
        <v>Porto Nacional</v>
      </c>
      <c r="C351" s="195" t="str">
        <f ca="1">IFERROR(__xludf.DUMMYFUNCTION("""COMPUTED_VALUE"""),"A.A. E. E. PROFA. CARMENIA MATOS MAIA")</f>
        <v>A.A. E. E. PROFA. CARMENIA MATOS MAIA</v>
      </c>
      <c r="D351" s="196" t="str">
        <f ca="1">IFERROR(__xludf.DUMMYFUNCTION("""COMPUTED_VALUE"""),"01118897000115")</f>
        <v>01118897000115</v>
      </c>
      <c r="E351" s="197" t="str">
        <f ca="1">IFERROR(__xludf.DUMMYFUNCTION("""COMPUTED_VALUE"""),"104")</f>
        <v>104</v>
      </c>
      <c r="F351" s="197" t="str">
        <f ca="1">IFERROR(__xludf.DUMMYFUNCTION("""COMPUTED_VALUE"""),"1829")</f>
        <v>1829</v>
      </c>
      <c r="G351" s="198" t="str">
        <f ca="1">IFERROR(__xludf.DUMMYFUNCTION("""COMPUTED_VALUE"""),"307399")</f>
        <v>307399</v>
      </c>
      <c r="H351" s="198">
        <f ca="1">IFERROR(__xludf.DUMMYFUNCTION("""COMPUTED_VALUE"""),0)</f>
        <v>0</v>
      </c>
      <c r="I351" s="198">
        <f ca="1">IFERROR(__xludf.DUMMYFUNCTION("""COMPUTED_VALUE"""),0)</f>
        <v>0</v>
      </c>
      <c r="J351" s="198">
        <f ca="1">IFERROR(__xludf.DUMMYFUNCTION("""COMPUTED_VALUE"""),5271)</f>
        <v>5271</v>
      </c>
      <c r="K351" s="198">
        <f ca="1">IFERROR(__xludf.DUMMYFUNCTION("""COMPUTED_VALUE"""),0)</f>
        <v>0</v>
      </c>
      <c r="L351" s="198">
        <f ca="1">IFERROR(__xludf.DUMMYFUNCTION("""COMPUTED_VALUE"""),0)</f>
        <v>0</v>
      </c>
      <c r="M351" s="198">
        <f ca="1">IFERROR(__xludf.DUMMYFUNCTION("""COMPUTED_VALUE"""),357)</f>
        <v>357</v>
      </c>
      <c r="N351" s="198">
        <f ca="1">IFERROR(__xludf.DUMMYFUNCTION("""COMPUTED_VALUE"""),1974)</f>
        <v>1974</v>
      </c>
      <c r="O351" s="198">
        <f ca="1">IFERROR(__xludf.DUMMYFUNCTION("""COMPUTED_VALUE"""),0)</f>
        <v>0</v>
      </c>
      <c r="P351" s="198">
        <f t="shared" ca="1" si="1"/>
        <v>7602</v>
      </c>
    </row>
    <row r="352" spans="1:16" ht="12.75">
      <c r="A352" s="199" t="str">
        <f ca="1">IFERROR(__xludf.DUMMYFUNCTION("""COMPUTED_VALUE"""),"Porto Nacional")</f>
        <v>Porto Nacional</v>
      </c>
      <c r="B352" s="199" t="str">
        <f ca="1">IFERROR(__xludf.DUMMYFUNCTION("""COMPUTED_VALUE"""),"Santa Rita do Tocantins")</f>
        <v>Santa Rita do Tocantins</v>
      </c>
      <c r="C352" s="145" t="str">
        <f ca="1">IFERROR(__xludf.DUMMYFUNCTION("""COMPUTED_VALUE"""),"ASS. COM.DE AP.ESC. EST. DE 1 GRAU BOA NOVA")</f>
        <v>ASS. COM.DE AP.ESC. EST. DE 1 GRAU BOA NOVA</v>
      </c>
      <c r="D352" s="200" t="str">
        <f ca="1">IFERROR(__xludf.DUMMYFUNCTION("""COMPUTED_VALUE"""),"01856561000150")</f>
        <v>01856561000150</v>
      </c>
      <c r="E352" s="201" t="str">
        <f ca="1">IFERROR(__xludf.DUMMYFUNCTION("""COMPUTED_VALUE"""),"001")</f>
        <v>001</v>
      </c>
      <c r="F352" s="201" t="str">
        <f ca="1">IFERROR(__xludf.DUMMYFUNCTION("""COMPUTED_VALUE"""),"4107")</f>
        <v>4107</v>
      </c>
      <c r="G352" s="202" t="str">
        <f ca="1">IFERROR(__xludf.DUMMYFUNCTION("""COMPUTED_VALUE"""),"320722")</f>
        <v>320722</v>
      </c>
      <c r="H352" s="202">
        <f ca="1">IFERROR(__xludf.DUMMYFUNCTION("""COMPUTED_VALUE"""),0)</f>
        <v>0</v>
      </c>
      <c r="I352" s="202">
        <f ca="1">IFERROR(__xludf.DUMMYFUNCTION("""COMPUTED_VALUE"""),0)</f>
        <v>0</v>
      </c>
      <c r="J352" s="202">
        <f ca="1">IFERROR(__xludf.DUMMYFUNCTION("""COMPUTED_VALUE"""),1848)</f>
        <v>1848</v>
      </c>
      <c r="K352" s="202">
        <f ca="1">IFERROR(__xludf.DUMMYFUNCTION("""COMPUTED_VALUE"""),0)</f>
        <v>0</v>
      </c>
      <c r="L352" s="202">
        <f ca="1">IFERROR(__xludf.DUMMYFUNCTION("""COMPUTED_VALUE"""),0)</f>
        <v>0</v>
      </c>
      <c r="M352" s="202">
        <f ca="1">IFERROR(__xludf.DUMMYFUNCTION("""COMPUTED_VALUE"""),0)</f>
        <v>0</v>
      </c>
      <c r="N352" s="202">
        <f ca="1">IFERROR(__xludf.DUMMYFUNCTION("""COMPUTED_VALUE"""),1953)</f>
        <v>1953</v>
      </c>
      <c r="O352" s="202">
        <f ca="1">IFERROR(__xludf.DUMMYFUNCTION("""COMPUTED_VALUE"""),0)</f>
        <v>0</v>
      </c>
      <c r="P352" s="202">
        <f t="shared" ca="1" si="1"/>
        <v>3801</v>
      </c>
    </row>
    <row r="353" spans="1:16" ht="12.75">
      <c r="A353" s="194" t="str">
        <f ca="1">IFERROR(__xludf.DUMMYFUNCTION("""COMPUTED_VALUE"""),"Porto Nacional")</f>
        <v>Porto Nacional</v>
      </c>
      <c r="B353" s="194" t="str">
        <f ca="1">IFERROR(__xludf.DUMMYFUNCTION("""COMPUTED_VALUE"""),"Santa Rosa do Tocantins")</f>
        <v>Santa Rosa do Tocantins</v>
      </c>
      <c r="C353" s="195" t="str">
        <f ca="1">IFERROR(__xludf.DUMMYFUNCTION("""COMPUTED_VALUE"""),"A.A. E. E.PROF.ZACHARIAS NUNES DA SILVEIRA")</f>
        <v>A.A. E. E.PROF.ZACHARIAS NUNES DA SILVEIRA</v>
      </c>
      <c r="D353" s="196" t="str">
        <f ca="1">IFERROR(__xludf.DUMMYFUNCTION("""COMPUTED_VALUE"""),"01066420000133")</f>
        <v>01066420000133</v>
      </c>
      <c r="E353" s="197" t="str">
        <f ca="1">IFERROR(__xludf.DUMMYFUNCTION("""COMPUTED_VALUE"""),"104")</f>
        <v>104</v>
      </c>
      <c r="F353" s="197" t="str">
        <f ca="1">IFERROR(__xludf.DUMMYFUNCTION("""COMPUTED_VALUE"""),"1829")</f>
        <v>1829</v>
      </c>
      <c r="G353" s="198" t="str">
        <f ca="1">IFERROR(__xludf.DUMMYFUNCTION("""COMPUTED_VALUE"""),"0307461")</f>
        <v>0307461</v>
      </c>
      <c r="H353" s="198">
        <f ca="1">IFERROR(__xludf.DUMMYFUNCTION("""COMPUTED_VALUE"""),0)</f>
        <v>0</v>
      </c>
      <c r="I353" s="198">
        <f ca="1">IFERROR(__xludf.DUMMYFUNCTION("""COMPUTED_VALUE"""),0)</f>
        <v>0</v>
      </c>
      <c r="J353" s="198">
        <f ca="1">IFERROR(__xludf.DUMMYFUNCTION("""COMPUTED_VALUE"""),3276)</f>
        <v>3276</v>
      </c>
      <c r="K353" s="198">
        <f ca="1">IFERROR(__xludf.DUMMYFUNCTION("""COMPUTED_VALUE"""),0)</f>
        <v>0</v>
      </c>
      <c r="L353" s="198">
        <f ca="1">IFERROR(__xludf.DUMMYFUNCTION("""COMPUTED_VALUE"""),0)</f>
        <v>0</v>
      </c>
      <c r="M353" s="198">
        <f ca="1">IFERROR(__xludf.DUMMYFUNCTION("""COMPUTED_VALUE"""),252)</f>
        <v>252</v>
      </c>
      <c r="N353" s="198">
        <f ca="1">IFERROR(__xludf.DUMMYFUNCTION("""COMPUTED_VALUE"""),0)</f>
        <v>0</v>
      </c>
      <c r="O353" s="198">
        <f ca="1">IFERROR(__xludf.DUMMYFUNCTION("""COMPUTED_VALUE"""),0)</f>
        <v>0</v>
      </c>
      <c r="P353" s="198">
        <f t="shared" ca="1" si="1"/>
        <v>3528</v>
      </c>
    </row>
    <row r="354" spans="1:16" ht="12.75">
      <c r="A354" s="199" t="str">
        <f ca="1">IFERROR(__xludf.DUMMYFUNCTION("""COMPUTED_VALUE"""),"Porto Nacional")</f>
        <v>Porto Nacional</v>
      </c>
      <c r="B354" s="199" t="str">
        <f ca="1">IFERROR(__xludf.DUMMYFUNCTION("""COMPUTED_VALUE"""),"Santa Rosa do Tocantins")</f>
        <v>Santa Rosa do Tocantins</v>
      </c>
      <c r="C354" s="145" t="str">
        <f ca="1">IFERROR(__xludf.DUMMYFUNCTION("""COMPUTED_VALUE"""),"A.A. E. E. TENENTE SALVADOR RIBEIRO")</f>
        <v>A.A. E. E. TENENTE SALVADOR RIBEIRO</v>
      </c>
      <c r="D354" s="200" t="str">
        <f ca="1">IFERROR(__xludf.DUMMYFUNCTION("""COMPUTED_VALUE"""),"01066424000111")</f>
        <v>01066424000111</v>
      </c>
      <c r="E354" s="201" t="str">
        <f ca="1">IFERROR(__xludf.DUMMYFUNCTION("""COMPUTED_VALUE"""),"001")</f>
        <v>001</v>
      </c>
      <c r="F354" s="201" t="str">
        <f ca="1">IFERROR(__xludf.DUMMYFUNCTION("""COMPUTED_VALUE"""),"1117")</f>
        <v>1117</v>
      </c>
      <c r="G354" s="202" t="str">
        <f ca="1">IFERROR(__xludf.DUMMYFUNCTION("""COMPUTED_VALUE"""),"332623")</f>
        <v>332623</v>
      </c>
      <c r="H354" s="202">
        <f ca="1">IFERROR(__xludf.DUMMYFUNCTION("""COMPUTED_VALUE"""),0)</f>
        <v>0</v>
      </c>
      <c r="I354" s="202">
        <f ca="1">IFERROR(__xludf.DUMMYFUNCTION("""COMPUTED_VALUE"""),0)</f>
        <v>0</v>
      </c>
      <c r="J354" s="202">
        <f ca="1">IFERROR(__xludf.DUMMYFUNCTION("""COMPUTED_VALUE"""),609)</f>
        <v>609</v>
      </c>
      <c r="K354" s="202">
        <f ca="1">IFERROR(__xludf.DUMMYFUNCTION("""COMPUTED_VALUE"""),0)</f>
        <v>0</v>
      </c>
      <c r="L354" s="202">
        <f ca="1">IFERROR(__xludf.DUMMYFUNCTION("""COMPUTED_VALUE"""),0)</f>
        <v>0</v>
      </c>
      <c r="M354" s="202">
        <f ca="1">IFERROR(__xludf.DUMMYFUNCTION("""COMPUTED_VALUE"""),0)</f>
        <v>0</v>
      </c>
      <c r="N354" s="202">
        <f ca="1">IFERROR(__xludf.DUMMYFUNCTION("""COMPUTED_VALUE"""),3990)</f>
        <v>3990</v>
      </c>
      <c r="O354" s="202">
        <f ca="1">IFERROR(__xludf.DUMMYFUNCTION("""COMPUTED_VALUE"""),483)</f>
        <v>483</v>
      </c>
      <c r="P354" s="202">
        <f t="shared" ca="1" si="1"/>
        <v>5082</v>
      </c>
    </row>
    <row r="355" spans="1:16" ht="12.75">
      <c r="A355" s="194" t="str">
        <f ca="1">IFERROR(__xludf.DUMMYFUNCTION("""COMPUTED_VALUE"""),"Porto Nacional")</f>
        <v>Porto Nacional</v>
      </c>
      <c r="B355" s="194" t="str">
        <f ca="1">IFERROR(__xludf.DUMMYFUNCTION("""COMPUTED_VALUE"""),"Silvanopolis")</f>
        <v>Silvanopolis</v>
      </c>
      <c r="C355" s="195" t="str">
        <f ca="1">IFERROR(__xludf.DUMMYFUNCTION("""COMPUTED_VALUE"""),"A.A. DA ESC. EST. JOAO DA SILVA GUIMARAES")</f>
        <v>A.A. DA ESC. EST. JOAO DA SILVA GUIMARAES</v>
      </c>
      <c r="D355" s="196" t="str">
        <f ca="1">IFERROR(__xludf.DUMMYFUNCTION("""COMPUTED_VALUE"""),"01557779000103")</f>
        <v>01557779000103</v>
      </c>
      <c r="E355" s="197" t="str">
        <f ca="1">IFERROR(__xludf.DUMMYFUNCTION("""COMPUTED_VALUE"""),"001")</f>
        <v>001</v>
      </c>
      <c r="F355" s="197" t="str">
        <f ca="1">IFERROR(__xludf.DUMMYFUNCTION("""COMPUTED_VALUE"""),"3980")</f>
        <v>3980</v>
      </c>
      <c r="G355" s="198" t="str">
        <f ca="1">IFERROR(__xludf.DUMMYFUNCTION("""COMPUTED_VALUE"""),"51292")</f>
        <v>51292</v>
      </c>
      <c r="H355" s="198">
        <f ca="1">IFERROR(__xludf.DUMMYFUNCTION("""COMPUTED_VALUE"""),0)</f>
        <v>0</v>
      </c>
      <c r="I355" s="198">
        <f ca="1">IFERROR(__xludf.DUMMYFUNCTION("""COMPUTED_VALUE"""),0)</f>
        <v>0</v>
      </c>
      <c r="J355" s="198">
        <f ca="1">IFERROR(__xludf.DUMMYFUNCTION("""COMPUTED_VALUE"""),6447)</f>
        <v>6447</v>
      </c>
      <c r="K355" s="198">
        <f ca="1">IFERROR(__xludf.DUMMYFUNCTION("""COMPUTED_VALUE"""),0)</f>
        <v>0</v>
      </c>
      <c r="L355" s="198">
        <f ca="1">IFERROR(__xludf.DUMMYFUNCTION("""COMPUTED_VALUE"""),0)</f>
        <v>0</v>
      </c>
      <c r="M355" s="198">
        <f ca="1">IFERROR(__xludf.DUMMYFUNCTION("""COMPUTED_VALUE"""),0)</f>
        <v>0</v>
      </c>
      <c r="N355" s="198">
        <f ca="1">IFERROR(__xludf.DUMMYFUNCTION("""COMPUTED_VALUE"""),5187)</f>
        <v>5187</v>
      </c>
      <c r="O355" s="198">
        <f ca="1">IFERROR(__xludf.DUMMYFUNCTION("""COMPUTED_VALUE"""),0)</f>
        <v>0</v>
      </c>
      <c r="P355" s="198">
        <f t="shared" ca="1" si="1"/>
        <v>11634</v>
      </c>
    </row>
    <row r="356" spans="1:16" ht="12.75">
      <c r="A356" s="199" t="str">
        <f ca="1">IFERROR(__xludf.DUMMYFUNCTION("""COMPUTED_VALUE"""),"Porto Nacional")</f>
        <v>Porto Nacional</v>
      </c>
      <c r="B356" s="199" t="str">
        <f ca="1">IFERROR(__xludf.DUMMYFUNCTION("""COMPUTED_VALUE"""),"Silvanopolis")</f>
        <v>Silvanopolis</v>
      </c>
      <c r="C356" s="145" t="str">
        <f ca="1">IFERROR(__xludf.DUMMYFUNCTION("""COMPUTED_VALUE"""),"A.A. A ESC. EST. JOAO PIRES QUERIDO")</f>
        <v>A.A. A ESC. EST. JOAO PIRES QUERIDO</v>
      </c>
      <c r="D356" s="200" t="str">
        <f ca="1">IFERROR(__xludf.DUMMYFUNCTION("""COMPUTED_VALUE"""),"01284632000197")</f>
        <v>01284632000197</v>
      </c>
      <c r="E356" s="201" t="str">
        <f ca="1">IFERROR(__xludf.DUMMYFUNCTION("""COMPUTED_VALUE"""),"001")</f>
        <v>001</v>
      </c>
      <c r="F356" s="201" t="str">
        <f ca="1">IFERROR(__xludf.DUMMYFUNCTION("""COMPUTED_VALUE"""),"3980")</f>
        <v>3980</v>
      </c>
      <c r="G356" s="202" t="str">
        <f ca="1">IFERROR(__xludf.DUMMYFUNCTION("""COMPUTED_VALUE"""),"051187")</f>
        <v>051187</v>
      </c>
      <c r="H356" s="202">
        <f ca="1">IFERROR(__xludf.DUMMYFUNCTION("""COMPUTED_VALUE"""),0)</f>
        <v>0</v>
      </c>
      <c r="I356" s="202">
        <f ca="1">IFERROR(__xludf.DUMMYFUNCTION("""COMPUTED_VALUE"""),0)</f>
        <v>0</v>
      </c>
      <c r="J356" s="202">
        <f ca="1">IFERROR(__xludf.DUMMYFUNCTION("""COMPUTED_VALUE"""),0)</f>
        <v>0</v>
      </c>
      <c r="K356" s="202">
        <f ca="1">IFERROR(__xludf.DUMMYFUNCTION("""COMPUTED_VALUE"""),0)</f>
        <v>0</v>
      </c>
      <c r="L356" s="202">
        <f ca="1">IFERROR(__xludf.DUMMYFUNCTION("""COMPUTED_VALUE"""),0)</f>
        <v>0</v>
      </c>
      <c r="M356" s="202">
        <f ca="1">IFERROR(__xludf.DUMMYFUNCTION("""COMPUTED_VALUE"""),0)</f>
        <v>0</v>
      </c>
      <c r="N356" s="202">
        <f ca="1">IFERROR(__xludf.DUMMYFUNCTION("""COMPUTED_VALUE"""),0)</f>
        <v>0</v>
      </c>
      <c r="O356" s="202">
        <f ca="1">IFERROR(__xludf.DUMMYFUNCTION("""COMPUTED_VALUE"""),273)</f>
        <v>273</v>
      </c>
      <c r="P356" s="202">
        <f t="shared" ca="1" si="1"/>
        <v>273</v>
      </c>
    </row>
    <row r="357" spans="1:16" ht="12.75">
      <c r="A357" s="194" t="str">
        <f ca="1">IFERROR(__xludf.DUMMYFUNCTION("""COMPUTED_VALUE"""),"Tocantinópolis")</f>
        <v>Tocantinópolis</v>
      </c>
      <c r="B357" s="194" t="str">
        <f ca="1">IFERROR(__xludf.DUMMYFUNCTION("""COMPUTED_VALUE"""),"Aguiarnopolis")</f>
        <v>Aguiarnopolis</v>
      </c>
      <c r="C357" s="195" t="str">
        <f ca="1">IFERROR(__xludf.DUMMYFUNCTION("""COMPUTED_VALUE"""),"A.A. DA ESC. EST. NAZARÉ NUNES DA SILVA (AGUIARNOPOLIS)")</f>
        <v>A.A. DA ESC. EST. NAZARÉ NUNES DA SILVA (AGUIARNOPOLIS)</v>
      </c>
      <c r="D357" s="196" t="str">
        <f ca="1">IFERROR(__xludf.DUMMYFUNCTION("""COMPUTED_VALUE"""),"01213519000110")</f>
        <v>01213519000110</v>
      </c>
      <c r="E357" s="197" t="str">
        <f ca="1">IFERROR(__xludf.DUMMYFUNCTION("""COMPUTED_VALUE"""),"001")</f>
        <v>001</v>
      </c>
      <c r="F357" s="197" t="str">
        <f ca="1">IFERROR(__xludf.DUMMYFUNCTION("""COMPUTED_VALUE"""),"0810")</f>
        <v>0810</v>
      </c>
      <c r="G357" s="198" t="str">
        <f ca="1">IFERROR(__xludf.DUMMYFUNCTION("""COMPUTED_VALUE"""),"217727")</f>
        <v>217727</v>
      </c>
      <c r="H357" s="198">
        <f ca="1">IFERROR(__xludf.DUMMYFUNCTION("""COMPUTED_VALUE"""),0)</f>
        <v>0</v>
      </c>
      <c r="I357" s="198">
        <f ca="1">IFERROR(__xludf.DUMMYFUNCTION("""COMPUTED_VALUE"""),0)</f>
        <v>0</v>
      </c>
      <c r="J357" s="198">
        <f ca="1">IFERROR(__xludf.DUMMYFUNCTION("""COMPUTED_VALUE"""),3381)</f>
        <v>3381</v>
      </c>
      <c r="K357" s="198">
        <f ca="1">IFERROR(__xludf.DUMMYFUNCTION("""COMPUTED_VALUE"""),0)</f>
        <v>0</v>
      </c>
      <c r="L357" s="198">
        <f ca="1">IFERROR(__xludf.DUMMYFUNCTION("""COMPUTED_VALUE"""),0)</f>
        <v>0</v>
      </c>
      <c r="M357" s="198">
        <f ca="1">IFERROR(__xludf.DUMMYFUNCTION("""COMPUTED_VALUE"""),0)</f>
        <v>0</v>
      </c>
      <c r="N357" s="198">
        <f ca="1">IFERROR(__xludf.DUMMYFUNCTION("""COMPUTED_VALUE"""),1449)</f>
        <v>1449</v>
      </c>
      <c r="O357" s="198">
        <f ca="1">IFERROR(__xludf.DUMMYFUNCTION("""COMPUTED_VALUE"""),0)</f>
        <v>0</v>
      </c>
      <c r="P357" s="198">
        <f t="shared" ca="1" si="1"/>
        <v>4830</v>
      </c>
    </row>
    <row r="358" spans="1:16" ht="12.75">
      <c r="A358" s="199" t="str">
        <f ca="1">IFERROR(__xludf.DUMMYFUNCTION("""COMPUTED_VALUE"""),"Tocantinópolis")</f>
        <v>Tocantinópolis</v>
      </c>
      <c r="B358" s="199" t="str">
        <f ca="1">IFERROR(__xludf.DUMMYFUNCTION("""COMPUTED_VALUE"""),"Angico")</f>
        <v>Angico</v>
      </c>
      <c r="C358" s="145" t="str">
        <f ca="1">IFERROR(__xludf.DUMMYFUNCTION("""COMPUTED_VALUE"""),"ASSOCIAÇÃO DE APOIO DO COL. EST. DULCE COELHO DE SOUSA")</f>
        <v>ASSOCIAÇÃO DE APOIO DO COL. EST. DULCE COELHO DE SOUSA</v>
      </c>
      <c r="D358" s="200" t="str">
        <f ca="1">IFERROR(__xludf.DUMMYFUNCTION("""COMPUTED_VALUE"""),"10800992000195")</f>
        <v>10800992000195</v>
      </c>
      <c r="E358" s="201" t="str">
        <f ca="1">IFERROR(__xludf.DUMMYFUNCTION("""COMPUTED_VALUE"""),"001")</f>
        <v>001</v>
      </c>
      <c r="F358" s="201" t="str">
        <f ca="1">IFERROR(__xludf.DUMMYFUNCTION("""COMPUTED_VALUE"""),"3973")</f>
        <v>3973</v>
      </c>
      <c r="G358" s="202" t="str">
        <f ca="1">IFERROR(__xludf.DUMMYFUNCTION("""COMPUTED_VALUE"""),"212792")</f>
        <v>212792</v>
      </c>
      <c r="H358" s="202">
        <f ca="1">IFERROR(__xludf.DUMMYFUNCTION("""COMPUTED_VALUE"""),0)</f>
        <v>0</v>
      </c>
      <c r="I358" s="202">
        <f ca="1">IFERROR(__xludf.DUMMYFUNCTION("""COMPUTED_VALUE"""),0)</f>
        <v>0</v>
      </c>
      <c r="J358" s="202">
        <f ca="1">IFERROR(__xludf.DUMMYFUNCTION("""COMPUTED_VALUE"""),4389)</f>
        <v>4389</v>
      </c>
      <c r="K358" s="202">
        <f ca="1">IFERROR(__xludf.DUMMYFUNCTION("""COMPUTED_VALUE"""),0)</f>
        <v>0</v>
      </c>
      <c r="L358" s="202">
        <f ca="1">IFERROR(__xludf.DUMMYFUNCTION("""COMPUTED_VALUE"""),0)</f>
        <v>0</v>
      </c>
      <c r="M358" s="202">
        <f ca="1">IFERROR(__xludf.DUMMYFUNCTION("""COMPUTED_VALUE"""),357)</f>
        <v>357</v>
      </c>
      <c r="N358" s="202">
        <f ca="1">IFERROR(__xludf.DUMMYFUNCTION("""COMPUTED_VALUE"""),2919)</f>
        <v>2919</v>
      </c>
      <c r="O358" s="202">
        <f ca="1">IFERROR(__xludf.DUMMYFUNCTION("""COMPUTED_VALUE"""),0)</f>
        <v>0</v>
      </c>
      <c r="P358" s="202">
        <f t="shared" ca="1" si="1"/>
        <v>7665</v>
      </c>
    </row>
    <row r="359" spans="1:16" ht="12.75">
      <c r="A359" s="194" t="str">
        <f ca="1">IFERROR(__xludf.DUMMYFUNCTION("""COMPUTED_VALUE"""),"Tocantinópolis")</f>
        <v>Tocantinópolis</v>
      </c>
      <c r="B359" s="194" t="str">
        <f ca="1">IFERROR(__xludf.DUMMYFUNCTION("""COMPUTED_VALUE"""),"Cachoeirinha")</f>
        <v>Cachoeirinha</v>
      </c>
      <c r="C359" s="195" t="str">
        <f ca="1">IFERROR(__xludf.DUMMYFUNCTION("""COMPUTED_VALUE"""),"A.A. E. EST. NOVA DA CACHOEIRINHA/RAIMUNDO NONATO TORRES")</f>
        <v>A.A. E. EST. NOVA DA CACHOEIRINHA/RAIMUNDO NONATO TORRES</v>
      </c>
      <c r="D359" s="196" t="str">
        <f ca="1">IFERROR(__xludf.DUMMYFUNCTION("""COMPUTED_VALUE"""),"01213535000103")</f>
        <v>01213535000103</v>
      </c>
      <c r="E359" s="197" t="str">
        <f ca="1">IFERROR(__xludf.DUMMYFUNCTION("""COMPUTED_VALUE"""),"001")</f>
        <v>001</v>
      </c>
      <c r="F359" s="197" t="str">
        <f ca="1">IFERROR(__xludf.DUMMYFUNCTION("""COMPUTED_VALUE"""),"0810")</f>
        <v>0810</v>
      </c>
      <c r="G359" s="198" t="str">
        <f ca="1">IFERROR(__xludf.DUMMYFUNCTION("""COMPUTED_VALUE"""),"0217689")</f>
        <v>0217689</v>
      </c>
      <c r="H359" s="198">
        <f ca="1">IFERROR(__xludf.DUMMYFUNCTION("""COMPUTED_VALUE"""),0)</f>
        <v>0</v>
      </c>
      <c r="I359" s="198">
        <f ca="1">IFERROR(__xludf.DUMMYFUNCTION("""COMPUTED_VALUE"""),0)</f>
        <v>0</v>
      </c>
      <c r="J359" s="198">
        <f ca="1">IFERROR(__xludf.DUMMYFUNCTION("""COMPUTED_VALUE"""),2583)</f>
        <v>2583</v>
      </c>
      <c r="K359" s="198">
        <f ca="1">IFERROR(__xludf.DUMMYFUNCTION("""COMPUTED_VALUE"""),0)</f>
        <v>0</v>
      </c>
      <c r="L359" s="198">
        <f ca="1">IFERROR(__xludf.DUMMYFUNCTION("""COMPUTED_VALUE"""),0)</f>
        <v>0</v>
      </c>
      <c r="M359" s="198">
        <f ca="1">IFERROR(__xludf.DUMMYFUNCTION("""COMPUTED_VALUE"""),231)</f>
        <v>231</v>
      </c>
      <c r="N359" s="198">
        <f ca="1">IFERROR(__xludf.DUMMYFUNCTION("""COMPUTED_VALUE"""),2016)</f>
        <v>2016</v>
      </c>
      <c r="O359" s="198">
        <f ca="1">IFERROR(__xludf.DUMMYFUNCTION("""COMPUTED_VALUE"""),0)</f>
        <v>0</v>
      </c>
      <c r="P359" s="198">
        <f t="shared" ca="1" si="1"/>
        <v>4830</v>
      </c>
    </row>
    <row r="360" spans="1:16" ht="12.75">
      <c r="A360" s="199" t="str">
        <f ca="1">IFERROR(__xludf.DUMMYFUNCTION("""COMPUTED_VALUE"""),"Tocantinópolis")</f>
        <v>Tocantinópolis</v>
      </c>
      <c r="B360" s="199" t="str">
        <f ca="1">IFERROR(__xludf.DUMMYFUNCTION("""COMPUTED_VALUE"""),"darcinopolis")</f>
        <v>darcinopolis</v>
      </c>
      <c r="C360" s="145" t="str">
        <f ca="1">IFERROR(__xludf.DUMMYFUNCTION("""COMPUTED_VALUE"""),"A. APOIO COL. EST. JOSE DE SOUZA PORTO")</f>
        <v>A. APOIO COL. EST. JOSE DE SOUZA PORTO</v>
      </c>
      <c r="D360" s="200" t="str">
        <f ca="1">IFERROR(__xludf.DUMMYFUNCTION("""COMPUTED_VALUE"""),"01213532000170")</f>
        <v>01213532000170</v>
      </c>
      <c r="E360" s="201" t="str">
        <f ca="1">IFERROR(__xludf.DUMMYFUNCTION("""COMPUTED_VALUE"""),"001")</f>
        <v>001</v>
      </c>
      <c r="F360" s="201" t="str">
        <f ca="1">IFERROR(__xludf.DUMMYFUNCTION("""COMPUTED_VALUE"""),"0810")</f>
        <v>0810</v>
      </c>
      <c r="G360" s="202" t="str">
        <f ca="1">IFERROR(__xludf.DUMMYFUNCTION("""COMPUTED_VALUE"""),"25739")</f>
        <v>25739</v>
      </c>
      <c r="H360" s="202">
        <f ca="1">IFERROR(__xludf.DUMMYFUNCTION("""COMPUTED_VALUE"""),0)</f>
        <v>0</v>
      </c>
      <c r="I360" s="202">
        <f ca="1">IFERROR(__xludf.DUMMYFUNCTION("""COMPUTED_VALUE"""),0)</f>
        <v>0</v>
      </c>
      <c r="J360" s="202">
        <f ca="1">IFERROR(__xludf.DUMMYFUNCTION("""COMPUTED_VALUE"""),10521)</f>
        <v>10521</v>
      </c>
      <c r="K360" s="202">
        <f ca="1">IFERROR(__xludf.DUMMYFUNCTION("""COMPUTED_VALUE"""),0)</f>
        <v>0</v>
      </c>
      <c r="L360" s="202">
        <f ca="1">IFERROR(__xludf.DUMMYFUNCTION("""COMPUTED_VALUE"""),0)</f>
        <v>0</v>
      </c>
      <c r="M360" s="202">
        <f ca="1">IFERROR(__xludf.DUMMYFUNCTION("""COMPUTED_VALUE"""),525)</f>
        <v>525</v>
      </c>
      <c r="N360" s="202">
        <f ca="1">IFERROR(__xludf.DUMMYFUNCTION("""COMPUTED_VALUE"""),5859)</f>
        <v>5859</v>
      </c>
      <c r="O360" s="202">
        <f ca="1">IFERROR(__xludf.DUMMYFUNCTION("""COMPUTED_VALUE"""),0)</f>
        <v>0</v>
      </c>
      <c r="P360" s="202">
        <f t="shared" ca="1" si="1"/>
        <v>16905</v>
      </c>
    </row>
    <row r="361" spans="1:16" ht="12.75">
      <c r="A361" s="194" t="str">
        <f ca="1">IFERROR(__xludf.DUMMYFUNCTION("""COMPUTED_VALUE"""),"Tocantinópolis")</f>
        <v>Tocantinópolis</v>
      </c>
      <c r="B361" s="194" t="str">
        <f ca="1">IFERROR(__xludf.DUMMYFUNCTION("""COMPUTED_VALUE"""),"Itaguatins")</f>
        <v>Itaguatins</v>
      </c>
      <c r="C361" s="195" t="str">
        <f ca="1">IFERROR(__xludf.DUMMYFUNCTION("""COMPUTED_VALUE"""),"ASS. DE APOIO ESC. EST. OLAVO BILAC")</f>
        <v>ASS. DE APOIO ESC. EST. OLAVO BILAC</v>
      </c>
      <c r="D361" s="196" t="str">
        <f ca="1">IFERROR(__xludf.DUMMYFUNCTION("""COMPUTED_VALUE"""),"01358337000138")</f>
        <v>01358337000138</v>
      </c>
      <c r="E361" s="197" t="str">
        <f ca="1">IFERROR(__xludf.DUMMYFUNCTION("""COMPUTED_VALUE"""),"001")</f>
        <v>001</v>
      </c>
      <c r="F361" s="197" t="str">
        <f ca="1">IFERROR(__xludf.DUMMYFUNCTION("""COMPUTED_VALUE"""),"0810")</f>
        <v>0810</v>
      </c>
      <c r="G361" s="198" t="str">
        <f ca="1">IFERROR(__xludf.DUMMYFUNCTION("""COMPUTED_VALUE"""),"218391")</f>
        <v>218391</v>
      </c>
      <c r="H361" s="198">
        <f ca="1">IFERROR(__xludf.DUMMYFUNCTION("""COMPUTED_VALUE"""),0)</f>
        <v>0</v>
      </c>
      <c r="I361" s="198">
        <f ca="1">IFERROR(__xludf.DUMMYFUNCTION("""COMPUTED_VALUE"""),0)</f>
        <v>0</v>
      </c>
      <c r="J361" s="198">
        <f ca="1">IFERROR(__xludf.DUMMYFUNCTION("""COMPUTED_VALUE"""),1281)</f>
        <v>1281</v>
      </c>
      <c r="K361" s="198">
        <f ca="1">IFERROR(__xludf.DUMMYFUNCTION("""COMPUTED_VALUE"""),0)</f>
        <v>0</v>
      </c>
      <c r="L361" s="198">
        <f ca="1">IFERROR(__xludf.DUMMYFUNCTION("""COMPUTED_VALUE"""),0)</f>
        <v>0</v>
      </c>
      <c r="M361" s="198">
        <f ca="1">IFERROR(__xludf.DUMMYFUNCTION("""COMPUTED_VALUE"""),0)</f>
        <v>0</v>
      </c>
      <c r="N361" s="198">
        <f ca="1">IFERROR(__xludf.DUMMYFUNCTION("""COMPUTED_VALUE"""),4452)</f>
        <v>4452</v>
      </c>
      <c r="O361" s="198">
        <f ca="1">IFERROR(__xludf.DUMMYFUNCTION("""COMPUTED_VALUE"""),336)</f>
        <v>336</v>
      </c>
      <c r="P361" s="198">
        <f t="shared" ca="1" si="1"/>
        <v>6069</v>
      </c>
    </row>
    <row r="362" spans="1:16" ht="12.75">
      <c r="A362" s="199" t="str">
        <f ca="1">IFERROR(__xludf.DUMMYFUNCTION("""COMPUTED_VALUE"""),"Tocantinópolis")</f>
        <v>Tocantinópolis</v>
      </c>
      <c r="B362" s="199" t="str">
        <f ca="1">IFERROR(__xludf.DUMMYFUNCTION("""COMPUTED_VALUE"""),"Luzinopolis")</f>
        <v>Luzinopolis</v>
      </c>
      <c r="C362" s="145" t="str">
        <f ca="1">IFERROR(__xludf.DUMMYFUNCTION("""COMPUTED_VALUE"""),"ASS. AP.A ESC. EST. JUSCELINO K.DE OLIVEIRA")</f>
        <v>ASS. AP.A ESC. EST. JUSCELINO K.DE OLIVEIRA</v>
      </c>
      <c r="D362" s="200" t="str">
        <f ca="1">IFERROR(__xludf.DUMMYFUNCTION("""COMPUTED_VALUE"""),"01230232000107")</f>
        <v>01230232000107</v>
      </c>
      <c r="E362" s="201" t="str">
        <f ca="1">IFERROR(__xludf.DUMMYFUNCTION("""COMPUTED_VALUE"""),"001")</f>
        <v>001</v>
      </c>
      <c r="F362" s="201" t="str">
        <f ca="1">IFERROR(__xludf.DUMMYFUNCTION("""COMPUTED_VALUE"""),"0810")</f>
        <v>0810</v>
      </c>
      <c r="G362" s="202" t="str">
        <f ca="1">IFERROR(__xludf.DUMMYFUNCTION("""COMPUTED_VALUE"""),"022135X")</f>
        <v>022135X</v>
      </c>
      <c r="H362" s="202">
        <f ca="1">IFERROR(__xludf.DUMMYFUNCTION("""COMPUTED_VALUE"""),0)</f>
        <v>0</v>
      </c>
      <c r="I362" s="202">
        <f ca="1">IFERROR(__xludf.DUMMYFUNCTION("""COMPUTED_VALUE"""),0)</f>
        <v>0</v>
      </c>
      <c r="J362" s="202">
        <f ca="1">IFERROR(__xludf.DUMMYFUNCTION("""COMPUTED_VALUE"""),4977)</f>
        <v>4977</v>
      </c>
      <c r="K362" s="202">
        <f ca="1">IFERROR(__xludf.DUMMYFUNCTION("""COMPUTED_VALUE"""),0)</f>
        <v>0</v>
      </c>
      <c r="L362" s="202">
        <f ca="1">IFERROR(__xludf.DUMMYFUNCTION("""COMPUTED_VALUE"""),0)</f>
        <v>0</v>
      </c>
      <c r="M362" s="202">
        <f ca="1">IFERROR(__xludf.DUMMYFUNCTION("""COMPUTED_VALUE"""),0)</f>
        <v>0</v>
      </c>
      <c r="N362" s="202">
        <f ca="1">IFERROR(__xludf.DUMMYFUNCTION("""COMPUTED_VALUE"""),3612)</f>
        <v>3612</v>
      </c>
      <c r="O362" s="202">
        <f ca="1">IFERROR(__xludf.DUMMYFUNCTION("""COMPUTED_VALUE"""),0)</f>
        <v>0</v>
      </c>
      <c r="P362" s="202">
        <f t="shared" ca="1" si="1"/>
        <v>8589</v>
      </c>
    </row>
    <row r="363" spans="1:16" ht="12.75">
      <c r="A363" s="194" t="str">
        <f ca="1">IFERROR(__xludf.DUMMYFUNCTION("""COMPUTED_VALUE"""),"Tocantinópolis")</f>
        <v>Tocantinópolis</v>
      </c>
      <c r="B363" s="194" t="str">
        <f ca="1">IFERROR(__xludf.DUMMYFUNCTION("""COMPUTED_VALUE"""),"Maurilandia do Tocantins")</f>
        <v>Maurilandia do Tocantins</v>
      </c>
      <c r="C363" s="195" t="str">
        <f ca="1">IFERROR(__xludf.DUMMYFUNCTION("""COMPUTED_VALUE"""),"A.A.  DA ESC. EST.PEDRO LUDOVICO TEIXEIRA")</f>
        <v>A.A.  DA ESC. EST.PEDRO LUDOVICO TEIXEIRA</v>
      </c>
      <c r="D363" s="196" t="str">
        <f ca="1">IFERROR(__xludf.DUMMYFUNCTION("""COMPUTED_VALUE"""),"01213528000101")</f>
        <v>01213528000101</v>
      </c>
      <c r="E363" s="197" t="str">
        <f ca="1">IFERROR(__xludf.DUMMYFUNCTION("""COMPUTED_VALUE"""),"001")</f>
        <v>001</v>
      </c>
      <c r="F363" s="197" t="str">
        <f ca="1">IFERROR(__xludf.DUMMYFUNCTION("""COMPUTED_VALUE"""),"0810")</f>
        <v>0810</v>
      </c>
      <c r="G363" s="198" t="str">
        <f ca="1">IFERROR(__xludf.DUMMYFUNCTION("""COMPUTED_VALUE"""),"0217670")</f>
        <v>0217670</v>
      </c>
      <c r="H363" s="198">
        <f ca="1">IFERROR(__xludf.DUMMYFUNCTION("""COMPUTED_VALUE"""),0)</f>
        <v>0</v>
      </c>
      <c r="I363" s="198">
        <f ca="1">IFERROR(__xludf.DUMMYFUNCTION("""COMPUTED_VALUE"""),0)</f>
        <v>0</v>
      </c>
      <c r="J363" s="198">
        <f ca="1">IFERROR(__xludf.DUMMYFUNCTION("""COMPUTED_VALUE"""),1239)</f>
        <v>1239</v>
      </c>
      <c r="K363" s="198">
        <f ca="1">IFERROR(__xludf.DUMMYFUNCTION("""COMPUTED_VALUE"""),0)</f>
        <v>0</v>
      </c>
      <c r="L363" s="198">
        <f ca="1">IFERROR(__xludf.DUMMYFUNCTION("""COMPUTED_VALUE"""),0)</f>
        <v>0</v>
      </c>
      <c r="M363" s="198">
        <f ca="1">IFERROR(__xludf.DUMMYFUNCTION("""COMPUTED_VALUE"""),0)</f>
        <v>0</v>
      </c>
      <c r="N363" s="198">
        <f ca="1">IFERROR(__xludf.DUMMYFUNCTION("""COMPUTED_VALUE"""),3276)</f>
        <v>3276</v>
      </c>
      <c r="O363" s="198">
        <f ca="1">IFERROR(__xludf.DUMMYFUNCTION("""COMPUTED_VALUE"""),0)</f>
        <v>0</v>
      </c>
      <c r="P363" s="198">
        <f t="shared" ca="1" si="1"/>
        <v>4515</v>
      </c>
    </row>
    <row r="364" spans="1:16" ht="12.75">
      <c r="A364" s="199" t="str">
        <f ca="1">IFERROR(__xludf.DUMMYFUNCTION("""COMPUTED_VALUE"""),"Tocantinópolis")</f>
        <v>Tocantinópolis</v>
      </c>
      <c r="B364" s="199" t="str">
        <f ca="1">IFERROR(__xludf.DUMMYFUNCTION("""COMPUTED_VALUE"""),"Nazare")</f>
        <v>Nazare</v>
      </c>
      <c r="C364" s="145" t="str">
        <f ca="1">IFERROR(__xludf.DUMMYFUNCTION("""COMPUTED_VALUE"""),"A.DO COLEGIO EST.PRES.CASTELO BRANCO")</f>
        <v>A.DO COLEGIO EST.PRES.CASTELO BRANCO</v>
      </c>
      <c r="D364" s="200" t="str">
        <f ca="1">IFERROR(__xludf.DUMMYFUNCTION("""COMPUTED_VALUE"""),"01213522000134")</f>
        <v>01213522000134</v>
      </c>
      <c r="E364" s="201" t="str">
        <f ca="1">IFERROR(__xludf.DUMMYFUNCTION("""COMPUTED_VALUE"""),"001")</f>
        <v>001</v>
      </c>
      <c r="F364" s="201" t="str">
        <f ca="1">IFERROR(__xludf.DUMMYFUNCTION("""COMPUTED_VALUE"""),"0810")</f>
        <v>0810</v>
      </c>
      <c r="G364" s="202" t="str">
        <f ca="1">IFERROR(__xludf.DUMMYFUNCTION("""COMPUTED_VALUE"""),"217859")</f>
        <v>217859</v>
      </c>
      <c r="H364" s="202">
        <f ca="1">IFERROR(__xludf.DUMMYFUNCTION("""COMPUTED_VALUE"""),0)</f>
        <v>0</v>
      </c>
      <c r="I364" s="202">
        <f ca="1">IFERROR(__xludf.DUMMYFUNCTION("""COMPUTED_VALUE"""),0)</f>
        <v>0</v>
      </c>
      <c r="J364" s="202">
        <f ca="1">IFERROR(__xludf.DUMMYFUNCTION("""COMPUTED_VALUE"""),4326)</f>
        <v>4326</v>
      </c>
      <c r="K364" s="202">
        <f ca="1">IFERROR(__xludf.DUMMYFUNCTION("""COMPUTED_VALUE"""),0)</f>
        <v>0</v>
      </c>
      <c r="L364" s="202">
        <f ca="1">IFERROR(__xludf.DUMMYFUNCTION("""COMPUTED_VALUE"""),0)</f>
        <v>0</v>
      </c>
      <c r="M364" s="202">
        <f ca="1">IFERROR(__xludf.DUMMYFUNCTION("""COMPUTED_VALUE"""),441)</f>
        <v>441</v>
      </c>
      <c r="N364" s="202">
        <f ca="1">IFERROR(__xludf.DUMMYFUNCTION("""COMPUTED_VALUE"""),2016)</f>
        <v>2016</v>
      </c>
      <c r="O364" s="202">
        <f ca="1">IFERROR(__xludf.DUMMYFUNCTION("""COMPUTED_VALUE"""),0)</f>
        <v>0</v>
      </c>
      <c r="P364" s="202">
        <f t="shared" ca="1" si="1"/>
        <v>6783</v>
      </c>
    </row>
    <row r="365" spans="1:16" ht="12.75">
      <c r="A365" s="194" t="str">
        <f ca="1">IFERROR(__xludf.DUMMYFUNCTION("""COMPUTED_VALUE"""),"Tocantinópolis")</f>
        <v>Tocantinópolis</v>
      </c>
      <c r="B365" s="194" t="str">
        <f ca="1">IFERROR(__xludf.DUMMYFUNCTION("""COMPUTED_VALUE"""),"Nazare")</f>
        <v>Nazare</v>
      </c>
      <c r="C365" s="195" t="str">
        <f ca="1">IFERROR(__xludf.DUMMYFUNCTION("""COMPUTED_VALUE"""),"ASSOC. DE APOIO A ESC. EST.ESPECIAL BEM VIVER")</f>
        <v>ASSOC. DE APOIO A ESC. EST.ESPECIAL BEM VIVER</v>
      </c>
      <c r="D365" s="196" t="str">
        <f ca="1">IFERROR(__xludf.DUMMYFUNCTION("""COMPUTED_VALUE"""),"10520927000106")</f>
        <v>10520927000106</v>
      </c>
      <c r="E365" s="197" t="str">
        <f ca="1">IFERROR(__xludf.DUMMYFUNCTION("""COMPUTED_VALUE"""),"001")</f>
        <v>001</v>
      </c>
      <c r="F365" s="197" t="str">
        <f ca="1">IFERROR(__xludf.DUMMYFUNCTION("""COMPUTED_VALUE"""),"0810")</f>
        <v>0810</v>
      </c>
      <c r="G365" s="198" t="str">
        <f ca="1">IFERROR(__xludf.DUMMYFUNCTION("""COMPUTED_VALUE"""),"200336")</f>
        <v>200336</v>
      </c>
      <c r="H365" s="198">
        <f ca="1">IFERROR(__xludf.DUMMYFUNCTION("""COMPUTED_VALUE"""),0)</f>
        <v>0</v>
      </c>
      <c r="I365" s="198">
        <f ca="1">IFERROR(__xludf.DUMMYFUNCTION("""COMPUTED_VALUE"""),147)</f>
        <v>147</v>
      </c>
      <c r="J365" s="198">
        <f ca="1">IFERROR(__xludf.DUMMYFUNCTION("""COMPUTED_VALUE"""),399)</f>
        <v>399</v>
      </c>
      <c r="K365" s="198">
        <f ca="1">IFERROR(__xludf.DUMMYFUNCTION("""COMPUTED_VALUE"""),0)</f>
        <v>0</v>
      </c>
      <c r="L365" s="198">
        <f ca="1">IFERROR(__xludf.DUMMYFUNCTION("""COMPUTED_VALUE"""),0)</f>
        <v>0</v>
      </c>
      <c r="M365" s="198">
        <f ca="1">IFERROR(__xludf.DUMMYFUNCTION("""COMPUTED_VALUE"""),21)</f>
        <v>21</v>
      </c>
      <c r="N365" s="198">
        <f ca="1">IFERROR(__xludf.DUMMYFUNCTION("""COMPUTED_VALUE"""),0)</f>
        <v>0</v>
      </c>
      <c r="O365" s="198">
        <f ca="1">IFERROR(__xludf.DUMMYFUNCTION("""COMPUTED_VALUE"""),1176)</f>
        <v>1176</v>
      </c>
      <c r="P365" s="198">
        <f t="shared" ca="1" si="1"/>
        <v>1743</v>
      </c>
    </row>
    <row r="366" spans="1:16" ht="12.75">
      <c r="A366" s="199" t="str">
        <f ca="1">IFERROR(__xludf.DUMMYFUNCTION("""COMPUTED_VALUE"""),"Tocantinópolis")</f>
        <v>Tocantinópolis</v>
      </c>
      <c r="B366" s="199" t="str">
        <f ca="1">IFERROR(__xludf.DUMMYFUNCTION("""COMPUTED_VALUE"""),"Nazare")</f>
        <v>Nazare</v>
      </c>
      <c r="C366" s="145" t="str">
        <f ca="1">IFERROR(__xludf.DUMMYFUNCTION("""COMPUTED_VALUE"""),"A.A. ESC. EST. DOM CORNELIO CHIZZINI")</f>
        <v>A.A. ESC. EST. DOM CORNELIO CHIZZINI</v>
      </c>
      <c r="D366" s="200" t="str">
        <f ca="1">IFERROR(__xludf.DUMMYFUNCTION("""COMPUTED_VALUE"""),"01230233000143")</f>
        <v>01230233000143</v>
      </c>
      <c r="E366" s="201" t="str">
        <f ca="1">IFERROR(__xludf.DUMMYFUNCTION("""COMPUTED_VALUE"""),"001")</f>
        <v>001</v>
      </c>
      <c r="F366" s="201" t="str">
        <f ca="1">IFERROR(__xludf.DUMMYFUNCTION("""COMPUTED_VALUE"""),"0810")</f>
        <v>0810</v>
      </c>
      <c r="G366" s="202" t="str">
        <f ca="1">IFERROR(__xludf.DUMMYFUNCTION("""COMPUTED_VALUE"""),"21776X")</f>
        <v>21776X</v>
      </c>
      <c r="H366" s="202">
        <f ca="1">IFERROR(__xludf.DUMMYFUNCTION("""COMPUTED_VALUE"""),0)</f>
        <v>0</v>
      </c>
      <c r="I366" s="202">
        <f ca="1">IFERROR(__xludf.DUMMYFUNCTION("""COMPUTED_VALUE"""),0)</f>
        <v>0</v>
      </c>
      <c r="J366" s="202">
        <f ca="1">IFERROR(__xludf.DUMMYFUNCTION("""COMPUTED_VALUE"""),1449)</f>
        <v>1449</v>
      </c>
      <c r="K366" s="202">
        <f ca="1">IFERROR(__xludf.DUMMYFUNCTION("""COMPUTED_VALUE"""),0)</f>
        <v>0</v>
      </c>
      <c r="L366" s="202">
        <f ca="1">IFERROR(__xludf.DUMMYFUNCTION("""COMPUTED_VALUE"""),0)</f>
        <v>0</v>
      </c>
      <c r="M366" s="202">
        <f ca="1">IFERROR(__xludf.DUMMYFUNCTION("""COMPUTED_VALUE"""),0)</f>
        <v>0</v>
      </c>
      <c r="N366" s="202">
        <f ca="1">IFERROR(__xludf.DUMMYFUNCTION("""COMPUTED_VALUE"""),1134)</f>
        <v>1134</v>
      </c>
      <c r="O366" s="202">
        <f ca="1">IFERROR(__xludf.DUMMYFUNCTION("""COMPUTED_VALUE"""),0)</f>
        <v>0</v>
      </c>
      <c r="P366" s="202">
        <f t="shared" ca="1" si="1"/>
        <v>2583</v>
      </c>
    </row>
    <row r="367" spans="1:16" ht="12.75">
      <c r="A367" s="194" t="str">
        <f ca="1">IFERROR(__xludf.DUMMYFUNCTION("""COMPUTED_VALUE"""),"Tocantinópolis")</f>
        <v>Tocantinópolis</v>
      </c>
      <c r="B367" s="194" t="str">
        <f ca="1">IFERROR(__xludf.DUMMYFUNCTION("""COMPUTED_VALUE"""),"Nazare")</f>
        <v>Nazare</v>
      </c>
      <c r="C367" s="195" t="str">
        <f ca="1">IFERROR(__xludf.DUMMYFUNCTION("""COMPUTED_VALUE"""),"A.A.  DA ESCOLA ESTADUAL PIACAVA")</f>
        <v>A.A.  DA ESCOLA ESTADUAL PIACAVA</v>
      </c>
      <c r="D367" s="196" t="str">
        <f ca="1">IFERROR(__xludf.DUMMYFUNCTION("""COMPUTED_VALUE"""),"01230239000110")</f>
        <v>01230239000110</v>
      </c>
      <c r="E367" s="197" t="str">
        <f ca="1">IFERROR(__xludf.DUMMYFUNCTION("""COMPUTED_VALUE"""),"001")</f>
        <v>001</v>
      </c>
      <c r="F367" s="197" t="str">
        <f ca="1">IFERROR(__xludf.DUMMYFUNCTION("""COMPUTED_VALUE"""),"0810")</f>
        <v>0810</v>
      </c>
      <c r="G367" s="198" t="str">
        <f ca="1">IFERROR(__xludf.DUMMYFUNCTION("""COMPUTED_VALUE"""),"217883")</f>
        <v>217883</v>
      </c>
      <c r="H367" s="198">
        <f ca="1">IFERROR(__xludf.DUMMYFUNCTION("""COMPUTED_VALUE"""),0)</f>
        <v>0</v>
      </c>
      <c r="I367" s="198">
        <f ca="1">IFERROR(__xludf.DUMMYFUNCTION("""COMPUTED_VALUE"""),0)</f>
        <v>0</v>
      </c>
      <c r="J367" s="198">
        <f ca="1">IFERROR(__xludf.DUMMYFUNCTION("""COMPUTED_VALUE"""),966)</f>
        <v>966</v>
      </c>
      <c r="K367" s="198">
        <f ca="1">IFERROR(__xludf.DUMMYFUNCTION("""COMPUTED_VALUE"""),0)</f>
        <v>0</v>
      </c>
      <c r="L367" s="198">
        <f ca="1">IFERROR(__xludf.DUMMYFUNCTION("""COMPUTED_VALUE"""),0)</f>
        <v>0</v>
      </c>
      <c r="M367" s="198">
        <f ca="1">IFERROR(__xludf.DUMMYFUNCTION("""COMPUTED_VALUE"""),0)</f>
        <v>0</v>
      </c>
      <c r="N367" s="198">
        <f ca="1">IFERROR(__xludf.DUMMYFUNCTION("""COMPUTED_VALUE"""),567)</f>
        <v>567</v>
      </c>
      <c r="O367" s="198">
        <f ca="1">IFERROR(__xludf.DUMMYFUNCTION("""COMPUTED_VALUE"""),588)</f>
        <v>588</v>
      </c>
      <c r="P367" s="198">
        <f t="shared" ca="1" si="1"/>
        <v>2121</v>
      </c>
    </row>
    <row r="368" spans="1:16" ht="12.75">
      <c r="A368" s="199" t="str">
        <f ca="1">IFERROR(__xludf.DUMMYFUNCTION("""COMPUTED_VALUE"""),"Tocantinópolis")</f>
        <v>Tocantinópolis</v>
      </c>
      <c r="B368" s="199" t="str">
        <f ca="1">IFERROR(__xludf.DUMMYFUNCTION("""COMPUTED_VALUE"""),"Palmeiras do Tocantins")</f>
        <v>Palmeiras do Tocantins</v>
      </c>
      <c r="C368" s="145" t="str">
        <f ca="1">IFERROR(__xludf.DUMMYFUNCTION("""COMPUTED_VALUE"""),"A.A. ESC. EST. RAIMUNDO NEIVA DE CARVALHO")</f>
        <v>A.A. ESC. EST. RAIMUNDO NEIVA DE CARVALHO</v>
      </c>
      <c r="D368" s="200" t="str">
        <f ca="1">IFERROR(__xludf.DUMMYFUNCTION("""COMPUTED_VALUE"""),"01213533000114")</f>
        <v>01213533000114</v>
      </c>
      <c r="E368" s="201" t="str">
        <f ca="1">IFERROR(__xludf.DUMMYFUNCTION("""COMPUTED_VALUE"""),"001")</f>
        <v>001</v>
      </c>
      <c r="F368" s="201" t="str">
        <f ca="1">IFERROR(__xludf.DUMMYFUNCTION("""COMPUTED_VALUE"""),"0810")</f>
        <v>0810</v>
      </c>
      <c r="G368" s="202" t="str">
        <f ca="1">IFERROR(__xludf.DUMMYFUNCTION("""COMPUTED_VALUE"""),"0027529")</f>
        <v>0027529</v>
      </c>
      <c r="H368" s="202">
        <f ca="1">IFERROR(__xludf.DUMMYFUNCTION("""COMPUTED_VALUE"""),0)</f>
        <v>0</v>
      </c>
      <c r="I368" s="202">
        <f ca="1">IFERROR(__xludf.DUMMYFUNCTION("""COMPUTED_VALUE"""),0)</f>
        <v>0</v>
      </c>
      <c r="J368" s="202">
        <f ca="1">IFERROR(__xludf.DUMMYFUNCTION("""COMPUTED_VALUE"""),4830)</f>
        <v>4830</v>
      </c>
      <c r="K368" s="202">
        <f ca="1">IFERROR(__xludf.DUMMYFUNCTION("""COMPUTED_VALUE"""),0)</f>
        <v>0</v>
      </c>
      <c r="L368" s="202">
        <f ca="1">IFERROR(__xludf.DUMMYFUNCTION("""COMPUTED_VALUE"""),0)</f>
        <v>0</v>
      </c>
      <c r="M368" s="202">
        <f ca="1">IFERROR(__xludf.DUMMYFUNCTION("""COMPUTED_VALUE"""),0)</f>
        <v>0</v>
      </c>
      <c r="N368" s="202">
        <f ca="1">IFERROR(__xludf.DUMMYFUNCTION("""COMPUTED_VALUE"""),5187)</f>
        <v>5187</v>
      </c>
      <c r="O368" s="202">
        <f ca="1">IFERROR(__xludf.DUMMYFUNCTION("""COMPUTED_VALUE"""),0)</f>
        <v>0</v>
      </c>
      <c r="P368" s="202">
        <f t="shared" ca="1" si="1"/>
        <v>10017</v>
      </c>
    </row>
    <row r="369" spans="1:16" ht="12.75">
      <c r="A369" s="194" t="str">
        <f ca="1">IFERROR(__xludf.DUMMYFUNCTION("""COMPUTED_VALUE"""),"Tocantinópolis")</f>
        <v>Tocantinópolis</v>
      </c>
      <c r="B369" s="194" t="str">
        <f ca="1">IFERROR(__xludf.DUMMYFUNCTION("""COMPUTED_VALUE"""),"Palmeiras do Tocantins")</f>
        <v>Palmeiras do Tocantins</v>
      </c>
      <c r="C369" s="195" t="str">
        <f ca="1">IFERROR(__xludf.DUMMYFUNCTION("""COMPUTED_VALUE"""),"A. DE APOIO DA E. E. PE. CESARE LELLI")</f>
        <v>A. DE APOIO DA E. E. PE. CESARE LELLI</v>
      </c>
      <c r="D369" s="196" t="str">
        <f ca="1">IFERROR(__xludf.DUMMYFUNCTION("""COMPUTED_VALUE"""),"03778873000118")</f>
        <v>03778873000118</v>
      </c>
      <c r="E369" s="197" t="str">
        <f ca="1">IFERROR(__xludf.DUMMYFUNCTION("""COMPUTED_VALUE"""),"001")</f>
        <v>001</v>
      </c>
      <c r="F369" s="197" t="str">
        <f ca="1">IFERROR(__xludf.DUMMYFUNCTION("""COMPUTED_VALUE"""),"0810")</f>
        <v>0810</v>
      </c>
      <c r="G369" s="198" t="str">
        <f ca="1">IFERROR(__xludf.DUMMYFUNCTION("""COMPUTED_VALUE"""),"82007")</f>
        <v>82007</v>
      </c>
      <c r="H369" s="198">
        <f ca="1">IFERROR(__xludf.DUMMYFUNCTION("""COMPUTED_VALUE"""),0)</f>
        <v>0</v>
      </c>
      <c r="I369" s="198">
        <f ca="1">IFERROR(__xludf.DUMMYFUNCTION("""COMPUTED_VALUE"""),0)</f>
        <v>0</v>
      </c>
      <c r="J369" s="198">
        <f ca="1">IFERROR(__xludf.DUMMYFUNCTION("""COMPUTED_VALUE"""),4263)</f>
        <v>4263</v>
      </c>
      <c r="K369" s="198">
        <f ca="1">IFERROR(__xludf.DUMMYFUNCTION("""COMPUTED_VALUE"""),0)</f>
        <v>0</v>
      </c>
      <c r="L369" s="198">
        <f ca="1">IFERROR(__xludf.DUMMYFUNCTION("""COMPUTED_VALUE"""),0)</f>
        <v>0</v>
      </c>
      <c r="M369" s="198">
        <f ca="1">IFERROR(__xludf.DUMMYFUNCTION("""COMPUTED_VALUE"""),483)</f>
        <v>483</v>
      </c>
      <c r="N369" s="198">
        <f ca="1">IFERROR(__xludf.DUMMYFUNCTION("""COMPUTED_VALUE"""),0)</f>
        <v>0</v>
      </c>
      <c r="O369" s="198">
        <f ca="1">IFERROR(__xludf.DUMMYFUNCTION("""COMPUTED_VALUE"""),0)</f>
        <v>0</v>
      </c>
      <c r="P369" s="198">
        <f t="shared" ca="1" si="1"/>
        <v>4746</v>
      </c>
    </row>
    <row r="370" spans="1:16" ht="12.75">
      <c r="A370" s="199" t="str">
        <f ca="1">IFERROR(__xludf.DUMMYFUNCTION("""COMPUTED_VALUE"""),"Tocantinópolis")</f>
        <v>Tocantinópolis</v>
      </c>
      <c r="B370" s="199" t="str">
        <f ca="1">IFERROR(__xludf.DUMMYFUNCTION("""COMPUTED_VALUE"""),"Santa Terezinha do Tocantins")</f>
        <v>Santa Terezinha do Tocantins</v>
      </c>
      <c r="C370" s="145" t="str">
        <f ca="1">IFERROR(__xludf.DUMMYFUNCTION("""COMPUTED_VALUE"""),"ASS. A. ESC. EST. DR JOSE FELICIANO FERREIRA")</f>
        <v>ASS. A. ESC. EST. DR JOSE FELICIANO FERREIRA</v>
      </c>
      <c r="D370" s="200" t="str">
        <f ca="1">IFERROR(__xludf.DUMMYFUNCTION("""COMPUTED_VALUE"""),"01077441000154")</f>
        <v>01077441000154</v>
      </c>
      <c r="E370" s="201" t="str">
        <f ca="1">IFERROR(__xludf.DUMMYFUNCTION("""COMPUTED_VALUE"""),"001")</f>
        <v>001</v>
      </c>
      <c r="F370" s="201" t="str">
        <f ca="1">IFERROR(__xludf.DUMMYFUNCTION("""COMPUTED_VALUE"""),"0810")</f>
        <v>0810</v>
      </c>
      <c r="G370" s="202" t="str">
        <f ca="1">IFERROR(__xludf.DUMMYFUNCTION("""COMPUTED_VALUE"""),"0026085")</f>
        <v>0026085</v>
      </c>
      <c r="H370" s="202">
        <f ca="1">IFERROR(__xludf.DUMMYFUNCTION("""COMPUTED_VALUE"""),0)</f>
        <v>0</v>
      </c>
      <c r="I370" s="202">
        <f ca="1">IFERROR(__xludf.DUMMYFUNCTION("""COMPUTED_VALUE"""),0)</f>
        <v>0</v>
      </c>
      <c r="J370" s="202">
        <f ca="1">IFERROR(__xludf.DUMMYFUNCTION("""COMPUTED_VALUE"""),1302)</f>
        <v>1302</v>
      </c>
      <c r="K370" s="202">
        <f ca="1">IFERROR(__xludf.DUMMYFUNCTION("""COMPUTED_VALUE"""),0)</f>
        <v>0</v>
      </c>
      <c r="L370" s="202">
        <f ca="1">IFERROR(__xludf.DUMMYFUNCTION("""COMPUTED_VALUE"""),0)</f>
        <v>0</v>
      </c>
      <c r="M370" s="202">
        <f ca="1">IFERROR(__xludf.DUMMYFUNCTION("""COMPUTED_VALUE"""),0)</f>
        <v>0</v>
      </c>
      <c r="N370" s="202">
        <f ca="1">IFERROR(__xludf.DUMMYFUNCTION("""COMPUTED_VALUE"""),1932)</f>
        <v>1932</v>
      </c>
      <c r="O370" s="202">
        <f ca="1">IFERROR(__xludf.DUMMYFUNCTION("""COMPUTED_VALUE"""),0)</f>
        <v>0</v>
      </c>
      <c r="P370" s="202">
        <f t="shared" ca="1" si="1"/>
        <v>3234</v>
      </c>
    </row>
    <row r="371" spans="1:16" ht="12.75">
      <c r="A371" s="194" t="str">
        <f ca="1">IFERROR(__xludf.DUMMYFUNCTION("""COMPUTED_VALUE"""),"Tocantinópolis")</f>
        <v>Tocantinópolis</v>
      </c>
      <c r="B371" s="194" t="str">
        <f ca="1">IFERROR(__xludf.DUMMYFUNCTION("""COMPUTED_VALUE"""),"Tocantinopolis")</f>
        <v>Tocantinopolis</v>
      </c>
      <c r="C371" s="195" t="str">
        <f ca="1">IFERROR(__xludf.DUMMYFUNCTION("""COMPUTED_VALUE"""),"A.A ESC. EST.INDIGENAS NRE TOCANTINOPOLIS")</f>
        <v>A.A ESC. EST.INDIGENAS NRE TOCANTINOPOLIS</v>
      </c>
      <c r="D371" s="196" t="str">
        <f ca="1">IFERROR(__xludf.DUMMYFUNCTION("""COMPUTED_VALUE"""),"06171083000168")</f>
        <v>06171083000168</v>
      </c>
      <c r="E371" s="197" t="str">
        <f ca="1">IFERROR(__xludf.DUMMYFUNCTION("""COMPUTED_VALUE"""),"001")</f>
        <v>001</v>
      </c>
      <c r="F371" s="197" t="str">
        <f ca="1">IFERROR(__xludf.DUMMYFUNCTION("""COMPUTED_VALUE"""),"0810")</f>
        <v>0810</v>
      </c>
      <c r="G371" s="198" t="str">
        <f ca="1">IFERROR(__xludf.DUMMYFUNCTION("""COMPUTED_VALUE"""),"140538")</f>
        <v>140538</v>
      </c>
      <c r="H371" s="198">
        <f ca="1">IFERROR(__xludf.DUMMYFUNCTION("""COMPUTED_VALUE"""),0)</f>
        <v>0</v>
      </c>
      <c r="I371" s="198">
        <f ca="1">IFERROR(__xludf.DUMMYFUNCTION("""COMPUTED_VALUE"""),0)</f>
        <v>0</v>
      </c>
      <c r="J371" s="198">
        <f ca="1">IFERROR(__xludf.DUMMYFUNCTION("""COMPUTED_VALUE"""),0)</f>
        <v>0</v>
      </c>
      <c r="K371" s="198">
        <f ca="1">IFERROR(__xludf.DUMMYFUNCTION("""COMPUTED_VALUE"""),0)</f>
        <v>0</v>
      </c>
      <c r="L371" s="198">
        <f ca="1">IFERROR(__xludf.DUMMYFUNCTION("""COMPUTED_VALUE"""),11781)</f>
        <v>11781</v>
      </c>
      <c r="M371" s="198">
        <f ca="1">IFERROR(__xludf.DUMMYFUNCTION("""COMPUTED_VALUE"""),0)</f>
        <v>0</v>
      </c>
      <c r="N371" s="198">
        <f ca="1">IFERROR(__xludf.DUMMYFUNCTION("""COMPUTED_VALUE"""),0)</f>
        <v>0</v>
      </c>
      <c r="O371" s="198">
        <f ca="1">IFERROR(__xludf.DUMMYFUNCTION("""COMPUTED_VALUE"""),0)</f>
        <v>0</v>
      </c>
      <c r="P371" s="198">
        <f t="shared" ca="1" si="1"/>
        <v>11781</v>
      </c>
    </row>
    <row r="372" spans="1:16" ht="12.75">
      <c r="A372" s="199" t="str">
        <f ca="1">IFERROR(__xludf.DUMMYFUNCTION("""COMPUTED_VALUE"""),"Tocantinópolis")</f>
        <v>Tocantinópolis</v>
      </c>
      <c r="B372" s="199" t="str">
        <f ca="1">IFERROR(__xludf.DUMMYFUNCTION("""COMPUTED_VALUE"""),"Tocantinopolis")</f>
        <v>Tocantinopolis</v>
      </c>
      <c r="C372" s="145" t="str">
        <f ca="1">IFERROR(__xludf.DUMMYFUNCTION("""COMPUTED_VALUE"""),"A.A. AS ESC. EST.INDIGENAS MATYK E APORO")</f>
        <v>A.A. AS ESC. EST.INDIGENAS MATYK E APORO</v>
      </c>
      <c r="D372" s="200" t="str">
        <f ca="1">IFERROR(__xludf.DUMMYFUNCTION("""COMPUTED_VALUE"""),"03544096000147")</f>
        <v>03544096000147</v>
      </c>
      <c r="E372" s="201" t="str">
        <f ca="1">IFERROR(__xludf.DUMMYFUNCTION("""COMPUTED_VALUE"""),"001")</f>
        <v>001</v>
      </c>
      <c r="F372" s="201" t="str">
        <f ca="1">IFERROR(__xludf.DUMMYFUNCTION("""COMPUTED_VALUE"""),"0810")</f>
        <v>0810</v>
      </c>
      <c r="G372" s="202" t="str">
        <f ca="1">IFERROR(__xludf.DUMMYFUNCTION("""COMPUTED_VALUE"""),"67423")</f>
        <v>67423</v>
      </c>
      <c r="H372" s="202">
        <f ca="1">IFERROR(__xludf.DUMMYFUNCTION("""COMPUTED_VALUE"""),0)</f>
        <v>0</v>
      </c>
      <c r="I372" s="202">
        <f ca="1">IFERROR(__xludf.DUMMYFUNCTION("""COMPUTED_VALUE"""),0)</f>
        <v>0</v>
      </c>
      <c r="J372" s="202">
        <f ca="1">IFERROR(__xludf.DUMMYFUNCTION("""COMPUTED_VALUE"""),0)</f>
        <v>0</v>
      </c>
      <c r="K372" s="202">
        <f ca="1">IFERROR(__xludf.DUMMYFUNCTION("""COMPUTED_VALUE"""),0)</f>
        <v>0</v>
      </c>
      <c r="L372" s="202">
        <f ca="1">IFERROR(__xludf.DUMMYFUNCTION("""COMPUTED_VALUE"""),14364)</f>
        <v>14364</v>
      </c>
      <c r="M372" s="202">
        <f ca="1">IFERROR(__xludf.DUMMYFUNCTION("""COMPUTED_VALUE"""),0)</f>
        <v>0</v>
      </c>
      <c r="N372" s="202">
        <f ca="1">IFERROR(__xludf.DUMMYFUNCTION("""COMPUTED_VALUE"""),0)</f>
        <v>0</v>
      </c>
      <c r="O372" s="202">
        <f ca="1">IFERROR(__xludf.DUMMYFUNCTION("""COMPUTED_VALUE"""),0)</f>
        <v>0</v>
      </c>
      <c r="P372" s="202">
        <f t="shared" ca="1" si="1"/>
        <v>14364</v>
      </c>
    </row>
    <row r="373" spans="1:16" ht="12.75">
      <c r="A373" s="194" t="str">
        <f ca="1">IFERROR(__xludf.DUMMYFUNCTION("""COMPUTED_VALUE"""),"Tocantinópolis")</f>
        <v>Tocantinópolis</v>
      </c>
      <c r="B373" s="194" t="str">
        <f ca="1">IFERROR(__xludf.DUMMYFUNCTION("""COMPUTED_VALUE"""),"Tocantinopolis")</f>
        <v>Tocantinopolis</v>
      </c>
      <c r="C373" s="195" t="str">
        <f ca="1">IFERROR(__xludf.DUMMYFUNCTION("""COMPUTED_VALUE"""),"ASSOC.PAIS E MESTRES COL. EST. DEP.DARCY MARINHO")</f>
        <v>ASSOC.PAIS E MESTRES COL. EST. DEP.DARCY MARINHO</v>
      </c>
      <c r="D373" s="196" t="str">
        <f ca="1">IFERROR(__xludf.DUMMYFUNCTION("""COMPUTED_VALUE"""),"01230236000187")</f>
        <v>01230236000187</v>
      </c>
      <c r="E373" s="197" t="str">
        <f ca="1">IFERROR(__xludf.DUMMYFUNCTION("""COMPUTED_VALUE"""),"001")</f>
        <v>001</v>
      </c>
      <c r="F373" s="197" t="str">
        <f ca="1">IFERROR(__xludf.DUMMYFUNCTION("""COMPUTED_VALUE"""),"0810")</f>
        <v>0810</v>
      </c>
      <c r="G373" s="198" t="str">
        <f ca="1">IFERROR(__xludf.DUMMYFUNCTION("""COMPUTED_VALUE"""),"297410")</f>
        <v>297410</v>
      </c>
      <c r="H373" s="198">
        <f ca="1">IFERROR(__xludf.DUMMYFUNCTION("""COMPUTED_VALUE"""),0)</f>
        <v>0</v>
      </c>
      <c r="I373" s="198">
        <f ca="1">IFERROR(__xludf.DUMMYFUNCTION("""COMPUTED_VALUE"""),0)</f>
        <v>0</v>
      </c>
      <c r="J373" s="198">
        <f ca="1">IFERROR(__xludf.DUMMYFUNCTION("""COMPUTED_VALUE"""),0)</f>
        <v>0</v>
      </c>
      <c r="K373" s="198">
        <f ca="1">IFERROR(__xludf.DUMMYFUNCTION("""COMPUTED_VALUE"""),0)</f>
        <v>0</v>
      </c>
      <c r="L373" s="198">
        <f ca="1">IFERROR(__xludf.DUMMYFUNCTION("""COMPUTED_VALUE"""),0)</f>
        <v>0</v>
      </c>
      <c r="M373" s="198">
        <f ca="1">IFERROR(__xludf.DUMMYFUNCTION("""COMPUTED_VALUE"""),462)</f>
        <v>462</v>
      </c>
      <c r="N373" s="198">
        <f ca="1">IFERROR(__xludf.DUMMYFUNCTION("""COMPUTED_VALUE"""),0)</f>
        <v>0</v>
      </c>
      <c r="O373" s="198">
        <f ca="1">IFERROR(__xludf.DUMMYFUNCTION("""COMPUTED_VALUE"""),0)</f>
        <v>0</v>
      </c>
      <c r="P373" s="198">
        <f t="shared" ca="1" si="1"/>
        <v>462</v>
      </c>
    </row>
    <row r="374" spans="1:16" ht="12.75">
      <c r="A374" s="199" t="str">
        <f ca="1">IFERROR(__xludf.DUMMYFUNCTION("""COMPUTED_VALUE"""),"Tocantinópolis")</f>
        <v>Tocantinópolis</v>
      </c>
      <c r="B374" s="199" t="str">
        <f ca="1">IFERROR(__xludf.DUMMYFUNCTION("""COMPUTED_VALUE"""),"Tocantinopolis")</f>
        <v>Tocantinopolis</v>
      </c>
      <c r="C374" s="145" t="str">
        <f ca="1">IFERROR(__xludf.DUMMYFUNCTION("""COMPUTED_VALUE"""),"ASSOC. APOIO AO COLÉGIODOM ORIONE")</f>
        <v>ASSOC. APOIO AO COLÉGIODOM ORIONE</v>
      </c>
      <c r="D374" s="200" t="str">
        <f ca="1">IFERROR(__xludf.DUMMYFUNCTION("""COMPUTED_VALUE"""),"13033002000129")</f>
        <v>13033002000129</v>
      </c>
      <c r="E374" s="201" t="str">
        <f ca="1">IFERROR(__xludf.DUMMYFUNCTION("""COMPUTED_VALUE"""),"001")</f>
        <v>001</v>
      </c>
      <c r="F374" s="201" t="str">
        <f ca="1">IFERROR(__xludf.DUMMYFUNCTION("""COMPUTED_VALUE"""),"0810")</f>
        <v>0810</v>
      </c>
      <c r="G374" s="202" t="str">
        <f ca="1">IFERROR(__xludf.DUMMYFUNCTION("""COMPUTED_VALUE"""),"254193")</f>
        <v>254193</v>
      </c>
      <c r="H374" s="202">
        <f ca="1">IFERROR(__xludf.DUMMYFUNCTION("""COMPUTED_VALUE"""),0)</f>
        <v>0</v>
      </c>
      <c r="I374" s="202">
        <f ca="1">IFERROR(__xludf.DUMMYFUNCTION("""COMPUTED_VALUE"""),0)</f>
        <v>0</v>
      </c>
      <c r="J374" s="202">
        <f ca="1">IFERROR(__xludf.DUMMYFUNCTION("""COMPUTED_VALUE"""),3948)</f>
        <v>3948</v>
      </c>
      <c r="K374" s="202">
        <f ca="1">IFERROR(__xludf.DUMMYFUNCTION("""COMPUTED_VALUE"""),0)</f>
        <v>0</v>
      </c>
      <c r="L374" s="202">
        <f ca="1">IFERROR(__xludf.DUMMYFUNCTION("""COMPUTED_VALUE"""),0)</f>
        <v>0</v>
      </c>
      <c r="M374" s="202">
        <f ca="1">IFERROR(__xludf.DUMMYFUNCTION("""COMPUTED_VALUE"""),546)</f>
        <v>546</v>
      </c>
      <c r="N374" s="202">
        <f ca="1">IFERROR(__xludf.DUMMYFUNCTION("""COMPUTED_VALUE"""),8421)</f>
        <v>8421</v>
      </c>
      <c r="O374" s="202">
        <f ca="1">IFERROR(__xludf.DUMMYFUNCTION("""COMPUTED_VALUE"""),0)</f>
        <v>0</v>
      </c>
      <c r="P374" s="202">
        <f t="shared" ca="1" si="1"/>
        <v>12915</v>
      </c>
    </row>
    <row r="375" spans="1:16" ht="12.75">
      <c r="A375" s="194" t="str">
        <f ca="1">IFERROR(__xludf.DUMMYFUNCTION("""COMPUTED_VALUE"""),"Tocantinópolis")</f>
        <v>Tocantinópolis</v>
      </c>
      <c r="B375" s="194" t="str">
        <f ca="1">IFERROR(__xludf.DUMMYFUNCTION("""COMPUTED_VALUE"""),"Tocantinopolis")</f>
        <v>Tocantinopolis</v>
      </c>
      <c r="C375" s="195" t="str">
        <f ca="1">IFERROR(__xludf.DUMMYFUNCTION("""COMPUTED_VALUE"""),"A.A. DO COL.PADRAO/JOSÉ CARNEIRO DE BRITO")</f>
        <v>A.A. DO COL.PADRAO/JOSÉ CARNEIRO DE BRITO</v>
      </c>
      <c r="D375" s="196" t="str">
        <f ca="1">IFERROR(__xludf.DUMMYFUNCTION("""COMPUTED_VALUE"""),"03880040000163")</f>
        <v>03880040000163</v>
      </c>
      <c r="E375" s="197" t="str">
        <f ca="1">IFERROR(__xludf.DUMMYFUNCTION("""COMPUTED_VALUE"""),"001")</f>
        <v>001</v>
      </c>
      <c r="F375" s="197" t="str">
        <f ca="1">IFERROR(__xludf.DUMMYFUNCTION("""COMPUTED_VALUE"""),"0810")</f>
        <v>0810</v>
      </c>
      <c r="G375" s="198" t="str">
        <f ca="1">IFERROR(__xludf.DUMMYFUNCTION("""COMPUTED_VALUE"""),"81884")</f>
        <v>81884</v>
      </c>
      <c r="H375" s="198">
        <f ca="1">IFERROR(__xludf.DUMMYFUNCTION("""COMPUTED_VALUE"""),0)</f>
        <v>0</v>
      </c>
      <c r="I375" s="198">
        <f ca="1">IFERROR(__xludf.DUMMYFUNCTION("""COMPUTED_VALUE"""),0)</f>
        <v>0</v>
      </c>
      <c r="J375" s="198">
        <f ca="1">IFERROR(__xludf.DUMMYFUNCTION("""COMPUTED_VALUE"""),3675)</f>
        <v>3675</v>
      </c>
      <c r="K375" s="198">
        <f ca="1">IFERROR(__xludf.DUMMYFUNCTION("""COMPUTED_VALUE"""),0)</f>
        <v>0</v>
      </c>
      <c r="L375" s="198">
        <f ca="1">IFERROR(__xludf.DUMMYFUNCTION("""COMPUTED_VALUE"""),0)</f>
        <v>0</v>
      </c>
      <c r="M375" s="198">
        <f ca="1">IFERROR(__xludf.DUMMYFUNCTION("""COMPUTED_VALUE"""),378)</f>
        <v>378</v>
      </c>
      <c r="N375" s="198">
        <f ca="1">IFERROR(__xludf.DUMMYFUNCTION("""COMPUTED_VALUE"""),5124)</f>
        <v>5124</v>
      </c>
      <c r="O375" s="198">
        <f ca="1">IFERROR(__xludf.DUMMYFUNCTION("""COMPUTED_VALUE"""),1953)</f>
        <v>1953</v>
      </c>
      <c r="P375" s="198">
        <f t="shared" ca="1" si="1"/>
        <v>11130</v>
      </c>
    </row>
    <row r="376" spans="1:16" ht="12.75">
      <c r="A376" s="199" t="str">
        <f ca="1">IFERROR(__xludf.DUMMYFUNCTION("""COMPUTED_VALUE"""),"Tocantinópolis")</f>
        <v>Tocantinópolis</v>
      </c>
      <c r="B376" s="199" t="str">
        <f ca="1">IFERROR(__xludf.DUMMYFUNCTION("""COMPUTED_VALUE"""),"Tocantinopolis")</f>
        <v>Tocantinopolis</v>
      </c>
      <c r="C376" s="145" t="str">
        <f ca="1">IFERROR(__xludf.DUMMYFUNCTION("""COMPUTED_VALUE"""),"ASSOCIAÇÃO DE APOIO A ESCOLA ESPECIAL UM PASSO DIFERENTE -APAE")</f>
        <v>ASSOCIAÇÃO DE APOIO A ESCOLA ESPECIAL UM PASSO DIFERENTE -APAE</v>
      </c>
      <c r="D376" s="200" t="str">
        <f ca="1">IFERROR(__xludf.DUMMYFUNCTION("""COMPUTED_VALUE"""),"08012610000117")</f>
        <v>08012610000117</v>
      </c>
      <c r="E376" s="201" t="str">
        <f ca="1">IFERROR(__xludf.DUMMYFUNCTION("""COMPUTED_VALUE"""),"001")</f>
        <v>001</v>
      </c>
      <c r="F376" s="201" t="str">
        <f ca="1">IFERROR(__xludf.DUMMYFUNCTION("""COMPUTED_VALUE"""),"0810")</f>
        <v>0810</v>
      </c>
      <c r="G376" s="202" t="str">
        <f ca="1">IFERROR(__xludf.DUMMYFUNCTION("""COMPUTED_VALUE"""),"204250")</f>
        <v>204250</v>
      </c>
      <c r="H376" s="202">
        <f ca="1">IFERROR(__xludf.DUMMYFUNCTION("""COMPUTED_VALUE"""),0)</f>
        <v>0</v>
      </c>
      <c r="I376" s="202">
        <f ca="1">IFERROR(__xludf.DUMMYFUNCTION("""COMPUTED_VALUE"""),84)</f>
        <v>84</v>
      </c>
      <c r="J376" s="202">
        <f ca="1">IFERROR(__xludf.DUMMYFUNCTION("""COMPUTED_VALUE"""),189)</f>
        <v>189</v>
      </c>
      <c r="K376" s="202">
        <f ca="1">IFERROR(__xludf.DUMMYFUNCTION("""COMPUTED_VALUE"""),0)</f>
        <v>0</v>
      </c>
      <c r="L376" s="202">
        <f ca="1">IFERROR(__xludf.DUMMYFUNCTION("""COMPUTED_VALUE"""),0)</f>
        <v>0</v>
      </c>
      <c r="M376" s="202">
        <f ca="1">IFERROR(__xludf.DUMMYFUNCTION("""COMPUTED_VALUE"""),0)</f>
        <v>0</v>
      </c>
      <c r="N376" s="202">
        <f ca="1">IFERROR(__xludf.DUMMYFUNCTION("""COMPUTED_VALUE"""),0)</f>
        <v>0</v>
      </c>
      <c r="O376" s="202">
        <f ca="1">IFERROR(__xludf.DUMMYFUNCTION("""COMPUTED_VALUE"""),1764)</f>
        <v>1764</v>
      </c>
      <c r="P376" s="202">
        <f t="shared" ca="1" si="1"/>
        <v>2037</v>
      </c>
    </row>
    <row r="377" spans="1:16" ht="12.75">
      <c r="A377" s="194" t="str">
        <f ca="1">IFERROR(__xludf.DUMMYFUNCTION("""COMPUTED_VALUE"""),"Tocantinópolis")</f>
        <v>Tocantinópolis</v>
      </c>
      <c r="B377" s="194" t="str">
        <f ca="1">IFERROR(__xludf.DUMMYFUNCTION("""COMPUTED_VALUE"""),"Tocantinopolis")</f>
        <v>Tocantinopolis</v>
      </c>
      <c r="C377" s="195" t="str">
        <f ca="1">IFERROR(__xludf.DUMMYFUNCTION("""COMPUTED_VALUE"""),"A.A. ESC. E. E.PROF.ALDENORA A.CORREIA")</f>
        <v>A.A. ESC. E. E.PROF.ALDENORA A.CORREIA</v>
      </c>
      <c r="D377" s="196" t="str">
        <f ca="1">IFERROR(__xludf.DUMMYFUNCTION("""COMPUTED_VALUE"""),"01213527000167")</f>
        <v>01213527000167</v>
      </c>
      <c r="E377" s="197" t="str">
        <f ca="1">IFERROR(__xludf.DUMMYFUNCTION("""COMPUTED_VALUE"""),"001")</f>
        <v>001</v>
      </c>
      <c r="F377" s="197" t="str">
        <f ca="1">IFERROR(__xludf.DUMMYFUNCTION("""COMPUTED_VALUE"""),"0810")</f>
        <v>0810</v>
      </c>
      <c r="G377" s="198" t="str">
        <f ca="1">IFERROR(__xludf.DUMMYFUNCTION("""COMPUTED_VALUE"""),"58319")</f>
        <v>58319</v>
      </c>
      <c r="H377" s="198">
        <f ca="1">IFERROR(__xludf.DUMMYFUNCTION("""COMPUTED_VALUE"""),0)</f>
        <v>0</v>
      </c>
      <c r="I377" s="198">
        <f ca="1">IFERROR(__xludf.DUMMYFUNCTION("""COMPUTED_VALUE"""),0)</f>
        <v>0</v>
      </c>
      <c r="J377" s="198">
        <f ca="1">IFERROR(__xludf.DUMMYFUNCTION("""COMPUTED_VALUE"""),0)</f>
        <v>0</v>
      </c>
      <c r="K377" s="198">
        <f ca="1">IFERROR(__xludf.DUMMYFUNCTION("""COMPUTED_VALUE"""),0)</f>
        <v>0</v>
      </c>
      <c r="L377" s="198">
        <f ca="1">IFERROR(__xludf.DUMMYFUNCTION("""COMPUTED_VALUE"""),0)</f>
        <v>0</v>
      </c>
      <c r="M377" s="198">
        <f ca="1">IFERROR(__xludf.DUMMYFUNCTION("""COMPUTED_VALUE"""),168)</f>
        <v>168</v>
      </c>
      <c r="N377" s="198">
        <f ca="1">IFERROR(__xludf.DUMMYFUNCTION("""COMPUTED_VALUE"""),0)</f>
        <v>0</v>
      </c>
      <c r="O377" s="198">
        <f ca="1">IFERROR(__xludf.DUMMYFUNCTION("""COMPUTED_VALUE"""),0)</f>
        <v>0</v>
      </c>
      <c r="P377" s="198">
        <f t="shared" ca="1" si="1"/>
        <v>168</v>
      </c>
    </row>
    <row r="378" spans="1:16" ht="12.75">
      <c r="A378" s="199" t="str">
        <f ca="1">IFERROR(__xludf.DUMMYFUNCTION("""COMPUTED_VALUE"""),"Tocantinópolis")</f>
        <v>Tocantinópolis</v>
      </c>
      <c r="B378" s="199" t="str">
        <f ca="1">IFERROR(__xludf.DUMMYFUNCTION("""COMPUTED_VALUE"""),"Tocantinopolis")</f>
        <v>Tocantinopolis</v>
      </c>
      <c r="C378" s="145" t="str">
        <f ca="1">IFERROR(__xludf.DUMMYFUNCTION("""COMPUTED_VALUE"""),"A. PAIS DA ESC. EST. XV DE NOVEMBRO")</f>
        <v>A. PAIS DA ESC. EST. XV DE NOVEMBRO</v>
      </c>
      <c r="D378" s="200" t="str">
        <f ca="1">IFERROR(__xludf.DUMMYFUNCTION("""COMPUTED_VALUE"""),"01213520000145")</f>
        <v>01213520000145</v>
      </c>
      <c r="E378" s="201" t="str">
        <f ca="1">IFERROR(__xludf.DUMMYFUNCTION("""COMPUTED_VALUE"""),"001")</f>
        <v>001</v>
      </c>
      <c r="F378" s="201" t="str">
        <f ca="1">IFERROR(__xludf.DUMMYFUNCTION("""COMPUTED_VALUE"""),"0810")</f>
        <v>0810</v>
      </c>
      <c r="G378" s="202" t="str">
        <f ca="1">IFERROR(__xludf.DUMMYFUNCTION("""COMPUTED_VALUE"""),"58238")</f>
        <v>58238</v>
      </c>
      <c r="H378" s="202">
        <f ca="1">IFERROR(__xludf.DUMMYFUNCTION("""COMPUTED_VALUE"""),0)</f>
        <v>0</v>
      </c>
      <c r="I378" s="202">
        <f ca="1">IFERROR(__xludf.DUMMYFUNCTION("""COMPUTED_VALUE"""),0)</f>
        <v>0</v>
      </c>
      <c r="J378" s="202">
        <f ca="1">IFERROR(__xludf.DUMMYFUNCTION("""COMPUTED_VALUE"""),0)</f>
        <v>0</v>
      </c>
      <c r="K378" s="202">
        <f ca="1">IFERROR(__xludf.DUMMYFUNCTION("""COMPUTED_VALUE"""),0)</f>
        <v>0</v>
      </c>
      <c r="L378" s="202">
        <f ca="1">IFERROR(__xludf.DUMMYFUNCTION("""COMPUTED_VALUE"""),0)</f>
        <v>0</v>
      </c>
      <c r="M378" s="202">
        <f ca="1">IFERROR(__xludf.DUMMYFUNCTION("""COMPUTED_VALUE"""),441)</f>
        <v>441</v>
      </c>
      <c r="N378" s="202">
        <f ca="1">IFERROR(__xludf.DUMMYFUNCTION("""COMPUTED_VALUE"""),0)</f>
        <v>0</v>
      </c>
      <c r="O378" s="202">
        <f ca="1">IFERROR(__xludf.DUMMYFUNCTION("""COMPUTED_VALUE"""),0)</f>
        <v>0</v>
      </c>
      <c r="P378" s="202">
        <f t="shared" ca="1" si="1"/>
        <v>441</v>
      </c>
    </row>
    <row r="379" spans="1:16" ht="12.75">
      <c r="A379" s="194" t="str">
        <f ca="1">IFERROR(__xludf.DUMMYFUNCTION("""COMPUTED_VALUE"""),"Tocantinópolis")</f>
        <v>Tocantinópolis</v>
      </c>
      <c r="B379" s="194" t="str">
        <f ca="1">IFERROR(__xludf.DUMMYFUNCTION("""COMPUTED_VALUE"""),"Tocantinopolis")</f>
        <v>Tocantinopolis</v>
      </c>
      <c r="C379" s="195" t="str">
        <f ca="1">IFERROR(__xludf.DUMMYFUNCTION("""COMPUTED_VALUE"""),"A. ESCOLAR COM. PE. GIULIANO MORETTI")</f>
        <v>A. ESCOLAR COM. PE. GIULIANO MORETTI</v>
      </c>
      <c r="D379" s="196" t="str">
        <f ca="1">IFERROR(__xludf.DUMMYFUNCTION("""COMPUTED_VALUE"""),"00900202000190")</f>
        <v>00900202000190</v>
      </c>
      <c r="E379" s="197" t="str">
        <f ca="1">IFERROR(__xludf.DUMMYFUNCTION("""COMPUTED_VALUE"""),"001")</f>
        <v>001</v>
      </c>
      <c r="F379" s="197" t="str">
        <f ca="1">IFERROR(__xludf.DUMMYFUNCTION("""COMPUTED_VALUE"""),"0810")</f>
        <v>0810</v>
      </c>
      <c r="G379" s="198" t="str">
        <f ca="1">IFERROR(__xludf.DUMMYFUNCTION("""COMPUTED_VALUE"""),"217484")</f>
        <v>217484</v>
      </c>
      <c r="H379" s="198">
        <f ca="1">IFERROR(__xludf.DUMMYFUNCTION("""COMPUTED_VALUE"""),0)</f>
        <v>0</v>
      </c>
      <c r="I379" s="198">
        <f ca="1">IFERROR(__xludf.DUMMYFUNCTION("""COMPUTED_VALUE"""),0)</f>
        <v>0</v>
      </c>
      <c r="J379" s="198">
        <f ca="1">IFERROR(__xludf.DUMMYFUNCTION("""COMPUTED_VALUE"""),3024)</f>
        <v>3024</v>
      </c>
      <c r="K379" s="198">
        <f ca="1">IFERROR(__xludf.DUMMYFUNCTION("""COMPUTED_VALUE"""),0)</f>
        <v>0</v>
      </c>
      <c r="L379" s="198">
        <f ca="1">IFERROR(__xludf.DUMMYFUNCTION("""COMPUTED_VALUE"""),0)</f>
        <v>0</v>
      </c>
      <c r="M379" s="198">
        <f ca="1">IFERROR(__xludf.DUMMYFUNCTION("""COMPUTED_VALUE"""),693)</f>
        <v>693</v>
      </c>
      <c r="N379" s="198">
        <f ca="1">IFERROR(__xludf.DUMMYFUNCTION("""COMPUTED_VALUE"""),0)</f>
        <v>0</v>
      </c>
      <c r="O379" s="198">
        <f ca="1">IFERROR(__xludf.DUMMYFUNCTION("""COMPUTED_VALUE"""),1029)</f>
        <v>1029</v>
      </c>
      <c r="P379" s="198">
        <f t="shared" ca="1" si="1"/>
        <v>4746</v>
      </c>
    </row>
    <row r="380" spans="1:16" ht="12.75">
      <c r="A380" s="199" t="str">
        <f ca="1">IFERROR(__xludf.DUMMYFUNCTION("""COMPUTED_VALUE"""),"Tocantinópolis")</f>
        <v>Tocantinópolis</v>
      </c>
      <c r="B380" s="199" t="str">
        <f ca="1">IFERROR(__xludf.DUMMYFUNCTION("""COMPUTED_VALUE"""),"Tocantinopolis")</f>
        <v>Tocantinopolis</v>
      </c>
      <c r="C380" s="145" t="str">
        <f ca="1">IFERROR(__xludf.DUMMYFUNCTION("""COMPUTED_VALUE"""),"A. DA ESCOLA PAROQUIAL CRISTO REI")</f>
        <v>A. DA ESCOLA PAROQUIAL CRISTO REI</v>
      </c>
      <c r="D380" s="200" t="str">
        <f ca="1">IFERROR(__xludf.DUMMYFUNCTION("""COMPUTED_VALUE"""),"02026329000157")</f>
        <v>02026329000157</v>
      </c>
      <c r="E380" s="201" t="str">
        <f ca="1">IFERROR(__xludf.DUMMYFUNCTION("""COMPUTED_VALUE"""),"001")</f>
        <v>001</v>
      </c>
      <c r="F380" s="201" t="str">
        <f ca="1">IFERROR(__xludf.DUMMYFUNCTION("""COMPUTED_VALUE"""),"0810")</f>
        <v>0810</v>
      </c>
      <c r="G380" s="202" t="str">
        <f ca="1">IFERROR(__xludf.DUMMYFUNCTION("""COMPUTED_VALUE"""),"58149")</f>
        <v>58149</v>
      </c>
      <c r="H380" s="202">
        <f ca="1">IFERROR(__xludf.DUMMYFUNCTION("""COMPUTED_VALUE"""),0)</f>
        <v>0</v>
      </c>
      <c r="I380" s="202">
        <f ca="1">IFERROR(__xludf.DUMMYFUNCTION("""COMPUTED_VALUE"""),0)</f>
        <v>0</v>
      </c>
      <c r="J380" s="202">
        <f ca="1">IFERROR(__xludf.DUMMYFUNCTION("""COMPUTED_VALUE"""),9324)</f>
        <v>9324</v>
      </c>
      <c r="K380" s="202">
        <f ca="1">IFERROR(__xludf.DUMMYFUNCTION("""COMPUTED_VALUE"""),0)</f>
        <v>0</v>
      </c>
      <c r="L380" s="202">
        <f ca="1">IFERROR(__xludf.DUMMYFUNCTION("""COMPUTED_VALUE"""),0)</f>
        <v>0</v>
      </c>
      <c r="M380" s="202">
        <f ca="1">IFERROR(__xludf.DUMMYFUNCTION("""COMPUTED_VALUE"""),609)</f>
        <v>609</v>
      </c>
      <c r="N380" s="202">
        <f ca="1">IFERROR(__xludf.DUMMYFUNCTION("""COMPUTED_VALUE"""),1428)</f>
        <v>1428</v>
      </c>
      <c r="O380" s="202">
        <f ca="1">IFERROR(__xludf.DUMMYFUNCTION("""COMPUTED_VALUE"""),0)</f>
        <v>0</v>
      </c>
      <c r="P380" s="202">
        <f t="shared" ca="1" si="1"/>
        <v>11361</v>
      </c>
    </row>
    <row r="381" spans="1:16" ht="12.75">
      <c r="A381" s="194"/>
      <c r="B381" s="194"/>
      <c r="C381" s="195"/>
      <c r="D381" s="196"/>
      <c r="E381" s="197"/>
      <c r="F381" s="197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>
        <f t="shared" si="1"/>
        <v>0</v>
      </c>
    </row>
    <row r="382" spans="1:16" ht="12.75">
      <c r="A382" s="199"/>
      <c r="B382" s="199"/>
      <c r="C382" s="145"/>
      <c r="D382" s="200"/>
      <c r="E382" s="201"/>
      <c r="F382" s="201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>
        <f t="shared" si="1"/>
        <v>0</v>
      </c>
    </row>
    <row r="383" spans="1:16" ht="12.75">
      <c r="A383" s="194"/>
      <c r="B383" s="194"/>
      <c r="C383" s="195"/>
      <c r="D383" s="196"/>
      <c r="E383" s="197"/>
      <c r="F383" s="197"/>
      <c r="G383" s="198"/>
      <c r="H383" s="198"/>
      <c r="I383" s="198"/>
      <c r="J383" s="198"/>
      <c r="K383" s="198"/>
      <c r="L383" s="198"/>
      <c r="M383" s="198"/>
      <c r="N383" s="198"/>
      <c r="O383" s="198"/>
      <c r="P383" s="198">
        <f t="shared" si="1"/>
        <v>0</v>
      </c>
    </row>
    <row r="384" spans="1:16" ht="12.75">
      <c r="A384" s="199"/>
      <c r="B384" s="199"/>
      <c r="C384" s="145"/>
      <c r="D384" s="200"/>
      <c r="E384" s="201"/>
      <c r="F384" s="201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>
        <f t="shared" si="1"/>
        <v>0</v>
      </c>
    </row>
    <row r="385" spans="1:16" ht="12.75">
      <c r="A385" s="194"/>
      <c r="B385" s="194"/>
      <c r="C385" s="195"/>
      <c r="D385" s="196"/>
      <c r="E385" s="197"/>
      <c r="F385" s="197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>
        <f t="shared" si="1"/>
        <v>0</v>
      </c>
    </row>
    <row r="386" spans="1:16" ht="12.75">
      <c r="A386" s="199"/>
      <c r="B386" s="199"/>
      <c r="C386" s="145"/>
      <c r="D386" s="200"/>
      <c r="E386" s="201"/>
      <c r="F386" s="201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>
        <f t="shared" si="1"/>
        <v>0</v>
      </c>
    </row>
    <row r="387" spans="1:16" ht="12.75">
      <c r="A387" s="194"/>
      <c r="B387" s="194"/>
      <c r="C387" s="195"/>
      <c r="D387" s="196"/>
      <c r="E387" s="197"/>
      <c r="F387" s="197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>
        <f t="shared" si="1"/>
        <v>0</v>
      </c>
    </row>
    <row r="388" spans="1:16" ht="12.75">
      <c r="A388" s="199"/>
      <c r="B388" s="199"/>
      <c r="C388" s="145"/>
      <c r="D388" s="200"/>
      <c r="E388" s="201"/>
      <c r="F388" s="201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>
        <f t="shared" si="1"/>
        <v>0</v>
      </c>
    </row>
    <row r="389" spans="1:16" ht="12.75">
      <c r="A389" s="194"/>
      <c r="B389" s="194"/>
      <c r="C389" s="195"/>
      <c r="D389" s="196"/>
      <c r="E389" s="197"/>
      <c r="F389" s="197"/>
      <c r="G389" s="198"/>
      <c r="H389" s="198"/>
      <c r="I389" s="198"/>
      <c r="J389" s="198"/>
      <c r="K389" s="198"/>
      <c r="L389" s="198"/>
      <c r="M389" s="198"/>
      <c r="N389" s="198"/>
      <c r="O389" s="198"/>
      <c r="P389" s="198">
        <f t="shared" si="1"/>
        <v>0</v>
      </c>
    </row>
    <row r="390" spans="1:16" ht="12.75">
      <c r="A390" s="199"/>
      <c r="B390" s="199"/>
      <c r="C390" s="145"/>
      <c r="D390" s="200"/>
      <c r="E390" s="201"/>
      <c r="F390" s="201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>
        <f t="shared" si="1"/>
        <v>0</v>
      </c>
    </row>
    <row r="391" spans="1:16" ht="12.75">
      <c r="A391" s="211"/>
      <c r="B391" s="211"/>
      <c r="C391" s="212"/>
      <c r="D391" s="213"/>
      <c r="E391" s="214"/>
      <c r="F391" s="214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>
        <f t="shared" si="1"/>
        <v>0</v>
      </c>
    </row>
  </sheetData>
  <autoFilter ref="A5:P370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6" t="str">
        <f ca="1">IFERROR(__xludf.DUMMYFUNCTION("QUERY(REP_EST_PARC!A5:Z1000,""SELECT A,B,C,D,E,F,G,I WHERE I&gt;0 label I 'PRE'"")"),"Araguaina")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IFERROR(__xludf.DUMMYFUNCTION("""COMPUTED_VALUE"""),"PRE")</f>
        <v>PRE</v>
      </c>
      <c r="I1" s="21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IFERROR(__xludf.DUMMYFUNCTION("""COMPUTED_VALUE"""),"Tocantinópolis")</f>
        <v>Tocantinópolis</v>
      </c>
      <c r="B17" t="str">
        <f ca="1">IFERROR(__xludf.DUMMYFUNCTION("""COMPUTED_VALUE"""),"Nazare")</f>
        <v>Nazare</v>
      </c>
      <c r="C17" t="str">
        <f ca="1">IFERROR(__xludf.DUMMYFUNCTION("""COMPUTED_VALUE"""),"ASSOC. DE APOIO A ESC. EST.ESPECIAL BEM VIVER")</f>
        <v>ASSOC. DE APOIO A ESC. EST.ESPECIAL BEM VIVER</v>
      </c>
      <c r="D17" t="str">
        <f ca="1">IFERROR(__xludf.DUMMYFUNCTION("""COMPUTED_VALUE"""),"10520927000106")</f>
        <v>10520927000106</v>
      </c>
      <c r="E17" t="str">
        <f ca="1">IFERROR(__xludf.DUMMYFUNCTION("""COMPUTED_VALUE"""),"001")</f>
        <v>001</v>
      </c>
      <c r="F17" t="str">
        <f ca="1">IFERROR(__xludf.DUMMYFUNCTION("""COMPUTED_VALUE"""),"0810")</f>
        <v>0810</v>
      </c>
      <c r="G17" t="str">
        <f ca="1">IFERROR(__xludf.DUMMYFUNCTION("""COMPUTED_VALUE"""),"200336")</f>
        <v>200336</v>
      </c>
      <c r="H17" s="8">
        <f ca="1">IFERROR(__xludf.DUMMYFUNCTION("""COMPUTED_VALUE"""),147)</f>
        <v>147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IFERROR(__xludf.DUMMYFUNCTION("""COMPUTED_VALUE"""),"Tocantinopolis")</f>
        <v>Tocantinopolis</v>
      </c>
      <c r="C18" t="str">
        <f ca="1">IFERROR(__xludf.DUMMYFUNCTION("""COMPUTED_VALUE"""),"ASSOCIAÇÃO DE APOIO A ESCOLA ESPECIAL UM PASSO DIFERENTE -APAE")</f>
        <v>ASSOCIAÇÃO DE APOIO A ESCOLA ESPECIAL UM PASSO DIFERENTE -APAE</v>
      </c>
      <c r="D18" t="str">
        <f ca="1">IFERROR(__xludf.DUMMYFUNCTION("""COMPUTED_VALUE"""),"08012610000117")</f>
        <v>08012610000117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IFERROR(__xludf.DUMMYFUNCTION("""COMPUTED_VALUE"""),"204250")</f>
        <v>204250</v>
      </c>
      <c r="H18" s="8">
        <f ca="1">IFERROR(__xludf.DUMMYFUNCTION("""COMPUTED_VALUE"""),84)</f>
        <v>84</v>
      </c>
      <c r="I18" t="str">
        <v>PRÉ-ESCOLA</v>
      </c>
    </row>
    <row r="19" spans="1:9" ht="12.75">
      <c r="I19" t="str">
        <v/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6" t="str">
        <f ca="1">IFERROR(__xludf.DUMMYFUNCTION("QUERY(REP_EST_PARC!A5:Z1000,""SELECT A,B,C,D,E,F,G,J WHERE J&gt;0 label J 'E.F. PARC'"")"),"Araguaina")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IFERROR(__xludf.DUMMYFUNCTION("""COMPUTED_VALUE"""),"E.F. PARC")</f>
        <v>E.F. PARC</v>
      </c>
      <c r="I1" s="21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IFERROR(__xludf.DUMMYFUNCTION("""COMPUTED_VALUE"""),"Sampaio")</f>
        <v>Sampaio</v>
      </c>
      <c r="C66" t="str">
        <f ca="1">IFERROR(__xludf.DUMMYFUNCTION("""COMPUTED_VALUE"""),"A. DE AP. DA ESCOLA ESTADUAL SAMPAIO")</f>
        <v>A. DE AP. DA ESCOLA ESTADUAL SAMPAIO</v>
      </c>
      <c r="D66" t="str">
        <f ca="1">IFERROR(__xludf.DUMMYFUNCTION("""COMPUTED_VALUE"""),"01190179000150")</f>
        <v>01190179000150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IFERROR(__xludf.DUMMYFUNCTION("""COMPUTED_VALUE"""),"0019178")</f>
        <v>0019178</v>
      </c>
      <c r="H66" s="8">
        <f ca="1">IFERROR(__xludf.DUMMYFUNCTION("""COMPUTED_VALUE"""),8253)</f>
        <v>8253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IFERROR(__xludf.DUMMYFUNCTION("""COMPUTED_VALUE"""),"Sao Bento do Tocantins")</f>
        <v>Sao Bento do Tocantins</v>
      </c>
      <c r="C67" t="str">
        <f ca="1">IFERROR(__xludf.DUMMYFUNCTION("""COMPUTED_VALUE"""),"A.A. COLEGIO EST. IRMAOS FILGUEIRAS")</f>
        <v>A.A. COLEGIO EST. IRMAOS FILGUEIRAS</v>
      </c>
      <c r="D67" t="str">
        <f ca="1">IFERROR(__xludf.DUMMYFUNCTION("""COMPUTED_VALUE"""),"01068348000183")</f>
        <v>01068348000183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IFERROR(__xludf.DUMMYFUNCTION("""COMPUTED_VALUE"""),"109134")</f>
        <v>109134</v>
      </c>
      <c r="H67" s="8">
        <f ca="1">IFERROR(__xludf.DUMMYFUNCTION("""COMPUTED_VALUE"""),4032)</f>
        <v>4032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ESC. EST. ANAIDES BRITO MIRANDA")</f>
        <v>A.A. ESC. EST. ANAIDES BRITO MIRANDA</v>
      </c>
      <c r="D68" t="str">
        <f ca="1">IFERROR(__xludf.DUMMYFUNCTION("""COMPUTED_VALUE"""),"01181993000108")</f>
        <v>01181993000108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IFERROR(__xludf.DUMMYFUNCTION("""COMPUTED_VALUE"""),"10938x")</f>
        <v>10938x</v>
      </c>
      <c r="H68" s="8">
        <f ca="1">IFERROR(__xludf.DUMMYFUNCTION("""COMPUTED_VALUE"""),1617)</f>
        <v>1617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Miguel do Tocantins")</f>
        <v>Sao Miguel do Tocantins</v>
      </c>
      <c r="C69" t="str">
        <f ca="1">IFERROR(__xludf.DUMMYFUNCTION("""COMPUTED_VALUE"""),"A.A.  DA ESCOLA ESTADUAL BELA VISTA")</f>
        <v>A.A.  DA ESCOLA ESTADUAL BELA VISTA</v>
      </c>
      <c r="D69" t="str">
        <f ca="1">IFERROR(__xludf.DUMMYFUNCTION("""COMPUTED_VALUE"""),"01230238000176")</f>
        <v>01230238000176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IFERROR(__xludf.DUMMYFUNCTION("""COMPUTED_VALUE"""),"0217948")</f>
        <v>0217948</v>
      </c>
      <c r="H69" s="8">
        <f ca="1">IFERROR(__xludf.DUMMYFUNCTION("""COMPUTED_VALUE"""),5880)</f>
        <v>5880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IFERROR(__xludf.DUMMYFUNCTION("""COMPUTED_VALUE"""),4242)</f>
        <v>4242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IFERROR(__xludf.DUMMYFUNCTION("""COMPUTED_VALUE"""),2961)</f>
        <v>2961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COL. EST. MARECHAEL RIBAS JUNIOR")</f>
        <v>A.A. COL. EST. MARECHAEL RIBAS JUNIOR</v>
      </c>
      <c r="D72" t="str">
        <f ca="1">IFERROR(__xludf.DUMMYFUNCTION("""COMPUTED_VALUE"""),"01230241000190")</f>
        <v>01230241000190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IFERROR(__xludf.DUMMYFUNCTION("""COMPUTED_VALUE"""),"217964")</f>
        <v>217964</v>
      </c>
      <c r="H72" s="8">
        <f ca="1">IFERROR(__xludf.DUMMYFUNCTION("""COMPUTED_VALUE"""),2646)</f>
        <v>2646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E. EST. JOAQUIM TEOTONIO SEGURADO")</f>
        <v>A.A. E. EST. JOAQUIM TEOTONIO SEGURADO</v>
      </c>
      <c r="D73" t="str">
        <f ca="1">IFERROR(__xludf.DUMMYFUNCTION("""COMPUTED_VALUE"""),"01230240000145")</f>
        <v>01230240000145</v>
      </c>
      <c r="E73" t="str">
        <f ca="1">IFERROR(__xludf.DUMMYFUNCTION("""COMPUTED_VALUE"""),"001")</f>
        <v>001</v>
      </c>
      <c r="F73" t="str">
        <f ca="1">IFERROR(__xludf.DUMMYFUNCTION("""COMPUTED_VALUE"""),"0810")</f>
        <v>0810</v>
      </c>
      <c r="G73" t="str">
        <f ca="1">IFERROR(__xludf.DUMMYFUNCTION("""COMPUTED_VALUE"""),"217972")</f>
        <v>217972</v>
      </c>
      <c r="H73" s="8">
        <f ca="1">IFERROR(__xludf.DUMMYFUNCTION("""COMPUTED_VALUE"""),924)</f>
        <v>924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ESC. EST. MANOEL ESTEVAO DE SOUZA")</f>
        <v>A.A. ESC. EST. MANOEL ESTEVAO DE SOUZA</v>
      </c>
      <c r="D74" t="str">
        <f ca="1">IFERROR(__xludf.DUMMYFUNCTION("""COMPUTED_VALUE"""),"01213534000169")</f>
        <v>01213534000169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IFERROR(__xludf.DUMMYFUNCTION("""COMPUTED_VALUE"""),"181048")</f>
        <v>181048</v>
      </c>
      <c r="H74" s="8">
        <f ca="1">IFERROR(__xludf.DUMMYFUNCTION("""COMPUTED_VALUE"""),2310)</f>
        <v>2310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RAIMUNDO NONATO LEITE")</f>
        <v>A.A. ESC. EST. RAIMUNDO NONATO LEITE</v>
      </c>
      <c r="D75" t="str">
        <f ca="1">IFERROR(__xludf.DUMMYFUNCTION("""COMPUTED_VALUE"""),"01230237000121")</f>
        <v>01230237000121</v>
      </c>
      <c r="E75" t="str">
        <f ca="1">IFERROR(__xludf.DUMMYFUNCTION("""COMPUTED_VALUE"""),"001")</f>
        <v>001</v>
      </c>
      <c r="F75" t="str">
        <f ca="1">IFERROR(__xludf.DUMMYFUNCTION("""COMPUTED_VALUE"""),"0810")</f>
        <v>0810</v>
      </c>
      <c r="G75" t="str">
        <f ca="1">IFERROR(__xludf.DUMMYFUNCTION("""COMPUTED_VALUE"""),"217980")</f>
        <v>217980</v>
      </c>
      <c r="H75" s="8">
        <f ca="1">IFERROR(__xludf.DUMMYFUNCTION("""COMPUTED_VALUE"""),966)</f>
        <v>966</v>
      </c>
      <c r="I75" t="str">
        <v>E.F. PARCIAL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IFERROR(__xludf.DUMMYFUNCTION("""COMPUTED_VALUE"""),4200)</f>
        <v>4200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IFERROR(__xludf.DUMMYFUNCTION("""COMPUTED_VALUE"""),2352)</f>
        <v>2352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IFERROR(__xludf.DUMMYFUNCTION("""COMPUTED_VALUE"""),3507)</f>
        <v>3507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IFERROR(__xludf.DUMMYFUNCTION("""COMPUTED_VALUE"""),588)</f>
        <v>588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IFERROR(__xludf.DUMMYFUNCTION("""COMPUTED_VALUE"""),"Aurora do Tocantins")</f>
        <v>Aurora do Tocantins</v>
      </c>
      <c r="C80" t="str">
        <f ca="1">IFERROR(__xludf.DUMMYFUNCTION("""COMPUTED_VALUE"""),"ASS. APOIO ESCOLA ESTADUAL DONA INES")</f>
        <v>ASS. APOIO ESCOLA ESTADUAL DONA INES</v>
      </c>
      <c r="D80" t="str">
        <f ca="1">IFERROR(__xludf.DUMMYFUNCTION("""COMPUTED_VALUE"""),"01190419000116")</f>
        <v>01190419000116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IFERROR(__xludf.DUMMYFUNCTION("""COMPUTED_VALUE"""),"109703")</f>
        <v>109703</v>
      </c>
      <c r="H80" s="8">
        <f ca="1">IFERROR(__xludf.DUMMYFUNCTION("""COMPUTED_VALUE"""),2436)</f>
        <v>2436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IFERROR(__xludf.DUMMYFUNCTION("""COMPUTED_VALUE"""),"Combinado")</f>
        <v>Combinado</v>
      </c>
      <c r="C81" t="str">
        <f ca="1">IFERROR(__xludf.DUMMYFUNCTION("""COMPUTED_VALUE"""),"A.A. ESC. EST. AUGUSTA VAZ DOS S.TEIXEIRA")</f>
        <v>A.A. ESC. EST. AUGUSTA VAZ DOS S.TEIXEIRA</v>
      </c>
      <c r="D81" t="str">
        <f ca="1">IFERROR(__xludf.DUMMYFUNCTION("""COMPUTED_VALUE"""),"01186458000140")</f>
        <v>01186458000140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IFERROR(__xludf.DUMMYFUNCTION("""COMPUTED_VALUE"""),"56855")</f>
        <v>56855</v>
      </c>
      <c r="H81" s="8">
        <f ca="1">IFERROR(__xludf.DUMMYFUNCTION("""COMPUTED_VALUE"""),3234)</f>
        <v>3234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IFERROR(__xludf.DUMMYFUNCTION("""COMPUTED_VALUE"""),"Lavandeira")</f>
        <v>Lavandeira</v>
      </c>
      <c r="C82" t="str">
        <f ca="1">IFERROR(__xludf.DUMMYFUNCTION("""COMPUTED_VALUE"""),"ASSOC. DE APOIO ESC. EST. LAVANDEIRA")</f>
        <v>ASSOC. DE APOIO ESC. EST. LAVANDEIRA</v>
      </c>
      <c r="D82" t="str">
        <f ca="1">IFERROR(__xludf.DUMMYFUNCTION("""COMPUTED_VALUE"""),"01136024000135")</f>
        <v>01136024000135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IFERROR(__xludf.DUMMYFUNCTION("""COMPUTED_VALUE"""),"231916")</f>
        <v>231916</v>
      </c>
      <c r="H82" s="8">
        <f ca="1">IFERROR(__xludf.DUMMYFUNCTION("""COMPUTED_VALUE"""),2373)</f>
        <v>2373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IFERROR(__xludf.DUMMYFUNCTION("""COMPUTED_VALUE"""),"Novo Alegre")</f>
        <v>Novo Alegre</v>
      </c>
      <c r="C83" t="str">
        <f ca="1">IFERROR(__xludf.DUMMYFUNCTION("""COMPUTED_VALUE"""),"ASSOC. DE APOIO COL. EST. DR.JOAO D`ABREU")</f>
        <v>ASSOC. DE APOIO COL. EST. DR.JOAO D`ABREU</v>
      </c>
      <c r="D83" t="str">
        <f ca="1">IFERROR(__xludf.DUMMYFUNCTION("""COMPUTED_VALUE"""),"01146115000151")</f>
        <v>01146115000151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IFERROR(__xludf.DUMMYFUNCTION("""COMPUTED_VALUE"""),"178845")</f>
        <v>178845</v>
      </c>
      <c r="H83" s="8">
        <f ca="1">IFERROR(__xludf.DUMMYFUNCTION("""COMPUTED_VALUE"""),4200)</f>
        <v>4200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IFERROR(__xludf.DUMMYFUNCTION("""COMPUTED_VALUE"""),"A.A. DA ESC. EST.EUCLIDES BEZERRA GERAIS")</f>
        <v>A.A. DA ESC. EST.EUCLIDES BEZERRA GERAIS</v>
      </c>
      <c r="D84" t="str">
        <f ca="1">IFERROR(__xludf.DUMMYFUNCTION("""COMPUTED_VALUE"""),"01401950000190")</f>
        <v>01401950000190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IFERROR(__xludf.DUMMYFUNCTION("""COMPUTED_VALUE"""),"232483")</f>
        <v>232483</v>
      </c>
      <c r="H84" s="8">
        <f ca="1">IFERROR(__xludf.DUMMYFUNCTION("""COMPUTED_VALUE"""),9198)</f>
        <v>9198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IFERROR(__xludf.DUMMYFUNCTION("""COMPUTED_VALUE"""),"Parana")</f>
        <v>Parana</v>
      </c>
      <c r="C85" t="str">
        <f ca="1">IFERROR(__xludf.DUMMYFUNCTION("""COMPUTED_VALUE"""),"ASSOC. DE APOIO A ESC. EST. REUNIDA FLORESTA")</f>
        <v>ASSOC. DE APOIO A ESC. EST. REUNIDA FLORESTA</v>
      </c>
      <c r="D85" t="str">
        <f ca="1">IFERROR(__xludf.DUMMYFUNCTION("""COMPUTED_VALUE"""),"03834797000110")</f>
        <v>03834797000110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IFERROR(__xludf.DUMMYFUNCTION("""COMPUTED_VALUE"""),"113247")</f>
        <v>113247</v>
      </c>
      <c r="H85" s="8">
        <f ca="1">IFERROR(__xludf.DUMMYFUNCTION("""COMPUTED_VALUE"""),1008)</f>
        <v>1008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A ESC. EST. REUNIDA SANTA RITA DO RIO PALMA")</f>
        <v>A.A. A ESC. EST. REUNIDA SANTA RITA DO RIO PALMA</v>
      </c>
      <c r="D86" t="str">
        <f ca="1">IFERROR(__xludf.DUMMYFUNCTION("""COMPUTED_VALUE"""),"03834784000141")</f>
        <v>03834784000141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IFERROR(__xludf.DUMMYFUNCTION("""COMPUTED_VALUE"""),"113638")</f>
        <v>113638</v>
      </c>
      <c r="H86" s="8">
        <f ca="1">IFERROR(__xludf.DUMMYFUNCTION("""COMPUTED_VALUE"""),1260)</f>
        <v>1260</v>
      </c>
      <c r="I86" t="str">
        <v>E.F.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IFERROR(__xludf.DUMMYFUNCTION("""COMPUTED_VALUE"""),"Arapoema")</f>
        <v>Arapoema</v>
      </c>
      <c r="C87" t="str">
        <f ca="1">IFERROR(__xludf.DUMMYFUNCTION("""COMPUTED_VALUE"""),"A.A. E. EST. ANTONIO DELFINO GUIMARAES")</f>
        <v>A.A. E. EST. ANTONIO DELFINO GUIMARAES</v>
      </c>
      <c r="D87" t="str">
        <f ca="1">IFERROR(__xludf.DUMMYFUNCTION("""COMPUTED_VALUE"""),"01135998000102")</f>
        <v>01135998000102</v>
      </c>
      <c r="E87" t="str">
        <f ca="1">IFERROR(__xludf.DUMMYFUNCTION("""COMPUTED_VALUE"""),"001")</f>
        <v>001</v>
      </c>
      <c r="F87" t="str">
        <f ca="1">IFERROR(__xludf.DUMMYFUNCTION("""COMPUTED_VALUE"""),"3974")</f>
        <v>3974</v>
      </c>
      <c r="G87" t="str">
        <f ca="1">IFERROR(__xludf.DUMMYFUNCTION("""COMPUTED_VALUE"""),"2287X")</f>
        <v>2287X</v>
      </c>
      <c r="H87" s="8">
        <f ca="1">IFERROR(__xludf.DUMMYFUNCTION("""COMPUTED_VALUE"""),6804)</f>
        <v>6804</v>
      </c>
      <c r="I87" t="str">
        <v>E.F. PARCIAL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IFERROR(__xludf.DUMMYFUNCTION("""COMPUTED_VALUE"""),"Bandeirantes do Tocantins")</f>
        <v>Bandeirantes do Tocantins</v>
      </c>
      <c r="C88" t="str">
        <f ca="1">IFERROR(__xludf.DUMMYFUNCTION("""COMPUTED_VALUE"""),"A.A. E. E. ARCELINO F. DO NASCIMENTO")</f>
        <v>A.A. E. E. ARCELINO F. DO NASCIMENTO</v>
      </c>
      <c r="D88" t="str">
        <f ca="1">IFERROR(__xludf.DUMMYFUNCTION("""COMPUTED_VALUE"""),"01181179000193")</f>
        <v>01181179000193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IFERROR(__xludf.DUMMYFUNCTION("""COMPUTED_VALUE"""),"46578X")</f>
        <v>46578X</v>
      </c>
      <c r="H88" s="8">
        <f ca="1">IFERROR(__xludf.DUMMYFUNCTION("""COMPUTED_VALUE"""),1512)</f>
        <v>1512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IFERROR(__xludf.DUMMYFUNCTION("""COMPUTED_VALUE"""),"Bernardo Sayao")</f>
        <v>Bernardo Sayao</v>
      </c>
      <c r="C89" t="str">
        <f ca="1">IFERROR(__xludf.DUMMYFUNCTION("""COMPUTED_VALUE"""),"A.A. COL. EST. BERNARDO SAYAO")</f>
        <v>A.A. COL. EST. BERNARDO SAYAO</v>
      </c>
      <c r="D89" t="str">
        <f ca="1">IFERROR(__xludf.DUMMYFUNCTION("""COMPUTED_VALUE"""),"01190188000140")</f>
        <v>01190188000140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IFERROR(__xludf.DUMMYFUNCTION("""COMPUTED_VALUE"""),"369403")</f>
        <v>369403</v>
      </c>
      <c r="H89" s="8">
        <f ca="1">IFERROR(__xludf.DUMMYFUNCTION("""COMPUTED_VALUE"""),1386)</f>
        <v>1386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IFERROR(__xludf.DUMMYFUNCTION("""COMPUTED_VALUE"""),"Brasilandia do Tocantins")</f>
        <v>Brasilandia do Tocantins</v>
      </c>
      <c r="C90" t="str">
        <f ca="1">IFERROR(__xludf.DUMMYFUNCTION("""COMPUTED_VALUE"""),"A.A. COL. EST. SEBASTIAO RODRIGUES SALES")</f>
        <v>A.A. COL. EST. SEBASTIAO RODRIGUES SALES</v>
      </c>
      <c r="D90" t="str">
        <f ca="1">IFERROR(__xludf.DUMMYFUNCTION("""COMPUTED_VALUE"""),"01138333000144")</f>
        <v>01138333000144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IFERROR(__xludf.DUMMYFUNCTION("""COMPUTED_VALUE"""),"369365")</f>
        <v>369365</v>
      </c>
      <c r="H90" s="8">
        <f ca="1">IFERROR(__xludf.DUMMYFUNCTION("""COMPUTED_VALUE"""),3066)</f>
        <v>3066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 COLEGIO JOAO XXIII")</f>
        <v>A.A.  COLEGIO JOAO XXIII</v>
      </c>
      <c r="D91" t="str">
        <f ca="1">IFERROR(__xludf.DUMMYFUNCTION("""COMPUTED_VALUE"""),"01064859000127")</f>
        <v>01064859000127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IFERROR(__xludf.DUMMYFUNCTION("""COMPUTED_VALUE"""),"368555")</f>
        <v>368555</v>
      </c>
      <c r="H91" s="8">
        <f ca="1">IFERROR(__xludf.DUMMYFUNCTION("""COMPUTED_VALUE"""),9051)</f>
        <v>9051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IFERROR(__xludf.DUMMYFUNCTION("""COMPUTED_VALUE"""),"AAE ESPECIAL GOTA DE ESPERANÇA")</f>
        <v>AAE ESPECIAL GOTA DE ESPERANÇA</v>
      </c>
      <c r="D92" t="str">
        <f ca="1">IFERROR(__xludf.DUMMYFUNCTION("""COMPUTED_VALUE"""),"07944635000196")</f>
        <v>07944635000196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IFERROR(__xludf.DUMMYFUNCTION("""COMPUTED_VALUE"""),"184861")</f>
        <v>184861</v>
      </c>
      <c r="H92" s="8">
        <f ca="1">IFERROR(__xludf.DUMMYFUNCTION("""COMPUTED_VALUE"""),651)</f>
        <v>651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FRANCISCO PEREIRA FELICIO")</f>
        <v>A.A. E. E. FRANCISCO PEREIRA FELICIO</v>
      </c>
      <c r="D93" t="str">
        <f ca="1">IFERROR(__xludf.DUMMYFUNCTION("""COMPUTED_VALUE"""),"01086969000190")</f>
        <v>01086969000190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IFERROR(__xludf.DUMMYFUNCTION("""COMPUTED_VALUE"""),"368814")</f>
        <v>368814</v>
      </c>
      <c r="H93" s="8">
        <f ca="1">IFERROR(__xludf.DUMMYFUNCTION("""COMPUTED_VALUE"""),2856)</f>
        <v>2856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IFERROR(__xludf.DUMMYFUNCTION("""COMPUTED_VALUE"""),1974)</f>
        <v>1974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IFERROR(__xludf.DUMMYFUNCTION("""COMPUTED_VALUE"""),"Itapiratins")</f>
        <v>Itapiratins</v>
      </c>
      <c r="C95" t="str">
        <f ca="1">IFERROR(__xludf.DUMMYFUNCTION("""COMPUTED_VALUE"""),"A.A. ESCOLA ESTADUAL REZENDE DE ALMEIDA")</f>
        <v>A.A. ESCOLA ESTADUAL REZENDE DE ALMEIDA</v>
      </c>
      <c r="D95" t="str">
        <f ca="1">IFERROR(__xludf.DUMMYFUNCTION("""COMPUTED_VALUE"""),"01643863000140")</f>
        <v>01643863000140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IFERROR(__xludf.DUMMYFUNCTION("""COMPUTED_VALUE"""),"27278")</f>
        <v>27278</v>
      </c>
      <c r="H95" s="8">
        <f ca="1">IFERROR(__xludf.DUMMYFUNCTION("""COMPUTED_VALUE"""),5733)</f>
        <v>5733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IFERROR(__xludf.DUMMYFUNCTION("""COMPUTED_VALUE"""),"Juarina")</f>
        <v>Juarina</v>
      </c>
      <c r="C96" t="str">
        <f ca="1">IFERROR(__xludf.DUMMYFUNCTION("""COMPUTED_VALUE"""),"A.A. ESCOLA ESTADUAL ZICO DORNELAS")</f>
        <v>A.A. ESCOLA ESTADUAL ZICO DORNELAS</v>
      </c>
      <c r="D96" t="str">
        <f ca="1">IFERROR(__xludf.DUMMYFUNCTION("""COMPUTED_VALUE"""),"01136018000188")</f>
        <v>01136018000188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IFERROR(__xludf.DUMMYFUNCTION("""COMPUTED_VALUE"""),"369349")</f>
        <v>369349</v>
      </c>
      <c r="H96" s="8">
        <f ca="1">IFERROR(__xludf.DUMMYFUNCTION("""COMPUTED_VALUE"""),1743)</f>
        <v>1743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IFERROR(__xludf.DUMMYFUNCTION("""COMPUTED_VALUE"""),"Palmeirante")</f>
        <v>Palmeirante</v>
      </c>
      <c r="C97" t="str">
        <f ca="1">IFERROR(__xludf.DUMMYFUNCTION("""COMPUTED_VALUE"""),"ASS. COM. ESC. EST JOAO AIRES GABRIEL")</f>
        <v>ASS. COM. ESC. EST JOAO AIRES GABRIEL</v>
      </c>
      <c r="D97" t="str">
        <f ca="1">IFERROR(__xludf.DUMMYFUNCTION("""COMPUTED_VALUE"""),"01465793000187")</f>
        <v>01465793000187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IFERROR(__xludf.DUMMYFUNCTION("""COMPUTED_VALUE"""),"342246")</f>
        <v>342246</v>
      </c>
      <c r="H97" s="8">
        <f ca="1">IFERROR(__xludf.DUMMYFUNCTION("""COMPUTED_VALUE"""),3654)</f>
        <v>3654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IFERROR(__xludf.DUMMYFUNCTION("""COMPUTED_VALUE"""),"Pau D'arco")</f>
        <v>Pau D'arco</v>
      </c>
      <c r="C98" t="str">
        <f ca="1">IFERROR(__xludf.DUMMYFUNCTION("""COMPUTED_VALUE"""),"A.COM. ESCOLA EST. ULISSES GUIMARAES")</f>
        <v>A.COM. ESCOLA EST. ULISSES GUIMARAES</v>
      </c>
      <c r="D98" t="str">
        <f ca="1">IFERROR(__xludf.DUMMYFUNCTION("""COMPUTED_VALUE"""),"01181178000149")</f>
        <v>01181178000149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IFERROR(__xludf.DUMMYFUNCTION("""COMPUTED_VALUE"""),"23485")</f>
        <v>23485</v>
      </c>
      <c r="H98" s="8">
        <f ca="1">IFERROR(__xludf.DUMMYFUNCTION("""COMPUTED_VALUE"""),6006)</f>
        <v>6006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IFERROR(__xludf.DUMMYFUNCTION("""COMPUTED_VALUE"""),"Tupiratins")</f>
        <v>Tupiratins</v>
      </c>
      <c r="C99" t="str">
        <f ca="1">IFERROR(__xludf.DUMMYFUNCTION("""COMPUTED_VALUE"""),"A. DE AP. DA ESC. EST. SAO TOMAS DE AQUINO")</f>
        <v>A. DE AP. DA ESC. EST. SAO TOMAS DE AQUINO</v>
      </c>
      <c r="D99" t="str">
        <f ca="1">IFERROR(__xludf.DUMMYFUNCTION("""COMPUTED_VALUE"""),"01334791000159")</f>
        <v>01334791000159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IFERROR(__xludf.DUMMYFUNCTION("""COMPUTED_VALUE"""),"370045")</f>
        <v>370045</v>
      </c>
      <c r="H99" s="8">
        <f ca="1">IFERROR(__xludf.DUMMYFUNCTION("""COMPUTED_VALUE"""),3108)</f>
        <v>3108</v>
      </c>
      <c r="I99" t="str">
        <v>E.F.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IFERROR(__xludf.DUMMYFUNCTION("""COMPUTED_VALUE"""),"Almas")</f>
        <v>Almas</v>
      </c>
      <c r="C100" t="str">
        <f ca="1">IFERROR(__xludf.DUMMYFUNCTION("""COMPUTED_VALUE"""),"A.A. COL. E.II GRAU DR.ABNER A.PACINI")</f>
        <v>A.A. COL. E.II GRAU DR.ABNER A.PACINI</v>
      </c>
      <c r="D100" t="str">
        <f ca="1">IFERROR(__xludf.DUMMYFUNCTION("""COMPUTED_VALUE"""),"01197160000135")</f>
        <v>01197160000135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IFERROR(__xludf.DUMMYFUNCTION("""COMPUTED_VALUE"""),"0107700")</f>
        <v>0107700</v>
      </c>
      <c r="H100" s="8">
        <f ca="1">IFERROR(__xludf.DUMMYFUNCTION("""COMPUTED_VALUE"""),7581)</f>
        <v>7581</v>
      </c>
      <c r="I100" t="str">
        <v>E.F.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IFERROR(__xludf.DUMMYFUNCTION("""COMPUTED_VALUE"""),"Conceicao do Tocantins")</f>
        <v>Conceicao do Tocantins</v>
      </c>
      <c r="C101" t="str">
        <f ca="1">IFERROR(__xludf.DUMMYFUNCTION("""COMPUTED_VALUE"""),"A.A. E. CEL JOSE FRANCISCO DE AZEVEDO")</f>
        <v>A.A. E. CEL JOSE FRANCISCO DE AZEVEDO</v>
      </c>
      <c r="D101" t="str">
        <f ca="1">IFERROR(__xludf.DUMMYFUNCTION("""COMPUTED_VALUE"""),"01136040000128")</f>
        <v>01136040000128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IFERROR(__xludf.DUMMYFUNCTION("""COMPUTED_VALUE"""),"106208")</f>
        <v>106208</v>
      </c>
      <c r="H101" s="8">
        <f ca="1">IFERROR(__xludf.DUMMYFUNCTION("""COMPUTED_VALUE"""),5334)</f>
        <v>5334</v>
      </c>
      <c r="I101" t="str">
        <v>E.F.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IFERROR(__xludf.DUMMYFUNCTION("""COMPUTED_VALUE"""),"A. ESC. COMUN.DA E. EST. ANTONIO POVOA")</f>
        <v>A. ESC. COMUN.DA E. EST. ANTONIO POVOA</v>
      </c>
      <c r="D102" t="str">
        <f ca="1">IFERROR(__xludf.DUMMYFUNCTION("""COMPUTED_VALUE"""),"00895665000100")</f>
        <v>00895665000100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IFERROR(__xludf.DUMMYFUNCTION("""COMPUTED_VALUE"""),"010616X")</f>
        <v>010616X</v>
      </c>
      <c r="H102" s="8">
        <f ca="1">IFERROR(__xludf.DUMMYFUNCTION("""COMPUTED_VALUE"""),630)</f>
        <v>630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IFERROR(__xludf.DUMMYFUNCTION("""COMPUTED_VALUE"""),"A. DE APOIO AO COLEGIO JOAO DE ABREU")</f>
        <v>A. DE APOIO AO COLEGIO JOAO DE ABREU</v>
      </c>
      <c r="D103" t="str">
        <f ca="1">IFERROR(__xludf.DUMMYFUNCTION("""COMPUTED_VALUE"""),"05059617000104")</f>
        <v>05059617000104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IFERROR(__xludf.DUMMYFUNCTION("""COMPUTED_VALUE"""),"127027")</f>
        <v>127027</v>
      </c>
      <c r="H103" s="8">
        <f ca="1">IFERROR(__xludf.DUMMYFUNCTION("""COMPUTED_VALUE"""),12642)</f>
        <v>12642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IFERROR(__xludf.DUMMYFUNCTION("""COMPUTED_VALUE"""),"ASSOC. DE APOIO A ESCOLA COOPERATIVA CHAPADÃO/DIANÓPOLIS")</f>
        <v>ASSOC. DE APOIO A ESCOLA COOPERATIVA CHAPADÃO/DIANÓPOLIS</v>
      </c>
      <c r="D104" t="str">
        <f ca="1">IFERROR(__xludf.DUMMYFUNCTION("""COMPUTED_VALUE"""),"07056712000171")</f>
        <v>07056712000171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IFERROR(__xludf.DUMMYFUNCTION("""COMPUTED_VALUE"""),"15704X")</f>
        <v>15704X</v>
      </c>
      <c r="H104" s="8">
        <f ca="1">IFERROR(__xludf.DUMMYFUNCTION("""COMPUTED_VALUE"""),2961)</f>
        <v>2961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IFERROR(__xludf.DUMMYFUNCTION("""COMPUTED_VALUE"""),"ESCOLA ESPECIAL COLIBRI")</f>
        <v>ESCOLA ESPECIAL COLIBRI</v>
      </c>
      <c r="D105" t="str">
        <f ca="1">IFERROR(__xludf.DUMMYFUNCTION("""COMPUTED_VALUE"""),"15413383000105")</f>
        <v>15413383000105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IFERROR(__xludf.DUMMYFUNCTION("""COMPUTED_VALUE"""),"312967")</f>
        <v>312967</v>
      </c>
      <c r="H105" s="8">
        <f ca="1">IFERROR(__xludf.DUMMYFUNCTION("""COMPUTED_VALUE"""),483)</f>
        <v>483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IFERROR(__xludf.DUMMYFUNCTION("""COMPUTED_VALUE"""),"ASS. APOIO ESC. EST.CEL.ABILIO WOLNEY")</f>
        <v>ASS. APOIO ESC. EST.CEL.ABILIO WOLNEY</v>
      </c>
      <c r="D106" t="str">
        <f ca="1">IFERROR(__xludf.DUMMYFUNCTION("""COMPUTED_VALUE"""),"01197161000180")</f>
        <v>01197161000180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IFERROR(__xludf.DUMMYFUNCTION("""COMPUTED_VALUE"""),"120464")</f>
        <v>120464</v>
      </c>
      <c r="H106" s="8">
        <f ca="1">IFERROR(__xludf.DUMMYFUNCTION("""COMPUTED_VALUE"""),4935)</f>
        <v>4935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IFERROR(__xludf.DUMMYFUNCTION("""COMPUTED_VALUE"""),"A.A. ESCOLA ESTADUAL JOCA COSTA")</f>
        <v>A.A. ESCOLA ESTADUAL JOCA COSTA</v>
      </c>
      <c r="D107" t="str">
        <f ca="1">IFERROR(__xludf.DUMMYFUNCTION("""COMPUTED_VALUE"""),"01138323000109")</f>
        <v>01138323000109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IFERROR(__xludf.DUMMYFUNCTION("""COMPUTED_VALUE"""),"107492")</f>
        <v>107492</v>
      </c>
      <c r="H107" s="8">
        <f ca="1">IFERROR(__xludf.DUMMYFUNCTION("""COMPUTED_VALUE"""),8022)</f>
        <v>8022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IFERROR(__xludf.DUMMYFUNCTION("""COMPUTED_VALUE"""),"Novo Jardim")</f>
        <v>Novo Jardim</v>
      </c>
      <c r="C108" t="str">
        <f ca="1">IFERROR(__xludf.DUMMYFUNCTION("""COMPUTED_VALUE"""),"ASS. DE AP. DA ESCOLA ESTADUAL JARDIM")</f>
        <v>ASS. DE AP. DA ESCOLA ESTADUAL JARDIM</v>
      </c>
      <c r="D108" t="str">
        <f ca="1">IFERROR(__xludf.DUMMYFUNCTION("""COMPUTED_VALUE"""),"01408711000162")</f>
        <v>01408711000162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IFERROR(__xludf.DUMMYFUNCTION("""COMPUTED_VALUE"""),"106453")</f>
        <v>106453</v>
      </c>
      <c r="H108" s="8">
        <f ca="1">IFERROR(__xludf.DUMMYFUNCTION("""COMPUTED_VALUE"""),4683)</f>
        <v>4683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IFERROR(__xludf.DUMMYFUNCTION("""COMPUTED_VALUE"""),"Ponte Alta do Bom Jesus")</f>
        <v>Ponte Alta do Bom Jesus</v>
      </c>
      <c r="C109" t="str">
        <f ca="1">IFERROR(__xludf.DUMMYFUNCTION("""COMPUTED_VALUE"""),"A.A. ESC. E. ANTONIO CARLOS DE FRANCA")</f>
        <v>A.A. ESC. E. ANTONIO CARLOS DE FRANCA</v>
      </c>
      <c r="D109" t="str">
        <f ca="1">IFERROR(__xludf.DUMMYFUNCTION("""COMPUTED_VALUE"""),"01223633000121")</f>
        <v>01223633000121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IFERROR(__xludf.DUMMYFUNCTION("""COMPUTED_VALUE"""),"102733")</f>
        <v>102733</v>
      </c>
      <c r="H109" s="8">
        <f ca="1">IFERROR(__xludf.DUMMYFUNCTION("""COMPUTED_VALUE"""),4347)</f>
        <v>4347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IFERROR(__xludf.DUMMYFUNCTION("""COMPUTED_VALUE"""),"Ponte Alta do Bom Jesus")</f>
        <v>Ponte Alta do Bom Jesus</v>
      </c>
      <c r="C110" t="str">
        <f ca="1">IFERROR(__xludf.DUMMYFUNCTION("""COMPUTED_VALUE"""),"A.A. E. ESC. EST. BOA VISTA DE BELEM")</f>
        <v>A.A. E. ESC. EST. BOA VISTA DE BELEM</v>
      </c>
      <c r="D110" t="str">
        <f ca="1">IFERROR(__xludf.DUMMYFUNCTION("""COMPUTED_VALUE"""),"01136045000150")</f>
        <v>01136045000150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IFERROR(__xludf.DUMMYFUNCTION("""COMPUTED_VALUE"""),"010762X")</f>
        <v>010762X</v>
      </c>
      <c r="H110" s="8">
        <f ca="1">IFERROR(__xludf.DUMMYFUNCTION("""COMPUTED_VALUE"""),1953)</f>
        <v>1953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IFERROR(__xludf.DUMMYFUNCTION("""COMPUTED_VALUE"""),"Porto Alegre do Tocantins")</f>
        <v>Porto Alegre do Tocantins</v>
      </c>
      <c r="C111" t="str">
        <f ca="1">IFERROR(__xludf.DUMMYFUNCTION("""COMPUTED_VALUE"""),"ASSOC. APOIO ESC. EST. ALFREDO NASSER")</f>
        <v>ASSOC. APOIO ESC. EST. ALFREDO NASSER</v>
      </c>
      <c r="D111" t="str">
        <f ca="1">IFERROR(__xludf.DUMMYFUNCTION("""COMPUTED_VALUE"""),"01105525000154")</f>
        <v>01105525000154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IFERROR(__xludf.DUMMYFUNCTION("""COMPUTED_VALUE"""),"0106321")</f>
        <v>0106321</v>
      </c>
      <c r="H111" s="8">
        <f ca="1">IFERROR(__xludf.DUMMYFUNCTION("""COMPUTED_VALUE"""),5208)</f>
        <v>5208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IFERROR(__xludf.DUMMYFUNCTION("""COMPUTED_VALUE"""),"Rio da Conceicao")</f>
        <v>Rio da Conceicao</v>
      </c>
      <c r="C112" t="str">
        <f ca="1">IFERROR(__xludf.DUMMYFUNCTION("""COMPUTED_VALUE"""),"A.A. E. E.VIRGILIO FERREIRA DE FRANCA")</f>
        <v>A.A. E. E.VIRGILIO FERREIRA DE FRANCA</v>
      </c>
      <c r="D112" t="str">
        <f ca="1">IFERROR(__xludf.DUMMYFUNCTION("""COMPUTED_VALUE"""),"01136115000170")</f>
        <v>01136115000170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IFERROR(__xludf.DUMMYFUNCTION("""COMPUTED_VALUE"""),"106305")</f>
        <v>106305</v>
      </c>
      <c r="H112" s="8">
        <f ca="1">IFERROR(__xludf.DUMMYFUNCTION("""COMPUTED_VALUE"""),2793)</f>
        <v>2793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IFERROR(__xludf.DUMMYFUNCTION("""COMPUTED_VALUE"""),"Taguatinga")</f>
        <v>Taguatinga</v>
      </c>
      <c r="C113" t="str">
        <f ca="1">IFERROR(__xludf.DUMMYFUNCTION("""COMPUTED_VALUE"""),"A.A.  ESCOLA EST. JUSTINO DE ALMEIDA")</f>
        <v>A.A.  ESCOLA EST. JUSTINO DE ALMEIDA</v>
      </c>
      <c r="D113" t="str">
        <f ca="1">IFERROR(__xludf.DUMMYFUNCTION("""COMPUTED_VALUE"""),"01184379000108")</f>
        <v>01184379000108</v>
      </c>
      <c r="E113" t="str">
        <f ca="1">IFERROR(__xludf.DUMMYFUNCTION("""COMPUTED_VALUE"""),"001")</f>
        <v>001</v>
      </c>
      <c r="F113" t="str">
        <f ca="1">IFERROR(__xludf.DUMMYFUNCTION("""COMPUTED_VALUE"""),"2704")</f>
        <v>2704</v>
      </c>
      <c r="G113" t="str">
        <f ca="1">IFERROR(__xludf.DUMMYFUNCTION("""COMPUTED_VALUE"""),"102563")</f>
        <v>102563</v>
      </c>
      <c r="H113" s="8">
        <f ca="1">IFERROR(__xludf.DUMMYFUNCTION("""COMPUTED_VALUE"""),5208)</f>
        <v>5208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ESC. EST. AGOSTINHO DE ALMEIDA")</f>
        <v>A.A. ESC. EST. AGOSTINHO DE ALMEIDA</v>
      </c>
      <c r="D114" t="str">
        <f ca="1">IFERROR(__xludf.DUMMYFUNCTION("""COMPUTED_VALUE"""),"01197159000100")</f>
        <v>01197159000100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IFERROR(__xludf.DUMMYFUNCTION("""COMPUTED_VALUE"""),"102555")</f>
        <v>102555</v>
      </c>
      <c r="H114" s="8">
        <f ca="1">IFERROR(__xludf.DUMMYFUNCTION("""COMPUTED_VALUE"""),6888)</f>
        <v>6888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IFERROR(__xludf.DUMMYFUNCTION("""COMPUTED_VALUE"""),"Taipas do Tocantins")</f>
        <v>Taipas do Tocantins</v>
      </c>
      <c r="C115" t="str">
        <f ca="1">IFERROR(__xludf.DUMMYFUNCTION("""COMPUTED_VALUE"""),"A.A. E. EST. JOAQUIM FRANCISCO AZEVEDO")</f>
        <v>A.A. E. EST. JOAQUIM FRANCISCO AZEVEDO</v>
      </c>
      <c r="D115" t="str">
        <f ca="1">IFERROR(__xludf.DUMMYFUNCTION("""COMPUTED_VALUE"""),"01136011000166")</f>
        <v>01136011000166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IFERROR(__xludf.DUMMYFUNCTION("""COMPUTED_VALUE"""),"0106291")</f>
        <v>0106291</v>
      </c>
      <c r="H115" s="8">
        <f ca="1">IFERROR(__xludf.DUMMYFUNCTION("""COMPUTED_VALUE"""),3801)</f>
        <v>3801</v>
      </c>
      <c r="I115" t="str">
        <v>E.F.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IFERROR(__xludf.DUMMYFUNCTION("""COMPUTED_VALUE"""),"Colmeia")</f>
        <v>Colmeia</v>
      </c>
      <c r="C116" t="str">
        <f ca="1">IFERROR(__xludf.DUMMYFUNCTION("""COMPUTED_VALUE"""),"A.A.  COL. EST. SERRA DAS CORDILHEIRAS")</f>
        <v>A.A.  COL. EST. SERRA DAS CORDILHEIRAS</v>
      </c>
      <c r="D116" t="str">
        <f ca="1">IFERROR(__xludf.DUMMYFUNCTION("""COMPUTED_VALUE"""),"01138330000100")</f>
        <v>01138330000100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IFERROR(__xludf.DUMMYFUNCTION("""COMPUTED_VALUE"""),"102776")</f>
        <v>102776</v>
      </c>
      <c r="H116" s="8">
        <f ca="1">IFERROR(__xludf.DUMMYFUNCTION("""COMPUTED_VALUE"""),3087)</f>
        <v>3087</v>
      </c>
      <c r="I116" t="str">
        <v>E.F.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IFERROR(__xludf.DUMMYFUNCTION("""COMPUTED_VALUE"""),"Colmeia")</f>
        <v>Colmeia</v>
      </c>
      <c r="C117" t="str">
        <f ca="1">IFERROR(__xludf.DUMMYFUNCTION("""COMPUTED_VALUE"""),"A.A. ESC. EST. ARY RIBEIRO VALADAO FILHO")</f>
        <v>A.A. ESC. EST. ARY RIBEIRO VALADAO FILHO</v>
      </c>
      <c r="D117" t="str">
        <f ca="1">IFERROR(__xludf.DUMMYFUNCTION("""COMPUTED_VALUE"""),"01138331000155")</f>
        <v>01138331000155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IFERROR(__xludf.DUMMYFUNCTION("""COMPUTED_VALUE"""),"102806")</f>
        <v>102806</v>
      </c>
      <c r="H117" s="8">
        <f ca="1">IFERROR(__xludf.DUMMYFUNCTION("""COMPUTED_VALUE"""),4410)</f>
        <v>4410</v>
      </c>
      <c r="I117" t="str">
        <v>E.F.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ESC. EST. JUSCELINO K. DE OLIVEIRA")</f>
        <v>A.A. ESC. EST. JUSCELINO K. DE OLIVEIRA</v>
      </c>
      <c r="D118" t="str">
        <f ca="1">IFERROR(__xludf.DUMMYFUNCTION("""COMPUTED_VALUE"""),"01138328000131")</f>
        <v>01138328000131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IFERROR(__xludf.DUMMYFUNCTION("""COMPUTED_VALUE"""),"102768")</f>
        <v>102768</v>
      </c>
      <c r="H118" s="8">
        <f ca="1">IFERROR(__xludf.DUMMYFUNCTION("""COMPUTED_VALUE"""),525)</f>
        <v>525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IFERROR(__xludf.DUMMYFUNCTION("""COMPUTED_VALUE"""),"Couto Magalhaes")</f>
        <v>Couto Magalhaes</v>
      </c>
      <c r="C119" t="str">
        <f ca="1">IFERROR(__xludf.DUMMYFUNCTION("""COMPUTED_VALUE"""),"A.A. ESC. ESPECIAL  DEUS É FIEL")</f>
        <v>A.A. ESC. ESPECIAL  DEUS É FIEL</v>
      </c>
      <c r="D119" t="str">
        <f ca="1">IFERROR(__xludf.DUMMYFUNCTION("""COMPUTED_VALUE"""),"17467216000164")</f>
        <v>17467216000164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IFERROR(__xludf.DUMMYFUNCTION("""COMPUTED_VALUE"""),"265969")</f>
        <v>265969</v>
      </c>
      <c r="H119" s="8">
        <f ca="1">IFERROR(__xludf.DUMMYFUNCTION("""COMPUTED_VALUE"""),294)</f>
        <v>294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IFERROR(__xludf.DUMMYFUNCTION("""COMPUTED_VALUE"""),"Couto Magalhaes")</f>
        <v>Couto Magalhaes</v>
      </c>
      <c r="C120" t="str">
        <f ca="1">IFERROR(__xludf.DUMMYFUNCTION("""COMPUTED_VALUE"""),"A.A. ESC. EST. ARLINDA ROSA DE SOUZA")</f>
        <v>A.A. ESC. EST. ARLINDA ROSA DE SOUZA</v>
      </c>
      <c r="D120" t="str">
        <f ca="1">IFERROR(__xludf.DUMMYFUNCTION("""COMPUTED_VALUE"""),"01221143000196")</f>
        <v>01221143000196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IFERROR(__xludf.DUMMYFUNCTION("""COMPUTED_VALUE"""),"50350")</f>
        <v>50350</v>
      </c>
      <c r="H120" s="8">
        <f ca="1">IFERROR(__xludf.DUMMYFUNCTION("""COMPUTED_VALUE"""),2625)</f>
        <v>2625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ESCOLAR DA E. EST.ULTIMO DE CARVALHO")</f>
        <v>A.A. ESCOLAR DA E. EST.ULTIMO DE CARVALHO</v>
      </c>
      <c r="D121" t="str">
        <f ca="1">IFERROR(__xludf.DUMMYFUNCTION("""COMPUTED_VALUE"""),"04315063000198")</f>
        <v>04315063000198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IFERROR(__xludf.DUMMYFUNCTION("""COMPUTED_VALUE"""),"74802")</f>
        <v>74802</v>
      </c>
      <c r="H121" s="8">
        <f ca="1">IFERROR(__xludf.DUMMYFUNCTION("""COMPUTED_VALUE"""),1449)</f>
        <v>1449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IFERROR(__xludf.DUMMYFUNCTION("""COMPUTED_VALUE"""),"Fortaleza do Tabocao")</f>
        <v>Fortaleza do Tabocao</v>
      </c>
      <c r="C122" t="str">
        <f ca="1">IFERROR(__xludf.DUMMYFUNCTION("""COMPUTED_VALUE"""),"ASSOC. DE APOIO A ESCOLA ESPECIAL EDSON DUTRA")</f>
        <v>ASSOC. DE APOIO A ESCOLA ESPECIAL EDSON DUTRA</v>
      </c>
      <c r="D122" t="str">
        <f ca="1">IFERROR(__xludf.DUMMYFUNCTION("""COMPUTED_VALUE"""),"09405159000160")</f>
        <v>09405159000160</v>
      </c>
      <c r="E122" t="str">
        <f ca="1">IFERROR(__xludf.DUMMYFUNCTION("""COMPUTED_VALUE"""),"104")</f>
        <v>104</v>
      </c>
      <c r="F122" t="str">
        <f ca="1">IFERROR(__xludf.DUMMYFUNCTION("""COMPUTED_VALUE"""),"4481")</f>
        <v>4481</v>
      </c>
      <c r="G122" t="str">
        <f ca="1">IFERROR(__xludf.DUMMYFUNCTION("""COMPUTED_VALUE"""),"3982")</f>
        <v>3982</v>
      </c>
      <c r="H122" s="8">
        <f ca="1">IFERROR(__xludf.DUMMYFUNCTION("""COMPUTED_VALUE"""),42)</f>
        <v>42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IFERROR(__xludf.DUMMYFUNCTION("""COMPUTED_VALUE"""),"Goianorte")</f>
        <v>Goianorte</v>
      </c>
      <c r="C123" t="str">
        <f ca="1">IFERROR(__xludf.DUMMYFUNCTION("""COMPUTED_VALUE"""),"A.A. DA ESC. EST. ANTENOR BARREIRA")</f>
        <v>A.A. DA ESC. EST. ANTENOR BARREIRA</v>
      </c>
      <c r="D123" t="str">
        <f ca="1">IFERROR(__xludf.DUMMYFUNCTION("""COMPUTED_VALUE"""),"02069808000150")</f>
        <v>02069808000150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IFERROR(__xludf.DUMMYFUNCTION("""COMPUTED_VALUE"""),"54186")</f>
        <v>54186</v>
      </c>
      <c r="H123" s="8">
        <f ca="1">IFERROR(__xludf.DUMMYFUNCTION("""COMPUTED_VALUE"""),2415)</f>
        <v>2415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IFERROR(__xludf.DUMMYFUNCTION("""COMPUTED_VALUE"""),"Goianorte")</f>
        <v>Goianorte</v>
      </c>
      <c r="C124" t="str">
        <f ca="1">IFERROR(__xludf.DUMMYFUNCTION("""COMPUTED_VALUE"""),"ASSOC. DE APOIO DA ESCOLA ESPECIAL NOVOV PARAÍSO - APAE")</f>
        <v>ASSOC. DE APOIO DA ESCOLA ESPECIAL NOVOV PARAÍSO - APAE</v>
      </c>
      <c r="D124" t="str">
        <f ca="1">IFERROR(__xludf.DUMMYFUNCTION("""COMPUTED_VALUE"""),"09510602000163")</f>
        <v>09510602000163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IFERROR(__xludf.DUMMYFUNCTION("""COMPUTED_VALUE"""),"138258")</f>
        <v>138258</v>
      </c>
      <c r="H124" s="8">
        <f ca="1">IFERROR(__xludf.DUMMYFUNCTION("""COMPUTED_VALUE"""),1365)</f>
        <v>1365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IFERROR(__xludf.DUMMYFUNCTION("""COMPUTED_VALUE"""),"Goianorte")</f>
        <v>Goianorte</v>
      </c>
      <c r="C125" t="str">
        <f ca="1">IFERROR(__xludf.DUMMYFUNCTION("""COMPUTED_VALUE"""),"A.A.  DA ESCOLA ESTADUAL MORRO DO MATO")</f>
        <v>A.A.  DA ESCOLA ESTADUAL MORRO DO MATO</v>
      </c>
      <c r="D125" t="str">
        <f ca="1">IFERROR(__xludf.DUMMYFUNCTION("""COMPUTED_VALUE"""),"01990368000107")</f>
        <v>01990368000107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IFERROR(__xludf.DUMMYFUNCTION("""COMPUTED_VALUE"""),"54178")</f>
        <v>54178</v>
      </c>
      <c r="H125" s="8">
        <f ca="1">IFERROR(__xludf.DUMMYFUNCTION("""COMPUTED_VALUE"""),4200)</f>
        <v>4200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 AS ESC. EST. ANTONIO ALENCAR LEAO")</f>
        <v>A.A.  AS ESC. EST. ANTONIO ALENCAR LEAO</v>
      </c>
      <c r="D126" t="str">
        <f ca="1">IFERROR(__xludf.DUMMYFUNCTION("""COMPUTED_VALUE"""),"01575370000110")</f>
        <v>01575370000110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IFERROR(__xludf.DUMMYFUNCTION("""COMPUTED_VALUE"""),"476536")</f>
        <v>476536</v>
      </c>
      <c r="H126" s="8">
        <f ca="1">IFERROR(__xludf.DUMMYFUNCTION("""COMPUTED_VALUE"""),8358)</f>
        <v>8358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IFERROR(__xludf.DUMMYFUNCTION("""COMPUTED_VALUE"""),"Guarai")</f>
        <v>Guarai</v>
      </c>
      <c r="C127" t="str">
        <f ca="1">IFERROR(__xludf.DUMMYFUNCTION("""COMPUTED_VALUE"""),"A.A. DO COL. EST. DONA ANAIDES B.MIRANDA")</f>
        <v>A.A. DO COL. EST. DONA ANAIDES B.MIRANDA</v>
      </c>
      <c r="D127" t="str">
        <f ca="1">IFERROR(__xludf.DUMMYFUNCTION("""COMPUTED_VALUE"""),"01867376000160")</f>
        <v>01867376000160</v>
      </c>
      <c r="E127" t="str">
        <f ca="1">IFERROR(__xludf.DUMMYFUNCTION("""COMPUTED_VALUE"""),"001")</f>
        <v>001</v>
      </c>
      <c r="F127" t="str">
        <f ca="1">IFERROR(__xludf.DUMMYFUNCTION("""COMPUTED_VALUE"""),"2094")</f>
        <v>2094</v>
      </c>
      <c r="G127" t="str">
        <f ca="1">IFERROR(__xludf.DUMMYFUNCTION("""COMPUTED_VALUE"""),"472123")</f>
        <v>472123</v>
      </c>
      <c r="H127" s="8">
        <f ca="1">IFERROR(__xludf.DUMMYFUNCTION("""COMPUTED_VALUE"""),7476)</f>
        <v>7476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IFERROR(__xludf.DUMMYFUNCTION("""COMPUTED_VALUE"""),"Guarai")</f>
        <v>Guarai</v>
      </c>
      <c r="C128" t="str">
        <f ca="1">IFERROR(__xludf.DUMMYFUNCTION("""COMPUTED_VALUE"""),"A. ESCOLAR COM.COL. EST.RAIMUNDO A.LEAO")</f>
        <v>A. ESCOLAR COM.COL. EST.RAIMUNDO A.LEAO</v>
      </c>
      <c r="D128" t="str">
        <f ca="1">IFERROR(__xludf.DUMMYFUNCTION("""COMPUTED_VALUE"""),"00880649000144")</f>
        <v>00880649000144</v>
      </c>
      <c r="E128" t="str">
        <f ca="1">IFERROR(__xludf.DUMMYFUNCTION("""COMPUTED_VALUE"""),"001")</f>
        <v>001</v>
      </c>
      <c r="F128" t="str">
        <f ca="1">IFERROR(__xludf.DUMMYFUNCTION("""COMPUTED_VALUE"""),"2094")</f>
        <v>2094</v>
      </c>
      <c r="G128" t="str">
        <f ca="1">IFERROR(__xludf.DUMMYFUNCTION("""COMPUTED_VALUE"""),"0472719")</f>
        <v>0472719</v>
      </c>
      <c r="H128" s="8">
        <f ca="1">IFERROR(__xludf.DUMMYFUNCTION("""COMPUTED_VALUE"""),3591)</f>
        <v>3591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IFERROR(__xludf.DUMMYFUNCTION("""COMPUTED_VALUE"""),"ASSOCIAÇÃO DE APOIO A ESCOLA ESPECIAL ESTRELA DA ESPERANÇA")</f>
        <v>ASSOCIAÇÃO DE APOIO A ESCOLA ESPECIAL ESTRELA DA ESPERANÇA</v>
      </c>
      <c r="D129" t="str">
        <f ca="1">IFERROR(__xludf.DUMMYFUNCTION("""COMPUTED_VALUE"""),"07938604000122")</f>
        <v>07938604000122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IFERROR(__xludf.DUMMYFUNCTION("""COMPUTED_VALUE"""),"211621")</f>
        <v>211621</v>
      </c>
      <c r="H129" s="8">
        <f ca="1">IFERROR(__xludf.DUMMYFUNCTION("""COMPUTED_VALUE"""),420)</f>
        <v>420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ESC. EST.IRINEU ALBANO HENDGES")</f>
        <v>A.A. ESC. EST.IRINEU ALBANO HENDGES</v>
      </c>
      <c r="D130" t="str">
        <f ca="1">IFERROR(__xludf.DUMMYFUNCTION("""COMPUTED_VALUE"""),"01136012000100")</f>
        <v>01136012000100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IFERROR(__xludf.DUMMYFUNCTION("""COMPUTED_VALUE"""),"0472433")</f>
        <v>0472433</v>
      </c>
      <c r="H130" s="8">
        <f ca="1">IFERROR(__xludf.DUMMYFUNCTION("""COMPUTED_VALUE"""),4767)</f>
        <v>4767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ESCOLA EST. JOSE COSTA SOARES")</f>
        <v>A.A. ESCOLA EST. JOSE COSTA SOARES</v>
      </c>
      <c r="D131" t="str">
        <f ca="1">IFERROR(__xludf.DUMMYFUNCTION("""COMPUTED_VALUE"""),"01421200000180")</f>
        <v>01421200000180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IFERROR(__xludf.DUMMYFUNCTION("""COMPUTED_VALUE"""),"471577")</f>
        <v>471577</v>
      </c>
      <c r="H131" s="8">
        <f ca="1">IFERROR(__xludf.DUMMYFUNCTION("""COMPUTED_VALUE"""),3192)</f>
        <v>3192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IFERROR(__xludf.DUMMYFUNCTION("""COMPUTED_VALUE"""),"Itapora do Tocantins")</f>
        <v>Itapora do Tocantins</v>
      </c>
      <c r="C132" t="str">
        <f ca="1">IFERROR(__xludf.DUMMYFUNCTION("""COMPUTED_VALUE"""),"A.A. COL. EST. FRANCISCA ALVES ALENCAR")</f>
        <v>A.A. COL. EST. FRANCISCA ALVES ALENCAR</v>
      </c>
      <c r="D132" t="str">
        <f ca="1">IFERROR(__xludf.DUMMYFUNCTION("""COMPUTED_VALUE"""),"01190193000153")</f>
        <v>01190193000153</v>
      </c>
      <c r="E132" t="str">
        <f ca="1">IFERROR(__xludf.DUMMYFUNCTION("""COMPUTED_VALUE"""),"001")</f>
        <v>001</v>
      </c>
      <c r="F132" t="str">
        <f ca="1">IFERROR(__xludf.DUMMYFUNCTION("""COMPUTED_VALUE"""),"1306")</f>
        <v>1306</v>
      </c>
      <c r="G132" t="str">
        <f ca="1">IFERROR(__xludf.DUMMYFUNCTION("""COMPUTED_VALUE"""),"102865")</f>
        <v>102865</v>
      </c>
      <c r="H132" s="8">
        <f ca="1">IFERROR(__xludf.DUMMYFUNCTION("""COMPUTED_VALUE"""),2499)</f>
        <v>2499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IFERROR(__xludf.DUMMYFUNCTION("""COMPUTED_VALUE"""),"Pequizeiro")</f>
        <v>Pequizeiro</v>
      </c>
      <c r="C133" t="str">
        <f ca="1">IFERROR(__xludf.DUMMYFUNCTION("""COMPUTED_VALUE"""),"A.A. DO COLEGIO ESTADUAL BERNARDO SAYAO")</f>
        <v>A.A. DO COLEGIO ESTADUAL BERNARDO SAYAO</v>
      </c>
      <c r="D133" t="str">
        <f ca="1">IFERROR(__xludf.DUMMYFUNCTION("""COMPUTED_VALUE"""),"02160863000151")</f>
        <v>02160863000151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IFERROR(__xludf.DUMMYFUNCTION("""COMPUTED_VALUE"""),"53910")</f>
        <v>53910</v>
      </c>
      <c r="H133" s="8">
        <f ca="1">IFERROR(__xludf.DUMMYFUNCTION("""COMPUTED_VALUE"""),3234)</f>
        <v>3234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IFERROR(__xludf.DUMMYFUNCTION("""COMPUTED_VALUE"""),"Presidente Kennedy")</f>
        <v>Presidente Kennedy</v>
      </c>
      <c r="C134" t="str">
        <f ca="1">IFERROR(__xludf.DUMMYFUNCTION("""COMPUTED_VALUE"""),"A.PAIS E M.COL. EST. JUSCELINO KUBITSCHEK")</f>
        <v>A.PAIS E M.COL. EST. JUSCELINO KUBITSCHEK</v>
      </c>
      <c r="D134" t="str">
        <f ca="1">IFERROR(__xludf.DUMMYFUNCTION("""COMPUTED_VALUE"""),"02060456000172")</f>
        <v>02060456000172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IFERROR(__xludf.DUMMYFUNCTION("""COMPUTED_VALUE"""),"047553X")</f>
        <v>047553X</v>
      </c>
      <c r="H134" s="8">
        <f ca="1">IFERROR(__xludf.DUMMYFUNCTION("""COMPUTED_VALUE"""),2982)</f>
        <v>2982</v>
      </c>
      <c r="I134" t="str">
        <v>E.F.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IFERROR(__xludf.DUMMYFUNCTION("""COMPUTED_VALUE"""),"Alianca do Tocantins")</f>
        <v>Alianca do Tocantins</v>
      </c>
      <c r="C135" t="str">
        <f ca="1">IFERROR(__xludf.DUMMYFUNCTION("""COMPUTED_VALUE"""),"ASS. APOIO COL. EST. ANITA CASSIMIRO MORENO")</f>
        <v>ASS. APOIO COL. EST. ANITA CASSIMIRO MORENO</v>
      </c>
      <c r="D135" t="str">
        <f ca="1">IFERROR(__xludf.DUMMYFUNCTION("""COMPUTED_VALUE"""),"01304570000138")</f>
        <v>01304570000138</v>
      </c>
      <c r="E135" t="str">
        <f ca="1">IFERROR(__xludf.DUMMYFUNCTION("""COMPUTED_VALUE"""),"001")</f>
        <v>001</v>
      </c>
      <c r="F135" t="str">
        <f ca="1">IFERROR(__xludf.DUMMYFUNCTION("""COMPUTED_VALUE"""),"3972")</f>
        <v>3972</v>
      </c>
      <c r="G135" t="str">
        <f ca="1">IFERROR(__xludf.DUMMYFUNCTION("""COMPUTED_VALUE"""),"245984")</f>
        <v>245984</v>
      </c>
      <c r="H135" s="8">
        <f ca="1">IFERROR(__xludf.DUMMYFUNCTION("""COMPUTED_VALUE"""),1995)</f>
        <v>1995</v>
      </c>
      <c r="I135" t="str">
        <v>E.F.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IFERROR(__xludf.DUMMYFUNCTION("""COMPUTED_VALUE"""),"Alianca do Tocantins")</f>
        <v>Alianca do Tocantins</v>
      </c>
      <c r="C136" t="str">
        <f ca="1">IFERROR(__xludf.DUMMYFUNCTION("""COMPUTED_VALUE"""),"A.A.  AO EDUCANDARIO EVANGELICO JERUSALEM")</f>
        <v>A.A.  AO EDUCANDARIO EVANGELICO JERUSALEM</v>
      </c>
      <c r="D136" t="str">
        <f ca="1">IFERROR(__xludf.DUMMYFUNCTION("""COMPUTED_VALUE"""),"03172227000102")</f>
        <v>03172227000102</v>
      </c>
      <c r="E136" t="str">
        <f ca="1">IFERROR(__xludf.DUMMYFUNCTION("""COMPUTED_VALUE"""),"001")</f>
        <v>001</v>
      </c>
      <c r="F136" t="str">
        <f ca="1">IFERROR(__xludf.DUMMYFUNCTION("""COMPUTED_VALUE"""),"3972")</f>
        <v>3972</v>
      </c>
      <c r="G136" t="str">
        <f ca="1">IFERROR(__xludf.DUMMYFUNCTION("""COMPUTED_VALUE"""),"54666")</f>
        <v>54666</v>
      </c>
      <c r="H136" s="8">
        <f ca="1">IFERROR(__xludf.DUMMYFUNCTION("""COMPUTED_VALUE"""),2226)</f>
        <v>2226</v>
      </c>
      <c r="I136" t="str">
        <v>E.F.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IFERROR(__xludf.DUMMYFUNCTION("""COMPUTED_VALUE"""),"Alvorada")</f>
        <v>Alvorada</v>
      </c>
      <c r="C137" t="str">
        <f ca="1">IFERROR(__xludf.DUMMYFUNCTION("""COMPUTED_VALUE"""),"ASS. APOIO COL. EST. ADJULIO BALTHAZAR")</f>
        <v>ASS. APOIO COL. EST. ADJULIO BALTHAZAR</v>
      </c>
      <c r="D137" t="str">
        <f ca="1">IFERROR(__xludf.DUMMYFUNCTION("""COMPUTED_VALUE"""),"01138432000126")</f>
        <v>01138432000126</v>
      </c>
      <c r="E137" t="str">
        <f ca="1">IFERROR(__xludf.DUMMYFUNCTION("""COMPUTED_VALUE"""),"001")</f>
        <v>001</v>
      </c>
      <c r="F137" t="str">
        <f ca="1">IFERROR(__xludf.DUMMYFUNCTION("""COMPUTED_VALUE"""),"1303")</f>
        <v>1303</v>
      </c>
      <c r="G137" t="str">
        <f ca="1">IFERROR(__xludf.DUMMYFUNCTION("""COMPUTED_VALUE"""),"103462")</f>
        <v>103462</v>
      </c>
      <c r="H137" s="8">
        <f ca="1">IFERROR(__xludf.DUMMYFUNCTION("""COMPUTED_VALUE"""),4746)</f>
        <v>4746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IFERROR(__xludf.DUMMYFUNCTION("""COMPUTED_VALUE"""),"Alvorada")</f>
        <v>Alvorada</v>
      </c>
      <c r="C138" t="str">
        <f ca="1">IFERROR(__xludf.DUMMYFUNCTION("""COMPUTED_VALUE"""),"A.P.A.DOS EXCEP. DE ALVORADA-APAE")</f>
        <v>A.P.A.DOS EXCEP. DE ALVORADA-APAE</v>
      </c>
      <c r="D138" t="str">
        <f ca="1">IFERROR(__xludf.DUMMYFUNCTION("""COMPUTED_VALUE"""),"02201735000109")</f>
        <v>02201735000109</v>
      </c>
      <c r="E138" t="str">
        <f ca="1">IFERROR(__xludf.DUMMYFUNCTION("""COMPUTED_VALUE"""),"001")</f>
        <v>001</v>
      </c>
      <c r="F138" t="str">
        <f ca="1">IFERROR(__xludf.DUMMYFUNCTION("""COMPUTED_VALUE"""),"1303")</f>
        <v>1303</v>
      </c>
      <c r="G138" t="str">
        <f ca="1">IFERROR(__xludf.DUMMYFUNCTION("""COMPUTED_VALUE"""),"101826")</f>
        <v>101826</v>
      </c>
      <c r="H138" s="8">
        <f ca="1">IFERROR(__xludf.DUMMYFUNCTION("""COMPUTED_VALUE"""),126)</f>
        <v>126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IFERROR(__xludf.DUMMYFUNCTION("""COMPUTED_VALUE"""),"Alvorada")</f>
        <v>Alvorada</v>
      </c>
      <c r="C139" t="str">
        <f ca="1">IFERROR(__xludf.DUMMYFUNCTION("""COMPUTED_VALUE"""),"ASS. APOIO ESC. EST. ANA MARIA DE JESUS")</f>
        <v>ASS. APOIO ESC. EST. ANA MARIA DE JESUS</v>
      </c>
      <c r="D139" t="str">
        <f ca="1">IFERROR(__xludf.DUMMYFUNCTION("""COMPUTED_VALUE"""),"01221145000185")</f>
        <v>01221145000185</v>
      </c>
      <c r="E139" t="str">
        <f ca="1">IFERROR(__xludf.DUMMYFUNCTION("""COMPUTED_VALUE"""),"001")</f>
        <v>001</v>
      </c>
      <c r="F139" t="str">
        <f ca="1">IFERROR(__xludf.DUMMYFUNCTION("""COMPUTED_VALUE"""),"1303")</f>
        <v>1303</v>
      </c>
      <c r="G139" t="str">
        <f ca="1">IFERROR(__xludf.DUMMYFUNCTION("""COMPUTED_VALUE"""),"103691")</f>
        <v>103691</v>
      </c>
      <c r="H139" s="8">
        <f ca="1">IFERROR(__xludf.DUMMYFUNCTION("""COMPUTED_VALUE"""),1197)</f>
        <v>1197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IFERROR(__xludf.DUMMYFUNCTION("""COMPUTED_VALUE"""),"Araguacu")</f>
        <v>Araguacu</v>
      </c>
      <c r="C140" t="str">
        <f ca="1">IFERROR(__xludf.DUMMYFUNCTION("""COMPUTED_VALUE"""),"A..A. ESC. ESPECIAL  ABELINHA EM BUSCA DO SABER")</f>
        <v>A..A. ESC. ESPECIAL  ABELINHA EM BUSCA DO SABER</v>
      </c>
      <c r="D140" t="str">
        <f ca="1">IFERROR(__xludf.DUMMYFUNCTION("""COMPUTED_VALUE"""),"07924466000122")</f>
        <v>07924466000122</v>
      </c>
      <c r="E140" t="str">
        <f ca="1">IFERROR(__xludf.DUMMYFUNCTION("""COMPUTED_VALUE"""),"001")</f>
        <v>001</v>
      </c>
      <c r="F140" t="str">
        <f ca="1">IFERROR(__xludf.DUMMYFUNCTION("""COMPUTED_VALUE"""),"1304")</f>
        <v>1304</v>
      </c>
      <c r="G140" t="str">
        <f ca="1">IFERROR(__xludf.DUMMYFUNCTION("""COMPUTED_VALUE"""),"136417")</f>
        <v>136417</v>
      </c>
      <c r="H140" s="8">
        <f ca="1">IFERROR(__xludf.DUMMYFUNCTION("""COMPUTED_VALUE"""),126)</f>
        <v>126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IFERROR(__xludf.DUMMYFUNCTION("""COMPUTED_VALUE"""),"Araguacu")</f>
        <v>Araguacu</v>
      </c>
      <c r="C141" t="str">
        <f ca="1">IFERROR(__xludf.DUMMYFUNCTION("""COMPUTED_VALUE"""),"ASS. APOIO ESC. EST. SALVADOR CAETANO")</f>
        <v>ASS. APOIO ESC. EST. SALVADOR CAETANO</v>
      </c>
      <c r="D141" t="str">
        <f ca="1">IFERROR(__xludf.DUMMYFUNCTION("""COMPUTED_VALUE"""),"01341484000103")</f>
        <v>01341484000103</v>
      </c>
      <c r="E141" t="str">
        <f ca="1">IFERROR(__xludf.DUMMYFUNCTION("""COMPUTED_VALUE"""),"001")</f>
        <v>001</v>
      </c>
      <c r="F141" t="str">
        <f ca="1">IFERROR(__xludf.DUMMYFUNCTION("""COMPUTED_VALUE"""),"1304")</f>
        <v>1304</v>
      </c>
      <c r="G141" t="str">
        <f ca="1">IFERROR(__xludf.DUMMYFUNCTION("""COMPUTED_VALUE"""),"0105589")</f>
        <v>0105589</v>
      </c>
      <c r="H141" s="8">
        <f ca="1">IFERROR(__xludf.DUMMYFUNCTION("""COMPUTED_VALUE"""),4998)</f>
        <v>4998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IFERROR(__xludf.DUMMYFUNCTION("""COMPUTED_VALUE"""),"Cariri do Tocantins")</f>
        <v>Cariri do Tocantins</v>
      </c>
      <c r="C142" t="str">
        <f ca="1">IFERROR(__xludf.DUMMYFUNCTION("""COMPUTED_VALUE"""),"ASS. APOIO ESCOLA ESTADUAL TARSO DUTRA")</f>
        <v>ASS. APOIO ESCOLA ESTADUAL TARSO DUTRA</v>
      </c>
      <c r="D142" t="str">
        <f ca="1">IFERROR(__xludf.DUMMYFUNCTION("""COMPUTED_VALUE"""),"01239275000145")</f>
        <v>01239275000145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IFERROR(__xludf.DUMMYFUNCTION("""COMPUTED_VALUE"""),"245496")</f>
        <v>245496</v>
      </c>
      <c r="H142" s="8">
        <f ca="1">IFERROR(__xludf.DUMMYFUNCTION("""COMPUTED_VALUE"""),1449)</f>
        <v>1449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IFERROR(__xludf.DUMMYFUNCTION("""COMPUTED_VALUE"""),"Crixas do Tocantins")</f>
        <v>Crixas do Tocantins</v>
      </c>
      <c r="C143" t="str">
        <f ca="1">IFERROR(__xludf.DUMMYFUNCTION("""COMPUTED_VALUE"""),"ASSOC. DE AP. DA ESC. EST. OLAVO BILAC")</f>
        <v>ASSOC. DE AP. DA ESC. EST. OLAVO BILAC</v>
      </c>
      <c r="D143" t="str">
        <f ca="1">IFERROR(__xludf.DUMMYFUNCTION("""COMPUTED_VALUE"""),"01892440000163")</f>
        <v>01892440000163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IFERROR(__xludf.DUMMYFUNCTION("""COMPUTED_VALUE"""),"13498")</f>
        <v>13498</v>
      </c>
      <c r="H143" s="8">
        <f ca="1">IFERROR(__xludf.DUMMYFUNCTION("""COMPUTED_VALUE"""),1218)</f>
        <v>1218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IFERROR(__xludf.DUMMYFUNCTION("""COMPUTED_VALUE"""),"Duere")</f>
        <v>Duere</v>
      </c>
      <c r="C144" t="str">
        <f ca="1">IFERROR(__xludf.DUMMYFUNCTION("""COMPUTED_VALUE"""),"A.P.MESTRES DA ESCOLA EST.ELESBAO LIMA")</f>
        <v>A.P.MESTRES DA ESCOLA EST.ELESBAO LIMA</v>
      </c>
      <c r="D144" t="str">
        <f ca="1">IFERROR(__xludf.DUMMYFUNCTION("""COMPUTED_VALUE"""),"01865387000101")</f>
        <v>01865387000101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IFERROR(__xludf.DUMMYFUNCTION("""COMPUTED_VALUE"""),"6758X")</f>
        <v>6758X</v>
      </c>
      <c r="H144" s="8">
        <f ca="1">IFERROR(__xludf.DUMMYFUNCTION("""COMPUTED_VALUE"""),6279)</f>
        <v>6279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IFERROR(__xludf.DUMMYFUNCTION("""COMPUTED_VALUE"""),"Figueiropolis")</f>
        <v>Figueiropolis</v>
      </c>
      <c r="C145" t="str">
        <f ca="1">IFERROR(__xludf.DUMMYFUNCTION("""COMPUTED_VALUE"""),"A. APOIO COLEGIO EST. CANDIDO FIGUEIRA")</f>
        <v>A. APOIO COLEGIO EST. CANDIDO FIGUEIRA</v>
      </c>
      <c r="D145" t="str">
        <f ca="1">IFERROR(__xludf.DUMMYFUNCTION("""COMPUTED_VALUE"""),"01262902000169")</f>
        <v>01262902000169</v>
      </c>
      <c r="E145" t="str">
        <f ca="1">IFERROR(__xludf.DUMMYFUNCTION("""COMPUTED_VALUE"""),"001")</f>
        <v>001</v>
      </c>
      <c r="F145" t="str">
        <f ca="1">IFERROR(__xludf.DUMMYFUNCTION("""COMPUTED_VALUE"""),"3978")</f>
        <v>3978</v>
      </c>
      <c r="G145" t="str">
        <f ca="1">IFERROR(__xludf.DUMMYFUNCTION("""COMPUTED_VALUE"""),"4802X")</f>
        <v>4802X</v>
      </c>
      <c r="H145" s="8">
        <f ca="1">IFERROR(__xludf.DUMMYFUNCTION("""COMPUTED_VALUE"""),7098)</f>
        <v>7098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IFERROR(__xludf.DUMMYFUNCTION("""COMPUTED_VALUE"""),"Formoso do Araguaia")</f>
        <v>Formoso do Araguaia</v>
      </c>
      <c r="C146" t="str">
        <f ca="1">IFERROR(__xludf.DUMMYFUNCTION("""COMPUTED_VALUE"""),"A.P.E MESTRES DA E. E.BENEDITO P.BANDEIRA")</f>
        <v>A.P.E MESTRES DA E. E.BENEDITO P.BANDEIRA</v>
      </c>
      <c r="D146" t="str">
        <f ca="1">IFERROR(__xludf.DUMMYFUNCTION("""COMPUTED_VALUE"""),"01136026000124")</f>
        <v>01136026000124</v>
      </c>
      <c r="E146" t="str">
        <f ca="1">IFERROR(__xludf.DUMMYFUNCTION("""COMPUTED_VALUE"""),"001")</f>
        <v>001</v>
      </c>
      <c r="F146" t="str">
        <f ca="1">IFERROR(__xludf.DUMMYFUNCTION("""COMPUTED_VALUE"""),"3123")</f>
        <v>3123</v>
      </c>
      <c r="G146" t="str">
        <f ca="1">IFERROR(__xludf.DUMMYFUNCTION("""COMPUTED_VALUE"""),"0303240")</f>
        <v>0303240</v>
      </c>
      <c r="H146" s="8">
        <f ca="1">IFERROR(__xludf.DUMMYFUNCTION("""COMPUTED_VALUE"""),2079)</f>
        <v>2079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IFERROR(__xludf.DUMMYFUNCTION("""COMPUTED_VALUE"""),588)</f>
        <v>588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IFERROR(__xludf.DUMMYFUNCTION("""COMPUTED_VALUE"""),8274)</f>
        <v>8274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IFERROR(__xludf.DUMMYFUNCTION("""COMPUTED_VALUE"""),"A.A.  DO COL. PAROQUIAL BERNARDO SAYAO")</f>
        <v>A.A.  DO COL. PAROQUIAL BERNARDO SAYAO</v>
      </c>
      <c r="D149" t="str">
        <f ca="1">IFERROR(__xludf.DUMMYFUNCTION("""COMPUTED_VALUE"""),"01865371000107")</f>
        <v>01865371000107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IFERROR(__xludf.DUMMYFUNCTION("""COMPUTED_VALUE"""),"66796")</f>
        <v>66796</v>
      </c>
      <c r="H149" s="8">
        <f ca="1">IFERROR(__xludf.DUMMYFUNCTION("""COMPUTED_VALUE"""),10899)</f>
        <v>10899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IFERROR(__xludf.DUMMYFUNCTION("""COMPUTED_VALUE"""),"A.P.M.AL.MAIORES DE ID.C.POSITIVO GURUPI")</f>
        <v>A.P.M.AL.MAIORES DE ID.C.POSITIVO GURUPI</v>
      </c>
      <c r="D150" t="str">
        <f ca="1">IFERROR(__xludf.DUMMYFUNCTION("""COMPUTED_VALUE"""),"01865432000128")</f>
        <v>01865432000128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IFERROR(__xludf.DUMMYFUNCTION("""COMPUTED_VALUE"""),"12138")</f>
        <v>12138</v>
      </c>
      <c r="H150" s="8">
        <f ca="1">IFERROR(__xludf.DUMMYFUNCTION("""COMPUTED_VALUE"""),9177)</f>
        <v>9177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IFERROR(__xludf.DUMMYFUNCTION("""COMPUTED_VALUE"""),"INSTITUTO SOCIAL EVANG DE GURUPI/EDUC. EVANG. EBENÉZER")</f>
        <v>INSTITUTO SOCIAL EVANG DE GURUPI/EDUC. EVANG. EBENÉZER</v>
      </c>
      <c r="D151" t="str">
        <f ca="1">IFERROR(__xludf.DUMMYFUNCTION("""COMPUTED_VALUE"""),"17194297000176")</f>
        <v>17194297000176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IFERROR(__xludf.DUMMYFUNCTION("""COMPUTED_VALUE"""),"493066")</f>
        <v>493066</v>
      </c>
      <c r="H151" s="8">
        <f ca="1">IFERROR(__xludf.DUMMYFUNCTION("""COMPUTED_VALUE"""),15750)</f>
        <v>15750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IFERROR(__xludf.DUMMYFUNCTION("""COMPUTED_VALUE"""),"ASSOCIAÇÃO DE APOIO A ESCOLA ESPECIAL SÃO FRANCISCO DE ASSIS")</f>
        <v>ASSOCIAÇÃO DE APOIO A ESCOLA ESPECIAL SÃO FRANCISCO DE ASSIS</v>
      </c>
      <c r="D152" t="str">
        <f ca="1">IFERROR(__xludf.DUMMYFUNCTION("""COMPUTED_VALUE"""),"07947356000186")</f>
        <v>07947356000186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IFERROR(__xludf.DUMMYFUNCTION("""COMPUTED_VALUE"""),"431109")</f>
        <v>431109</v>
      </c>
      <c r="H152" s="8">
        <f ca="1">IFERROR(__xludf.DUMMYFUNCTION("""COMPUTED_VALUE"""),462)</f>
        <v>462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ESC. EST. DR. JOAQUIM P. DA COSTA")</f>
        <v>A.A. ESC. EST. DR. JOAQUIM P. DA COSTA</v>
      </c>
      <c r="D153" t="str">
        <f ca="1">IFERROR(__xludf.DUMMYFUNCTION("""COMPUTED_VALUE"""),"01865386000167")</f>
        <v>01865386000167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IFERROR(__xludf.DUMMYFUNCTION("""COMPUTED_VALUE"""),"67288")</f>
        <v>67288</v>
      </c>
      <c r="H153" s="8">
        <f ca="1">IFERROR(__xludf.DUMMYFUNCTION("""COMPUTED_VALUE"""),4536)</f>
        <v>4536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ESCOLAR DA ESC. EST. DR.WALDIR LINS")</f>
        <v>A.A. ESCOLAR DA ESC. EST. DR.WALDIR LINS</v>
      </c>
      <c r="D154" t="str">
        <f ca="1">IFERROR(__xludf.DUMMYFUNCTION("""COMPUTED_VALUE"""),"01936535000131")</f>
        <v>01936535000131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IFERROR(__xludf.DUMMYFUNCTION("""COMPUTED_VALUE"""),"66966")</f>
        <v>66966</v>
      </c>
      <c r="H154" s="8">
        <f ca="1">IFERROR(__xludf.DUMMYFUNCTION("""COMPUTED_VALUE"""),126)</f>
        <v>126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HERCILIA CARVALHO DA SILVA")</f>
        <v>A.A. ESC. EST. HERCILIA CARVALHO DA SILVA</v>
      </c>
      <c r="D155" t="str">
        <f ca="1">IFERROR(__xludf.DUMMYFUNCTION("""COMPUTED_VALUE"""),"01465790000143")</f>
        <v>01465790000143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IFERROR(__xludf.DUMMYFUNCTION("""COMPUTED_VALUE"""),"66834")</f>
        <v>66834</v>
      </c>
      <c r="H155" s="8">
        <f ca="1">IFERROR(__xludf.DUMMYFUNCTION("""COMPUTED_VALUE"""),6615)</f>
        <v>6615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DE PAIS E MESTRES/ESC. EST. VILA GUARACY")</f>
        <v>A. DE PAIS E MESTRES/ESC. EST. VILA GUARACY</v>
      </c>
      <c r="D156" t="str">
        <f ca="1">IFERROR(__xludf.DUMMYFUNCTION("""COMPUTED_VALUE"""),"01918955000195")</f>
        <v>01918955000195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IFERROR(__xludf.DUMMYFUNCTION("""COMPUTED_VALUE"""),"67008")</f>
        <v>67008</v>
      </c>
      <c r="H156" s="8">
        <f ca="1">IFERROR(__xludf.DUMMYFUNCTION("""COMPUTED_VALUE"""),3780)</f>
        <v>3780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IFERROR(__xludf.DUMMYFUNCTION("""COMPUTED_VALUE"""),"ASSOC APOIO INSTITUTO EDUCACIONAL PASSO A PASSO")</f>
        <v>ASSOC APOIO INSTITUTO EDUCACIONAL PASSO A PASSO</v>
      </c>
      <c r="D157" t="str">
        <f ca="1">IFERROR(__xludf.DUMMYFUNCTION("""COMPUTED_VALUE"""),"10450172000110")</f>
        <v>10450172000110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IFERROR(__xludf.DUMMYFUNCTION("""COMPUTED_VALUE"""),"414263")</f>
        <v>414263</v>
      </c>
      <c r="H157" s="8">
        <f ca="1">IFERROR(__xludf.DUMMYFUNCTION("""COMPUTED_VALUE"""),8946)</f>
        <v>8946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DO INSTITUTO PRESBITERIANO ARAGUAIA")</f>
        <v>A.A. DO INSTITUTO PRESBITERIANO ARAGUAIA</v>
      </c>
      <c r="D158" t="str">
        <f ca="1">IFERROR(__xludf.DUMMYFUNCTION("""COMPUTED_VALUE"""),"03060918000114")</f>
        <v>03060918000114</v>
      </c>
      <c r="E158" t="str">
        <f ca="1">IFERROR(__xludf.DUMMYFUNCTION("""COMPUTED_VALUE"""),"104")</f>
        <v>104</v>
      </c>
      <c r="F158" t="str">
        <f ca="1">IFERROR(__xludf.DUMMYFUNCTION("""COMPUTED_VALUE"""),"0793")</f>
        <v>0793</v>
      </c>
      <c r="G158" t="str">
        <f ca="1">IFERROR(__xludf.DUMMYFUNCTION("""COMPUTED_VALUE"""),"12090")</f>
        <v>12090</v>
      </c>
      <c r="H158" s="8">
        <f ca="1">IFERROR(__xludf.DUMMYFUNCTION("""COMPUTED_VALUE"""),13293)</f>
        <v>13293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EDUCACIONAL")</f>
        <v>A.A. DO INSTITUTO PRESBITERIANO EDUCACIONAL</v>
      </c>
      <c r="D159" t="str">
        <f ca="1">IFERROR(__xludf.DUMMYFUNCTION("""COMPUTED_VALUE"""),"07217559000117")</f>
        <v>07217559000117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IFERROR(__xludf.DUMMYFUNCTION("""COMPUTED_VALUE"""),"2663")</f>
        <v>2663</v>
      </c>
      <c r="H159" s="8">
        <f ca="1">IFERROR(__xludf.DUMMYFUNCTION("""COMPUTED_VALUE"""),5523)</f>
        <v>5523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IFERROR(__xludf.DUMMYFUNCTION("""COMPUTED_VALUE"""),4725)</f>
        <v>4725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IFERROR(__xludf.DUMMYFUNCTION("""COMPUTED_VALUE"""),4914)</f>
        <v>4914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IFERROR(__xludf.DUMMYFUNCTION("""COMPUTED_VALUE"""),"Peixe")</f>
        <v>Peixe</v>
      </c>
      <c r="C162" t="str">
        <f ca="1">IFERROR(__xludf.DUMMYFUNCTION("""COMPUTED_VALUE"""),"A.A.  ESC. EST.TANCREDO DE ALMEIDA NEVES")</f>
        <v>A.A.  ESC. EST.TANCREDO DE ALMEIDA NEVES</v>
      </c>
      <c r="D162" t="str">
        <f ca="1">IFERROR(__xludf.DUMMYFUNCTION("""COMPUTED_VALUE"""),"01136008000142")</f>
        <v>01136008000142</v>
      </c>
      <c r="E162" t="str">
        <f ca="1">IFERROR(__xludf.DUMMYFUNCTION("""COMPUTED_VALUE"""),"001")</f>
        <v>001</v>
      </c>
      <c r="F162" t="str">
        <f ca="1">IFERROR(__xludf.DUMMYFUNCTION("""COMPUTED_VALUE"""),"3979")</f>
        <v>3979</v>
      </c>
      <c r="G162" t="str">
        <f ca="1">IFERROR(__xludf.DUMMYFUNCTION("""COMPUTED_VALUE"""),"52914")</f>
        <v>52914</v>
      </c>
      <c r="H162" s="8">
        <f ca="1">IFERROR(__xludf.DUMMYFUNCTION("""COMPUTED_VALUE"""),7791)</f>
        <v>7791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IFERROR(__xludf.DUMMYFUNCTION("""COMPUTED_VALUE"""),4809)</f>
        <v>4809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IFERROR(__xludf.DUMMYFUNCTION("""COMPUTED_VALUE"""),"Sandolandia")</f>
        <v>Sandolandia</v>
      </c>
      <c r="C164" t="str">
        <f ca="1">IFERROR(__xludf.DUMMYFUNCTION("""COMPUTED_VALUE"""),"ASS. DE APOIO ESC. EST.PE.JOSE DE ANCHIETA")</f>
        <v>ASS. DE APOIO ESC. EST.PE.JOSE DE ANCHIETA</v>
      </c>
      <c r="D164" t="str">
        <f ca="1">IFERROR(__xludf.DUMMYFUNCTION("""COMPUTED_VALUE"""),"01190190000110")</f>
        <v>01190190000110</v>
      </c>
      <c r="E164" t="str">
        <f ca="1">IFERROR(__xludf.DUMMYFUNCTION("""COMPUTED_VALUE"""),"001")</f>
        <v>001</v>
      </c>
      <c r="F164" t="str">
        <f ca="1">IFERROR(__xludf.DUMMYFUNCTION("""COMPUTED_VALUE"""),"1304")</f>
        <v>1304</v>
      </c>
      <c r="G164" t="str">
        <f ca="1">IFERROR(__xludf.DUMMYFUNCTION("""COMPUTED_VALUE"""),"105171")</f>
        <v>105171</v>
      </c>
      <c r="H164" s="8">
        <f ca="1">IFERROR(__xludf.DUMMYFUNCTION("""COMPUTED_VALUE"""),882)</f>
        <v>882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IFERROR(__xludf.DUMMYFUNCTION("""COMPUTED_VALUE"""),"Sao Salvador do Tocantins")</f>
        <v>Sao Salvador do Tocantins</v>
      </c>
      <c r="C165" t="str">
        <f ca="1">IFERROR(__xludf.DUMMYFUNCTION("""COMPUTED_VALUE"""),"A.A DA ESCOLA ESTADUAL RETIRO")</f>
        <v>A.A DA ESCOLA ESTADUAL RETIRO</v>
      </c>
      <c r="D165" t="str">
        <f ca="1">IFERROR(__xludf.DUMMYFUNCTION("""COMPUTED_VALUE"""),"04205236000115")</f>
        <v>04205236000115</v>
      </c>
      <c r="E165" t="str">
        <f ca="1">IFERROR(__xludf.DUMMYFUNCTION("""COMPUTED_VALUE"""),"001")</f>
        <v>001</v>
      </c>
      <c r="F165" t="str">
        <f ca="1">IFERROR(__xludf.DUMMYFUNCTION("""COMPUTED_VALUE"""),"4608")</f>
        <v>4608</v>
      </c>
      <c r="G165" t="str">
        <f ca="1">IFERROR(__xludf.DUMMYFUNCTION("""COMPUTED_VALUE"""),"73563")</f>
        <v>73563</v>
      </c>
      <c r="H165" s="8">
        <f ca="1">IFERROR(__xludf.DUMMYFUNCTION("""COMPUTED_VALUE"""),1512)</f>
        <v>1512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IFERROR(__xludf.DUMMYFUNCTION("""COMPUTED_VALUE"""),"Sao Valerio da Natividade")</f>
        <v>Sao Valerio da Natividade</v>
      </c>
      <c r="C166" t="str">
        <f ca="1">IFERROR(__xludf.DUMMYFUNCTION("""COMPUTED_VALUE"""),"A.P.M.E ALUNOS COL. EST. REGINA S. CAMPOS")</f>
        <v>A.P.M.E ALUNOS COL. EST. REGINA S. CAMPOS</v>
      </c>
      <c r="D166" t="str">
        <f ca="1">IFERROR(__xludf.DUMMYFUNCTION("""COMPUTED_VALUE"""),"01431377000168")</f>
        <v>01431377000168</v>
      </c>
      <c r="E166" t="str">
        <f ca="1">IFERROR(__xludf.DUMMYFUNCTION("""COMPUTED_VALUE"""),"001")</f>
        <v>001</v>
      </c>
      <c r="F166" t="str">
        <f ca="1">IFERROR(__xludf.DUMMYFUNCTION("""COMPUTED_VALUE"""),"0794")</f>
        <v>0794</v>
      </c>
      <c r="G166" t="str">
        <f ca="1">IFERROR(__xludf.DUMMYFUNCTION("""COMPUTED_VALUE"""),"52477")</f>
        <v>52477</v>
      </c>
      <c r="H166" s="8">
        <f ca="1">IFERROR(__xludf.DUMMYFUNCTION("""COMPUTED_VALUE"""),3297)</f>
        <v>3297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IFERROR(__xludf.DUMMYFUNCTION("""COMPUTED_VALUE"""),"Sucupira")</f>
        <v>Sucupira</v>
      </c>
      <c r="C167" t="str">
        <f ca="1">IFERROR(__xludf.DUMMYFUNCTION("""COMPUTED_VALUE"""),"AS. APOIO ESCOLA ESTADUAL OLAVO BILAC")</f>
        <v>AS. APOIO ESCOLA ESTADUAL OLAVO BILAC</v>
      </c>
      <c r="D167" t="str">
        <f ca="1">IFERROR(__xludf.DUMMYFUNCTION("""COMPUTED_VALUE"""),"01268287000106")</f>
        <v>01268287000106</v>
      </c>
      <c r="E167" t="str">
        <f ca="1">IFERROR(__xludf.DUMMYFUNCTION("""COMPUTED_VALUE"""),"001")</f>
        <v>001</v>
      </c>
      <c r="F167" t="str">
        <f ca="1">IFERROR(__xludf.DUMMYFUNCTION("""COMPUTED_VALUE"""),"0794")</f>
        <v>0794</v>
      </c>
      <c r="G167" t="str">
        <f ca="1">IFERROR(__xludf.DUMMYFUNCTION("""COMPUTED_VALUE"""),"245852")</f>
        <v>245852</v>
      </c>
      <c r="H167" s="8">
        <f ca="1">IFERROR(__xludf.DUMMYFUNCTION("""COMPUTED_VALUE"""),2877)</f>
        <v>2877</v>
      </c>
      <c r="I167" t="str">
        <v>E.F. PARCIAL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IFERROR(__xludf.DUMMYFUNCTION("""COMPUTED_VALUE"""),"dois Irmaos do Tocantins")</f>
        <v>dois Irmaos do Tocantins</v>
      </c>
      <c r="C168" t="str">
        <f ca="1">IFERROR(__xludf.DUMMYFUNCTION("""COMPUTED_VALUE"""),"A.C.E. COL PRES. CASTELO BRANCO")</f>
        <v>A.C.E. COL PRES. CASTELO BRANCO</v>
      </c>
      <c r="D168" t="str">
        <f ca="1">IFERROR(__xludf.DUMMYFUNCTION("""COMPUTED_VALUE"""),"01034882000179")</f>
        <v>01034882000179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IFERROR(__xludf.DUMMYFUNCTION("""COMPUTED_VALUE"""),"68950")</f>
        <v>68950</v>
      </c>
      <c r="H168" s="8">
        <f ca="1">IFERROR(__xludf.DUMMYFUNCTION("""COMPUTED_VALUE"""),7518)</f>
        <v>7518</v>
      </c>
      <c r="I168" t="str">
        <v>E.F. PARCIAL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IFERROR(__xludf.DUMMYFUNCTION("""COMPUTED_VALUE"""),"dois Irmaos do Tocantins")</f>
        <v>dois Irmaos do Tocantins</v>
      </c>
      <c r="C169" t="str">
        <f ca="1">IFERROR(__xludf.DUMMYFUNCTION("""COMPUTED_VALUE"""),"ASSOC. DE APOIO A ESCOLA ESPECIAL CLOVIS DE ASSIS")</f>
        <v>ASSOC. DE APOIO A ESCOLA ESPECIAL CLOVIS DE ASSIS</v>
      </c>
      <c r="D169" t="str">
        <f ca="1">IFERROR(__xludf.DUMMYFUNCTION("""COMPUTED_VALUE"""),"09327390000183")</f>
        <v>09327390000183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IFERROR(__xludf.DUMMYFUNCTION("""COMPUTED_VALUE"""),"211087")</f>
        <v>211087</v>
      </c>
      <c r="H169" s="8">
        <f ca="1">IFERROR(__xludf.DUMMYFUNCTION("""COMPUTED_VALUE"""),252)</f>
        <v>252</v>
      </c>
      <c r="I169" t="str">
        <v>E.F. PARCIAL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IFERROR(__xludf.DUMMYFUNCTION("""COMPUTED_VALUE"""),"Lizarda")</f>
        <v>Lizarda</v>
      </c>
      <c r="C170" t="str">
        <f ca="1">IFERROR(__xludf.DUMMYFUNCTION("""COMPUTED_VALUE"""),"A. ESC. COMUN. DO COL. EST. 31 DE MARCO")</f>
        <v>A. ESC. COMUN. DO COL. EST. 31 DE MARCO</v>
      </c>
      <c r="D170" t="str">
        <f ca="1">IFERROR(__xludf.DUMMYFUNCTION("""COMPUTED_VALUE"""),"01232873000192")</f>
        <v>01232873000192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IFERROR(__xludf.DUMMYFUNCTION("""COMPUTED_VALUE"""),"68969")</f>
        <v>68969</v>
      </c>
      <c r="H170" s="8">
        <f ca="1">IFERROR(__xludf.DUMMYFUNCTION("""COMPUTED_VALUE"""),3990)</f>
        <v>3990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IFERROR(__xludf.DUMMYFUNCTION("""COMPUTED_VALUE"""),"Lizarda")</f>
        <v>Lizarda</v>
      </c>
      <c r="C171" t="str">
        <f ca="1">IFERROR(__xludf.DUMMYFUNCTION("""COMPUTED_VALUE"""),"ESCOLA ESTADUAL AYRTON SENNA")</f>
        <v>ESCOLA ESTADUAL AYRTON SENNA</v>
      </c>
      <c r="D171" t="str">
        <f ca="1">IFERROR(__xludf.DUMMYFUNCTION("""COMPUTED_VALUE"""),"11406586000105")</f>
        <v>11406586000105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IFERROR(__xludf.DUMMYFUNCTION("""COMPUTED_VALUE"""),"270393")</f>
        <v>270393</v>
      </c>
      <c r="H171" s="8">
        <f ca="1">IFERROR(__xludf.DUMMYFUNCTION("""COMPUTED_VALUE"""),1491)</f>
        <v>1491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IFERROR(__xludf.DUMMYFUNCTION("""COMPUTED_VALUE"""),"ASS. DE APOIO AO CEM SANTA TEREZINHA")</f>
        <v>ASS. DE APOIO AO CEM SANTA TEREZINHA</v>
      </c>
      <c r="D172" t="str">
        <f ca="1">IFERROR(__xludf.DUMMYFUNCTION("""COMPUTED_VALUE"""),"01085211000137")</f>
        <v>01085211000137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IFERROR(__xludf.DUMMYFUNCTION("""COMPUTED_VALUE"""),"244589")</f>
        <v>244589</v>
      </c>
      <c r="H172" s="8">
        <f ca="1">IFERROR(__xludf.DUMMYFUNCTION("""COMPUTED_VALUE"""),6573)</f>
        <v>6573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IFERROR(__xludf.DUMMYFUNCTION("""COMPUTED_VALUE"""),"SOCIEDADE EDUCADORA FEMININA/COLÉGIO TOCANTINS")</f>
        <v>SOCIEDADE EDUCADORA FEMININA/COLÉGIO TOCANTINS</v>
      </c>
      <c r="D173" t="str">
        <f ca="1">IFERROR(__xludf.DUMMYFUNCTION("""COMPUTED_VALUE"""),"61373585000694")</f>
        <v>61373585000694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IFERROR(__xludf.DUMMYFUNCTION("""COMPUTED_VALUE"""),"69086")</f>
        <v>69086</v>
      </c>
      <c r="H173" s="8">
        <f ca="1">IFERROR(__xludf.DUMMYFUNCTION("""COMPUTED_VALUE"""),4830)</f>
        <v>4830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IFERROR(__xludf.DUMMYFUNCTION("""COMPUTED_VALUE"""),"A.P.A.DOS EXECEPCIONAIS DE MIRACEMA - APAE")</f>
        <v>A.P.A.DOS EXECEPCIONAIS DE MIRACEMA - APAE</v>
      </c>
      <c r="D174" t="str">
        <f ca="1">IFERROR(__xludf.DUMMYFUNCTION("""COMPUTED_VALUE"""),"38146965000160")</f>
        <v>38146965000160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IFERROR(__xludf.DUMMYFUNCTION("""COMPUTED_VALUE"""),"93734")</f>
        <v>93734</v>
      </c>
      <c r="H174" s="8">
        <f ca="1">IFERROR(__xludf.DUMMYFUNCTION("""COMPUTED_VALUE"""),483)</f>
        <v>483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IFERROR(__xludf.DUMMYFUNCTION("""COMPUTED_VALUE"""),"A.COM.DA ESC. EST. JOSE D. VASCONCELOS")</f>
        <v>A.COM.DA ESC. EST. JOSE D. VASCONCELOS</v>
      </c>
      <c r="D175" t="str">
        <f ca="1">IFERROR(__xludf.DUMMYFUNCTION("""COMPUTED_VALUE"""),"01068379000134")</f>
        <v>01068379000134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IFERROR(__xludf.DUMMYFUNCTION("""COMPUTED_VALUE"""),"69035")</f>
        <v>69035</v>
      </c>
      <c r="H175" s="8">
        <f ca="1">IFERROR(__xludf.DUMMYFUNCTION("""COMPUTED_VALUE"""),3423)</f>
        <v>3423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IFERROR(__xludf.DUMMYFUNCTION("""COMPUTED_VALUE"""),"A.P.M.A. ESC. CONV. ONESINA BANDEIRA")</f>
        <v>A.P.M.A. ESC. CONV. ONESINA BANDEIRA</v>
      </c>
      <c r="D176" t="str">
        <f ca="1">IFERROR(__xludf.DUMMYFUNCTION("""COMPUTED_VALUE"""),"01133700000117")</f>
        <v>01133700000117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IFERROR(__xludf.DUMMYFUNCTION("""COMPUTED_VALUE"""),"69051")</f>
        <v>69051</v>
      </c>
      <c r="H176" s="8">
        <f ca="1">IFERROR(__xludf.DUMMYFUNCTION("""COMPUTED_VALUE"""),8400)</f>
        <v>8400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IFERROR(__xludf.DUMMYFUNCTION("""COMPUTED_VALUE"""),"A.A.  DA ESCOLA ESTADUAL OSCAR SARDINHA")</f>
        <v>A.A.  DA ESCOLA ESTADUAL OSCAR SARDINHA</v>
      </c>
      <c r="D177" t="str">
        <f ca="1">IFERROR(__xludf.DUMMYFUNCTION("""COMPUTED_VALUE"""),"01197158000166")</f>
        <v>01197158000166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IFERROR(__xludf.DUMMYFUNCTION("""COMPUTED_VALUE"""),"6906X")</f>
        <v>6906X</v>
      </c>
      <c r="H177" s="8">
        <f ca="1">IFERROR(__xludf.DUMMYFUNCTION("""COMPUTED_VALUE"""),2247)</f>
        <v>2247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IFERROR(__xludf.DUMMYFUNCTION("""COMPUTED_VALUE"""),"A.A. C.E.NOSSA SENHORA DA PROVIDENCIA")</f>
        <v>A.A. C.E.NOSSA SENHORA DA PROVIDENCIA</v>
      </c>
      <c r="D178" t="str">
        <f ca="1">IFERROR(__xludf.DUMMYFUNCTION("""COMPUTED_VALUE"""),"01190186000151")</f>
        <v>01190186000151</v>
      </c>
      <c r="E178" t="str">
        <f ca="1">IFERROR(__xludf.DUMMYFUNCTION("""COMPUTED_VALUE"""),"001")</f>
        <v>001</v>
      </c>
      <c r="F178" t="str">
        <f ca="1">IFERROR(__xludf.DUMMYFUNCTION("""COMPUTED_VALUE"""),"4560")</f>
        <v>4560</v>
      </c>
      <c r="G178" t="str">
        <f ca="1">IFERROR(__xludf.DUMMYFUNCTION("""COMPUTED_VALUE"""),"7778X")</f>
        <v>7778X</v>
      </c>
      <c r="H178" s="8">
        <f ca="1">IFERROR(__xludf.DUMMYFUNCTION("""COMPUTED_VALUE"""),16275)</f>
        <v>16275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IFERROR(__xludf.DUMMYFUNCTION("""COMPUTED_VALUE"""),"Miranorte")</f>
        <v>Miranorte</v>
      </c>
      <c r="C179" t="str">
        <f ca="1">IFERROR(__xludf.DUMMYFUNCTION("""COMPUTED_VALUE"""),"A.A ESC. ESPECIAL CORAÇÃO DE MARIA")</f>
        <v>A.A ESC. ESPECIAL CORAÇÃO DE MARIA</v>
      </c>
      <c r="D179" t="str">
        <f ca="1">IFERROR(__xludf.DUMMYFUNCTION("""COMPUTED_VALUE"""),"07968866000130")</f>
        <v>07968866000130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IFERROR(__xludf.DUMMYFUNCTION("""COMPUTED_VALUE"""),"265217")</f>
        <v>265217</v>
      </c>
      <c r="H179" s="8">
        <f ca="1">IFERROR(__xludf.DUMMYFUNCTION("""COMPUTED_VALUE"""),168)</f>
        <v>168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IFERROR(__xludf.DUMMYFUNCTION("""COMPUTED_VALUE"""),"Rio dos Bois")</f>
        <v>Rio dos Bois</v>
      </c>
      <c r="C180" t="str">
        <f ca="1">IFERROR(__xludf.DUMMYFUNCTION("""COMPUTED_VALUE"""),"A.A. ESC EST DR. VALDECY PINHEIRO")</f>
        <v>A.A. ESC EST DR. VALDECY PINHEIRO</v>
      </c>
      <c r="D180" t="str">
        <f ca="1">IFERROR(__xludf.DUMMYFUNCTION("""COMPUTED_VALUE"""),"01079937000167")</f>
        <v>01079937000167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IFERROR(__xludf.DUMMYFUNCTION("""COMPUTED_VALUE"""),"69116")</f>
        <v>69116</v>
      </c>
      <c r="H180" s="8">
        <f ca="1">IFERROR(__xludf.DUMMYFUNCTION("""COMPUTED_VALUE"""),4326)</f>
        <v>4326</v>
      </c>
      <c r="I180" t="str">
        <v>E.F. PARCIAL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IFERROR(__xludf.DUMMYFUNCTION("""COMPUTED_VALUE"""),3129)</f>
        <v>3129</v>
      </c>
      <c r="I181" t="str">
        <v>E.F. PARCIAL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IFERROR(__xludf.DUMMYFUNCTION("""COMPUTED_VALUE"""),"Lagoa do Tocantins")</f>
        <v>Lagoa do Tocantins</v>
      </c>
      <c r="C182" t="str">
        <f ca="1">IFERROR(__xludf.DUMMYFUNCTION("""COMPUTED_VALUE"""),"ASS. DE AP. DA ESC. EST. SALMON DO A.BRITO")</f>
        <v>ASS. DE AP. DA ESC. EST. SALMON DO A.BRITO</v>
      </c>
      <c r="D182" t="str">
        <f ca="1">IFERROR(__xludf.DUMMYFUNCTION("""COMPUTED_VALUE"""),"01440941000109")</f>
        <v>01440941000109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IFERROR(__xludf.DUMMYFUNCTION("""COMPUTED_VALUE"""),"465410")</f>
        <v>465410</v>
      </c>
      <c r="H182" s="8">
        <f ca="1">IFERROR(__xludf.DUMMYFUNCTION("""COMPUTED_VALUE"""),4998)</f>
        <v>4998</v>
      </c>
      <c r="I182" t="str">
        <v>E.F. PARCIAL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IFERROR(__xludf.DUMMYFUNCTION("""COMPUTED_VALUE"""),588)</f>
        <v>588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IFERROR(__xludf.DUMMYFUNCTION("""COMPUTED_VALUE"""),"Mateiros")</f>
        <v>Mateiros</v>
      </c>
      <c r="C184" t="str">
        <f ca="1">IFERROR(__xludf.DUMMYFUNCTION("""COMPUTED_VALUE"""),"ASS. A. ESC. EST.ESTEFANIO TELES DAS CHAGAS")</f>
        <v>ASS. A. ESC. EST.ESTEFANIO TELES DAS CHAGAS</v>
      </c>
      <c r="D184" t="str">
        <f ca="1">IFERROR(__xludf.DUMMYFUNCTION("""COMPUTED_VALUE"""),"01206219000104")</f>
        <v>01206219000104</v>
      </c>
      <c r="E184" t="str">
        <f ca="1">IFERROR(__xludf.DUMMYFUNCTION("""COMPUTED_VALUE"""),"001")</f>
        <v>001</v>
      </c>
      <c r="F184" t="str">
        <f ca="1">IFERROR(__xludf.DUMMYFUNCTION("""COMPUTED_VALUE"""),"3962")</f>
        <v>3962</v>
      </c>
      <c r="G184" t="str">
        <f ca="1">IFERROR(__xludf.DUMMYFUNCTION("""COMPUTED_VALUE"""),"127795")</f>
        <v>127795</v>
      </c>
      <c r="H184" s="8">
        <f ca="1">IFERROR(__xludf.DUMMYFUNCTION("""COMPUTED_VALUE"""),4137)</f>
        <v>4137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IFERROR(__xludf.DUMMYFUNCTION("""COMPUTED_VALUE"""),"ASS. A. AO COL. EST. D. PEDRO I/N.ACORDO")</f>
        <v>ASS. A. AO COL. EST. D. PEDRO I/N.ACORDO</v>
      </c>
      <c r="D185" t="str">
        <f ca="1">IFERROR(__xludf.DUMMYFUNCTION("""COMPUTED_VALUE"""),"01133690000110")</f>
        <v>01133690000110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IFERROR(__xludf.DUMMYFUNCTION("""COMPUTED_VALUE"""),"157856")</f>
        <v>157856</v>
      </c>
      <c r="H185" s="8">
        <f ca="1">IFERROR(__xludf.DUMMYFUNCTION("""COMPUTED_VALUE"""),4935)</f>
        <v>4935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IFERROR(__xludf.DUMMYFUNCTION("""COMPUTED_VALUE"""),"Novo Acordo")</f>
        <v>Novo Acordo</v>
      </c>
      <c r="C186" t="str">
        <f ca="1">IFERROR(__xludf.DUMMYFUNCTION("""COMPUTED_VALUE"""),"A.A. DA ESC. EST.PEDRO MACEDO / N.ACORDO")</f>
        <v>A.A. DA ESC. EST.PEDRO MACEDO / N.ACORDO</v>
      </c>
      <c r="D186" t="str">
        <f ca="1">IFERROR(__xludf.DUMMYFUNCTION("""COMPUTED_VALUE"""),"01136004000164")</f>
        <v>01136004000164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IFERROR(__xludf.DUMMYFUNCTION("""COMPUTED_VALUE"""),"171166")</f>
        <v>171166</v>
      </c>
      <c r="H186" s="8">
        <f ca="1">IFERROR(__xludf.DUMMYFUNCTION("""COMPUTED_VALUE"""),1659)</f>
        <v>1659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 COM. E-E. E. DOM ALANO MARIE DU NODAY")</f>
        <v>A. COM. E-E. E. DOM ALANO MARIE DU NODAY</v>
      </c>
      <c r="D187" t="str">
        <f ca="1">IFERROR(__xludf.DUMMYFUNCTION("""COMPUTED_VALUE"""),"01343125000187")</f>
        <v>01343125000187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IFERROR(__xludf.DUMMYFUNCTION("""COMPUTED_VALUE"""),"265810")</f>
        <v>265810</v>
      </c>
      <c r="H187" s="8">
        <f ca="1">IFERROR(__xludf.DUMMYFUNCTION("""COMPUTED_VALUE"""),1659)</f>
        <v>1659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IFERROR(__xludf.DUMMYFUNCTION("""COMPUTED_VALUE"""),"ASSOCIAÇÃO DE APOIO DA ESCOLA ESPECIAL INTEGRAÇÃO DE PALMAS")</f>
        <v>ASSOCIAÇÃO DE APOIO DA ESCOLA ESPECIAL INTEGRAÇÃO DE PALMAS</v>
      </c>
      <c r="D189" t="str">
        <f ca="1">IFERROR(__xludf.DUMMYFUNCTION("""COMPUTED_VALUE"""),"07958777000102")</f>
        <v>07958777000102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IFERROR(__xludf.DUMMYFUNCTION("""COMPUTED_VALUE"""),"385328")</f>
        <v>385328</v>
      </c>
      <c r="H189" s="8">
        <f ca="1">IFERROR(__xludf.DUMMYFUNCTION("""COMPUTED_VALUE"""),1113)</f>
        <v>1113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IFERROR(__xludf.DUMMYFUNCTION("""COMPUTED_VALUE"""),"A.COM. ESC. E. E.BEIRA RIO/PORTO NACIONAL")</f>
        <v>A.COM. ESC. E. E.BEIRA RIO/PORTO NACIONAL</v>
      </c>
      <c r="D190" t="str">
        <f ca="1">IFERROR(__xludf.DUMMYFUNCTION("""COMPUTED_VALUE"""),"01797298000175")</f>
        <v>01797298000175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IFERROR(__xludf.DUMMYFUNCTION("""COMPUTED_VALUE"""),"209929")</f>
        <v>209929</v>
      </c>
      <c r="H190" s="8">
        <f ca="1">IFERROR(__xludf.DUMMYFUNCTION("""COMPUTED_VALUE"""),16086)</f>
        <v>16086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IFERROR(__xludf.DUMMYFUNCTION("""COMPUTED_VALUE"""),"A.CONS.ESCOLAR E. EST.I GRAU LIBERDADE")</f>
        <v>A.CONS.ESCOLAR E. EST.I GRAU LIBERDADE</v>
      </c>
      <c r="D191" t="str">
        <f ca="1">IFERROR(__xludf.DUMMYFUNCTION("""COMPUTED_VALUE"""),"01936355000150")</f>
        <v>01936355000150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IFERROR(__xludf.DUMMYFUNCTION("""COMPUTED_VALUE"""),"257028")</f>
        <v>257028</v>
      </c>
      <c r="H191" s="8">
        <f ca="1">IFERROR(__xludf.DUMMYFUNCTION("""COMPUTED_VALUE"""),5166)</f>
        <v>5166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 APOIO ESC EST MARIA DOS REIS ALVES BARROS")</f>
        <v>ASSOC APOIO ESC EST MARIA DOS REIS ALVES BARROS</v>
      </c>
      <c r="D192" t="str">
        <f ca="1">IFERROR(__xludf.DUMMYFUNCTION("""COMPUTED_VALUE"""),"08641263000191")</f>
        <v>08641263000191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IFERROR(__xludf.DUMMYFUNCTION("""COMPUTED_VALUE"""),"413666")</f>
        <v>413666</v>
      </c>
      <c r="H192" s="8">
        <f ca="1">IFERROR(__xludf.DUMMYFUNCTION("""COMPUTED_VALUE"""),21987)</f>
        <v>21987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DA ESC. EST. NOVO HORIZONTE")</f>
        <v>A.COM. DA ESC. EST. NOVO HORIZONTE</v>
      </c>
      <c r="D193" t="str">
        <f ca="1">IFERROR(__xludf.DUMMYFUNCTION("""COMPUTED_VALUE"""),"01221539000133")</f>
        <v>01221539000133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IFERROR(__xludf.DUMMYFUNCTION("""COMPUTED_VALUE"""),"351687")</f>
        <v>351687</v>
      </c>
      <c r="H193" s="8">
        <f ca="1">IFERROR(__xludf.DUMMYFUNCTION("""COMPUTED_VALUE"""),6951)</f>
        <v>6951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IFERROR(__xludf.DUMMYFUNCTION("""COMPUTED_VALUE"""),"A.COMUN.ESCOLA-DA ESC. EST. SETOR SUL")</f>
        <v>A.COMUN.ESCOLA-DA ESC. EST. SETOR SUL</v>
      </c>
      <c r="D194" t="str">
        <f ca="1">IFERROR(__xludf.DUMMYFUNCTION("""COMPUTED_VALUE"""),"01926545000196")</f>
        <v>01926545000196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IFERROR(__xludf.DUMMYFUNCTION("""COMPUTED_VALUE"""),"258105")</f>
        <v>258105</v>
      </c>
      <c r="H194" s="8">
        <f ca="1">IFERROR(__xludf.DUMMYFUNCTION("""COMPUTED_VALUE"""),5355)</f>
        <v>5355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IFERROR(__xludf.DUMMYFUNCTION("""COMPUTED_VALUE"""),"A.COMUNIDADE ESCOLA/E. EST. VALE DO SOL")</f>
        <v>A.COMUNIDADE ESCOLA/E. EST. VALE DO SOL</v>
      </c>
      <c r="D195" t="str">
        <f ca="1">IFERROR(__xludf.DUMMYFUNCTION("""COMPUTED_VALUE"""),"01873442000105")</f>
        <v>01873442000105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IFERROR(__xludf.DUMMYFUNCTION("""COMPUTED_VALUE"""),"256404")</f>
        <v>256404</v>
      </c>
      <c r="H195" s="8">
        <f ca="1">IFERROR(__xludf.DUMMYFUNCTION("""COMPUTED_VALUE"""),3108)</f>
        <v>3108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IFERROR(__xludf.DUMMYFUNCTION("""COMPUTED_VALUE"""),"A.P.M.DA ESC. EST. DE I GRAU VILA UNIAO")</f>
        <v>A.P.M.DA ESC. EST. DE I GRAU VILA UNIAO</v>
      </c>
      <c r="D196" t="str">
        <f ca="1">IFERROR(__xludf.DUMMYFUNCTION("""COMPUTED_VALUE"""),"01926551000143")</f>
        <v>01926551000143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IFERROR(__xludf.DUMMYFUNCTION("""COMPUTED_VALUE"""),"255734")</f>
        <v>255734</v>
      </c>
      <c r="H196" s="8">
        <f ca="1">IFERROR(__xludf.DUMMYFUNCTION("""COMPUTED_VALUE"""),6447)</f>
        <v>6447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IFERROR(__xludf.DUMMYFUNCTION("""COMPUTED_VALUE"""),"AÇÃO SOCIAL JESUS DE NAZARÉ/ESC JOÃO PAULO II")</f>
        <v>AÇÃO SOCIAL JESUS DE NAZARÉ/ESC JOÃO PAULO II</v>
      </c>
      <c r="D197" t="str">
        <f ca="1">IFERROR(__xludf.DUMMYFUNCTION("""COMPUTED_VALUE"""),"03005522000174")</f>
        <v>03005522000174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IFERROR(__xludf.DUMMYFUNCTION("""COMPUTED_VALUE"""),"423475")</f>
        <v>423475</v>
      </c>
      <c r="H197" s="8">
        <f ca="1">IFERROR(__xludf.DUMMYFUNCTION("""COMPUTED_VALUE"""),2415)</f>
        <v>2415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DO INST.PRESB.EDUC.SOC.REV.ROBERT CA")</f>
        <v>A.A. DO INST.PRESB.EDUC.SOC.REV.ROBERT CA</v>
      </c>
      <c r="D198" t="str">
        <f ca="1">IFERROR(__xludf.DUMMYFUNCTION("""COMPUTED_VALUE"""),"05470057000178")</f>
        <v>05470057000178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IFERROR(__xludf.DUMMYFUNCTION("""COMPUTED_VALUE"""),"45110X")</f>
        <v>45110X</v>
      </c>
      <c r="H198" s="8">
        <f ca="1">IFERROR(__xludf.DUMMYFUNCTION("""COMPUTED_VALUE"""),9534)</f>
        <v>9534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IFERROR(__xludf.DUMMYFUNCTION("""COMPUTED_VALUE"""),"Rio Sono")</f>
        <v>Rio Sono</v>
      </c>
      <c r="C199" t="str">
        <f ca="1">IFERROR(__xludf.DUMMYFUNCTION("""COMPUTED_VALUE"""),"A. DE PAIS E MESTRES DO COL. EST.RIO SONO")</f>
        <v>A. DE PAIS E MESTRES DO COL. EST.RIO SONO</v>
      </c>
      <c r="D199" t="str">
        <f ca="1">IFERROR(__xludf.DUMMYFUNCTION("""COMPUTED_VALUE"""),"01184376000166")</f>
        <v>01184376000166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IFERROR(__xludf.DUMMYFUNCTION("""COMPUTED_VALUE"""),"530042")</f>
        <v>530042</v>
      </c>
      <c r="H199" s="8">
        <f ca="1">IFERROR(__xludf.DUMMYFUNCTION("""COMPUTED_VALUE"""),3717)</f>
        <v>3717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IFERROR(__xludf.DUMMYFUNCTION("""COMPUTED_VALUE"""),"Rio Sono")</f>
        <v>Rio Sono</v>
      </c>
      <c r="C200" t="str">
        <f ca="1">IFERROR(__xludf.DUMMYFUNCTION("""COMPUTED_VALUE"""),"A.A.  ESCOLA EST. IMACULADA CONCEICAO")</f>
        <v>A.A.  ESCOLA EST. IMACULADA CONCEICAO</v>
      </c>
      <c r="D200" t="str">
        <f ca="1">IFERROR(__xludf.DUMMYFUNCTION("""COMPUTED_VALUE"""),"01197175000101")</f>
        <v>01197175000101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IFERROR(__xludf.DUMMYFUNCTION("""COMPUTED_VALUE"""),"161497")</f>
        <v>161497</v>
      </c>
      <c r="H200" s="8">
        <f ca="1">IFERROR(__xludf.DUMMYFUNCTION("""COMPUTED_VALUE"""),1260)</f>
        <v>1260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IFERROR(__xludf.DUMMYFUNCTION("""COMPUTED_VALUE"""),"Santa Tereza do Tocantins")</f>
        <v>Santa Tereza do Tocantins</v>
      </c>
      <c r="C201" t="str">
        <f ca="1">IFERROR(__xludf.DUMMYFUNCTION("""COMPUTED_VALUE"""),"A.A. C.EST. MANOEL S.DOURADO")</f>
        <v>A.A. C.EST. MANOEL S.DOURADO</v>
      </c>
      <c r="D201" t="str">
        <f ca="1">IFERROR(__xludf.DUMMYFUNCTION("""COMPUTED_VALUE"""),"01136013000155")</f>
        <v>01136013000155</v>
      </c>
      <c r="E201" t="str">
        <f ca="1">IFERROR(__xludf.DUMMYFUNCTION("""COMPUTED_VALUE"""),"001")</f>
        <v>001</v>
      </c>
      <c r="F201" t="str">
        <f ca="1">IFERROR(__xludf.DUMMYFUNCTION("""COMPUTED_VALUE"""),"1117")</f>
        <v>1117</v>
      </c>
      <c r="G201" t="str">
        <f ca="1">IFERROR(__xludf.DUMMYFUNCTION("""COMPUTED_VALUE"""),"313033")</f>
        <v>313033</v>
      </c>
      <c r="H201" s="8">
        <f ca="1">IFERROR(__xludf.DUMMYFUNCTION("""COMPUTED_VALUE"""),2205)</f>
        <v>2205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IFERROR(__xludf.DUMMYFUNCTION("""COMPUTED_VALUE"""),"Sao Felix do Tocantins")</f>
        <v>Sao Felix do Tocantins</v>
      </c>
      <c r="C202" t="str">
        <f ca="1">IFERROR(__xludf.DUMMYFUNCTION("""COMPUTED_VALUE"""),"A. DE AP.ESC. EST. SAGRADO CORACAO DE JESUS")</f>
        <v>A. DE AP.ESC. EST. SAGRADO CORACAO DE JESUS</v>
      </c>
      <c r="D202" t="str">
        <f ca="1">IFERROR(__xludf.DUMMYFUNCTION("""COMPUTED_VALUE"""),"01656550000126")</f>
        <v>01656550000126</v>
      </c>
      <c r="E202" t="str">
        <f ca="1">IFERROR(__xludf.DUMMYFUNCTION("""COMPUTED_VALUE"""),"001")</f>
        <v>001</v>
      </c>
      <c r="F202" t="str">
        <f ca="1">IFERROR(__xludf.DUMMYFUNCTION("""COMPUTED_VALUE"""),"3962")</f>
        <v>3962</v>
      </c>
      <c r="G202" t="str">
        <f ca="1">IFERROR(__xludf.DUMMYFUNCTION("""COMPUTED_VALUE"""),"147605")</f>
        <v>147605</v>
      </c>
      <c r="H202" s="8">
        <f ca="1">IFERROR(__xludf.DUMMYFUNCTION("""COMPUTED_VALUE"""),4473)</f>
        <v>4473</v>
      </c>
      <c r="I202" t="str">
        <v>E.F.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IFERROR(__xludf.DUMMYFUNCTION("""COMPUTED_VALUE"""),"Abreulandia")</f>
        <v>Abreulandia</v>
      </c>
      <c r="C203" t="str">
        <f ca="1">IFERROR(__xludf.DUMMYFUNCTION("""COMPUTED_VALUE"""),"ASS. DE APOIO DA ESCOLA EST. SAO PEDRO")</f>
        <v>ASS. DE APOIO DA ESCOLA EST. SAO PEDRO</v>
      </c>
      <c r="D203" t="str">
        <f ca="1">IFERROR(__xludf.DUMMYFUNCTION("""COMPUTED_VALUE"""),"01071408000117")</f>
        <v>01071408000117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IFERROR(__xludf.DUMMYFUNCTION("""COMPUTED_VALUE"""),"286893")</f>
        <v>286893</v>
      </c>
      <c r="H203" s="8">
        <f ca="1">IFERROR(__xludf.DUMMYFUNCTION("""COMPUTED_VALUE"""),2247)</f>
        <v>2247</v>
      </c>
      <c r="I203" t="str">
        <v>E.F. PARCIAL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IFERROR(__xludf.DUMMYFUNCTION("""COMPUTED_VALUE"""),"Araguacema")</f>
        <v>Araguacema</v>
      </c>
      <c r="C204" t="str">
        <f ca="1">IFERROR(__xludf.DUMMYFUNCTION("""COMPUTED_VALUE"""),"ASSOC. DE APOIO AO COL. EST. DE ARAGUACEMA")</f>
        <v>ASSOC. DE APOIO AO COL. EST. DE ARAGUACEMA</v>
      </c>
      <c r="D204" t="str">
        <f ca="1">IFERROR(__xludf.DUMMYFUNCTION("""COMPUTED_VALUE"""),"01187107000153")</f>
        <v>01187107000153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IFERROR(__xludf.DUMMYFUNCTION("""COMPUTED_VALUE"""),"286532")</f>
        <v>286532</v>
      </c>
      <c r="H204" s="8">
        <f ca="1">IFERROR(__xludf.DUMMYFUNCTION("""COMPUTED_VALUE"""),2142)</f>
        <v>2142</v>
      </c>
      <c r="I204" t="str">
        <v>E.F. PARCIAL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IFERROR(__xludf.DUMMYFUNCTION("""COMPUTED_VALUE"""),"Araguacema")</f>
        <v>Araguacema</v>
      </c>
      <c r="C205" t="str">
        <f ca="1">IFERROR(__xludf.DUMMYFUNCTION("""COMPUTED_VALUE"""),"ASSOC. DE APOIO COLEGIO MENNO SIMONS")</f>
        <v>ASSOC. DE APOIO COLEGIO MENNO SIMONS</v>
      </c>
      <c r="D205" t="str">
        <f ca="1">IFERROR(__xludf.DUMMYFUNCTION("""COMPUTED_VALUE"""),"01138321000110")</f>
        <v>01138321000110</v>
      </c>
      <c r="E205" t="str">
        <f ca="1">IFERROR(__xludf.DUMMYFUNCTION("""COMPUTED_VALUE"""),"001")</f>
        <v>001</v>
      </c>
      <c r="F205" t="str">
        <f ca="1">IFERROR(__xludf.DUMMYFUNCTION("""COMPUTED_VALUE"""),"0804")</f>
        <v>0804</v>
      </c>
      <c r="G205" t="str">
        <f ca="1">IFERROR(__xludf.DUMMYFUNCTION("""COMPUTED_VALUE"""),"300764")</f>
        <v>300764</v>
      </c>
      <c r="H205" s="8">
        <f ca="1">IFERROR(__xludf.DUMMYFUNCTION("""COMPUTED_VALUE"""),3927)</f>
        <v>3927</v>
      </c>
      <c r="I205" t="str">
        <v>E.F. PARCIAL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IFERROR(__xludf.DUMMYFUNCTION("""COMPUTED_VALUE"""),"Barrolandia")</f>
        <v>Barrolandia</v>
      </c>
      <c r="C206" t="str">
        <f ca="1">IFERROR(__xludf.DUMMYFUNCTION("""COMPUTED_VALUE"""),"A..A. ESC. ESPECIAL AMOR DE DEUS")</f>
        <v>A..A. ESC. ESPECIAL AMOR DE DEUS</v>
      </c>
      <c r="D206" t="str">
        <f ca="1">IFERROR(__xludf.DUMMYFUNCTION("""COMPUTED_VALUE"""),"07935641000187")</f>
        <v>07935641000187</v>
      </c>
      <c r="E206" t="str">
        <f ca="1">IFERROR(__xludf.DUMMYFUNCTION("""COMPUTED_VALUE"""),"001")</f>
        <v>001</v>
      </c>
      <c r="F206" t="str">
        <f ca="1">IFERROR(__xludf.DUMMYFUNCTION("""COMPUTED_VALUE"""),"0804")</f>
        <v>0804</v>
      </c>
      <c r="G206" t="str">
        <f ca="1">IFERROR(__xludf.DUMMYFUNCTION("""COMPUTED_VALUE"""),"279501")</f>
        <v>279501</v>
      </c>
      <c r="H206" s="8">
        <f ca="1">IFERROR(__xludf.DUMMYFUNCTION("""COMPUTED_VALUE"""),210)</f>
        <v>210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IFERROR(__xludf.DUMMYFUNCTION("""COMPUTED_VALUE"""),"Barrolandia")</f>
        <v>Barrolandia</v>
      </c>
      <c r="C207" t="str">
        <f ca="1">IFERROR(__xludf.DUMMYFUNCTION("""COMPUTED_VALUE"""),"ASS. APOIO DA ESC EST PAULINA CAMARA")</f>
        <v>ASS. APOIO DA ESC EST PAULINA CAMARA</v>
      </c>
      <c r="D207" t="str">
        <f ca="1">IFERROR(__xludf.DUMMYFUNCTION("""COMPUTED_VALUE"""),"01071402000140")</f>
        <v>01071402000140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IFERROR(__xludf.DUMMYFUNCTION("""COMPUTED_VALUE"""),"68926")</f>
        <v>68926</v>
      </c>
      <c r="H207" s="8">
        <f ca="1">IFERROR(__xludf.DUMMYFUNCTION("""COMPUTED_VALUE"""),5376)</f>
        <v>5376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IFERROR(__xludf.DUMMYFUNCTION("""COMPUTED_VALUE"""),"Barrolandia")</f>
        <v>Barrolandia</v>
      </c>
      <c r="C208" t="str">
        <f ca="1">IFERROR(__xludf.DUMMYFUNCTION("""COMPUTED_VALUE"""),"A.A. COLEGIO ESTADUAL COSTA E SILVA")</f>
        <v>A.A. COLEGIO ESTADUAL COSTA E SILVA</v>
      </c>
      <c r="D208" t="str">
        <f ca="1">IFERROR(__xludf.DUMMYFUNCTION("""COMPUTED_VALUE"""),"01100434000126")</f>
        <v>01100434000126</v>
      </c>
      <c r="E208" t="str">
        <f ca="1">IFERROR(__xludf.DUMMYFUNCTION("""COMPUTED_VALUE"""),"001")</f>
        <v>001</v>
      </c>
      <c r="F208" t="str">
        <f ca="1">IFERROR(__xludf.DUMMYFUNCTION("""COMPUTED_VALUE"""),"0862")</f>
        <v>0862</v>
      </c>
      <c r="G208" t="str">
        <f ca="1">IFERROR(__xludf.DUMMYFUNCTION("""COMPUTED_VALUE"""),"68942")</f>
        <v>68942</v>
      </c>
      <c r="H208" s="8">
        <f ca="1">IFERROR(__xludf.DUMMYFUNCTION("""COMPUTED_VALUE"""),2205)</f>
        <v>2205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IFERROR(__xludf.DUMMYFUNCTION("""COMPUTED_VALUE"""),"Caseara")</f>
        <v>Caseara</v>
      </c>
      <c r="C209" t="str">
        <f ca="1">IFERROR(__xludf.DUMMYFUNCTION("""COMPUTED_VALUE"""),"A. DE APOIO A ESC. EST. JOSE ALVES DE ASSIS")</f>
        <v>A. DE APOIO A ESC. EST. JOSE ALVES DE ASSIS</v>
      </c>
      <c r="D209" t="str">
        <f ca="1">IFERROR(__xludf.DUMMYFUNCTION("""COMPUTED_VALUE"""),"01138318000104")</f>
        <v>01138318000104</v>
      </c>
      <c r="E209" t="str">
        <f ca="1">IFERROR(__xludf.DUMMYFUNCTION("""COMPUTED_VALUE"""),"104")</f>
        <v>104</v>
      </c>
      <c r="F209" t="str">
        <f ca="1">IFERROR(__xludf.DUMMYFUNCTION("""COMPUTED_VALUE"""),"1141")</f>
        <v>1141</v>
      </c>
      <c r="G209" t="str">
        <f ca="1">IFERROR(__xludf.DUMMYFUNCTION("""COMPUTED_VALUE"""),"307968")</f>
        <v>307968</v>
      </c>
      <c r="H209" s="8">
        <f ca="1">IFERROR(__xludf.DUMMYFUNCTION("""COMPUTED_VALUE"""),7266)</f>
        <v>7266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IFERROR(__xludf.DUMMYFUNCTION("""COMPUTED_VALUE"""),"Cristalandia")</f>
        <v>Cristalandia</v>
      </c>
      <c r="C210" t="str">
        <f ca="1">IFERROR(__xludf.DUMMYFUNCTION("""COMPUTED_VALUE"""),"ASS. APOIO DO COL. EST. DE CRISTALANDIA")</f>
        <v>ASS. APOIO DO COL. EST. DE CRISTALANDIA</v>
      </c>
      <c r="D210" t="str">
        <f ca="1">IFERROR(__xludf.DUMMYFUNCTION("""COMPUTED_VALUE"""),"01186467000130")</f>
        <v>01186467000130</v>
      </c>
      <c r="E210" t="str">
        <f ca="1">IFERROR(__xludf.DUMMYFUNCTION("""COMPUTED_VALUE"""),"001")</f>
        <v>001</v>
      </c>
      <c r="F210" t="str">
        <f ca="1">IFERROR(__xludf.DUMMYFUNCTION("""COMPUTED_VALUE"""),"3638")</f>
        <v>3638</v>
      </c>
      <c r="G210" t="str">
        <f ca="1">IFERROR(__xludf.DUMMYFUNCTION("""COMPUTED_VALUE"""),"17469")</f>
        <v>17469</v>
      </c>
      <c r="H210" s="8">
        <f ca="1">IFERROR(__xludf.DUMMYFUNCTION("""COMPUTED_VALUE"""),4095)</f>
        <v>4095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IFERROR(__xludf.DUMMYFUNCTION("""COMPUTED_VALUE"""),"Cristalandia")</f>
        <v>Cristalandia</v>
      </c>
      <c r="C211" t="str">
        <f ca="1">IFERROR(__xludf.DUMMYFUNCTION("""COMPUTED_VALUE"""),"APAE DE CRISTALÂNDIA")</f>
        <v>APAE DE CRISTALÂNDIA</v>
      </c>
      <c r="D211" t="str">
        <f ca="1">IFERROR(__xludf.DUMMYFUNCTION("""COMPUTED_VALUE"""),"01995319000167")</f>
        <v>01995319000167</v>
      </c>
      <c r="E211" t="str">
        <f ca="1">IFERROR(__xludf.DUMMYFUNCTION("""COMPUTED_VALUE"""),"001")</f>
        <v>001</v>
      </c>
      <c r="F211" t="str">
        <f ca="1">IFERROR(__xludf.DUMMYFUNCTION("""COMPUTED_VALUE"""),"3638")</f>
        <v>3638</v>
      </c>
      <c r="G211" t="str">
        <f ca="1">IFERROR(__xludf.DUMMYFUNCTION("""COMPUTED_VALUE"""),"71315")</f>
        <v>71315</v>
      </c>
      <c r="H211" s="8">
        <f ca="1">IFERROR(__xludf.DUMMYFUNCTION("""COMPUTED_VALUE"""),63)</f>
        <v>63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IFERROR(__xludf.DUMMYFUNCTION("""COMPUTED_VALUE"""),"Cristalandia")</f>
        <v>Cristalandia</v>
      </c>
      <c r="C212" t="str">
        <f ca="1">IFERROR(__xludf.DUMMYFUNCTION("""COMPUTED_VALUE"""),"A.A. ESCOLA MUL.OTACILIO MARQUES ROSAL")</f>
        <v>A.A. ESCOLA MUL.OTACILIO MARQUES ROSAL</v>
      </c>
      <c r="D212" t="str">
        <f ca="1">IFERROR(__xludf.DUMMYFUNCTION("""COMPUTED_VALUE"""),"01071438000123")</f>
        <v>01071438000123</v>
      </c>
      <c r="E212" t="str">
        <f ca="1">IFERROR(__xludf.DUMMYFUNCTION("""COMPUTED_VALUE"""),"001")</f>
        <v>001</v>
      </c>
      <c r="F212" t="str">
        <f ca="1">IFERROR(__xludf.DUMMYFUNCTION("""COMPUTED_VALUE"""),"3638")</f>
        <v>3638</v>
      </c>
      <c r="G212" t="str">
        <f ca="1">IFERROR(__xludf.DUMMYFUNCTION("""COMPUTED_VALUE"""),"7120X")</f>
        <v>7120X</v>
      </c>
      <c r="H212" s="8">
        <f ca="1">IFERROR(__xludf.DUMMYFUNCTION("""COMPUTED_VALUE"""),5964)</f>
        <v>5964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IFERROR(__xludf.DUMMYFUNCTION("""COMPUTED_VALUE"""),"Divinopolis do Tocantins")</f>
        <v>Divinopolis do Tocantins</v>
      </c>
      <c r="C213" t="str">
        <f ca="1">IFERROR(__xludf.DUMMYFUNCTION("""COMPUTED_VALUE"""),"A.A. DO COLEGIO MUL. JOAO DIAS SOBRINHO")</f>
        <v>A.A. DO COLEGIO MUL. JOAO DIAS SOBRINHO</v>
      </c>
      <c r="D213" t="str">
        <f ca="1">IFERROR(__xludf.DUMMYFUNCTION("""COMPUTED_VALUE"""),"01184383000168")</f>
        <v>01184383000168</v>
      </c>
      <c r="E213" t="str">
        <f ca="1">IFERROR(__xludf.DUMMYFUNCTION("""COMPUTED_VALUE"""),"001")</f>
        <v>001</v>
      </c>
      <c r="F213" t="str">
        <f ca="1">IFERROR(__xludf.DUMMYFUNCTION("""COMPUTED_VALUE"""),"3812")</f>
        <v>3812</v>
      </c>
      <c r="G213" t="str">
        <f ca="1">IFERROR(__xludf.DUMMYFUNCTION("""COMPUTED_VALUE"""),"275069")</f>
        <v>275069</v>
      </c>
      <c r="H213" s="8">
        <f ca="1">IFERROR(__xludf.DUMMYFUNCTION("""COMPUTED_VALUE"""),5859)</f>
        <v>5859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IFERROR(__xludf.DUMMYFUNCTION("""COMPUTED_VALUE"""),"Divinopolis do Tocantins")</f>
        <v>Divinopolis do Tocantins</v>
      </c>
      <c r="C214" t="str">
        <f ca="1">IFERROR(__xludf.DUMMYFUNCTION("""COMPUTED_VALUE"""),"ASS. APOIO ESC. EST. D. CANDIDA DE FREITAS")</f>
        <v>ASS. APOIO ESC. EST. D. CANDIDA DE FREITAS</v>
      </c>
      <c r="D214" t="str">
        <f ca="1">IFERROR(__xludf.DUMMYFUNCTION("""COMPUTED_VALUE"""),"01296363000189")</f>
        <v>01296363000189</v>
      </c>
      <c r="E214" t="str">
        <f ca="1">IFERROR(__xludf.DUMMYFUNCTION("""COMPUTED_VALUE"""),"001")</f>
        <v>001</v>
      </c>
      <c r="F214" t="str">
        <f ca="1">IFERROR(__xludf.DUMMYFUNCTION("""COMPUTED_VALUE"""),"3812")</f>
        <v>3812</v>
      </c>
      <c r="G214" t="str">
        <f ca="1">IFERROR(__xludf.DUMMYFUNCTION("""COMPUTED_VALUE"""),"70629")</f>
        <v>70629</v>
      </c>
      <c r="H214" s="8">
        <f ca="1">IFERROR(__xludf.DUMMYFUNCTION("""COMPUTED_VALUE"""),4305)</f>
        <v>4305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IFERROR(__xludf.DUMMYFUNCTION("""COMPUTED_VALUE"""),"Lagoa da Confusao")</f>
        <v>Lagoa da Confusao</v>
      </c>
      <c r="C215" t="str">
        <f ca="1">IFERROR(__xludf.DUMMYFUNCTION("""COMPUTED_VALUE"""),"A.A.  ESTUD COL. EST. LAGOA DA CONFUSAO")</f>
        <v>A.A.  ESTUD COL. EST. LAGOA DA CONFUSAO</v>
      </c>
      <c r="D215" t="str">
        <f ca="1">IFERROR(__xludf.DUMMYFUNCTION("""COMPUTED_VALUE"""),"01179116000100")</f>
        <v>01179116000100</v>
      </c>
      <c r="E215" t="str">
        <f ca="1">IFERROR(__xludf.DUMMYFUNCTION("""COMPUTED_VALUE"""),"001")</f>
        <v>001</v>
      </c>
      <c r="F215" t="str">
        <f ca="1">IFERROR(__xludf.DUMMYFUNCTION("""COMPUTED_VALUE"""),"3983")</f>
        <v>3983</v>
      </c>
      <c r="G215" t="str">
        <f ca="1">IFERROR(__xludf.DUMMYFUNCTION("""COMPUTED_VALUE"""),"84735")</f>
        <v>84735</v>
      </c>
      <c r="H215" s="8">
        <f ca="1">IFERROR(__xludf.DUMMYFUNCTION("""COMPUTED_VALUE"""),1827)</f>
        <v>1827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IFERROR(__xludf.DUMMYFUNCTION("""COMPUTED_VALUE"""),"Lagoa da Confusao")</f>
        <v>Lagoa da Confusao</v>
      </c>
      <c r="C216" t="str">
        <f ca="1">IFERROR(__xludf.DUMMYFUNCTION("""COMPUTED_VALUE"""),"ASSOCIAÇÃO DA ESCOLA ESPECIAL LAGOA DA CONFUSÃO")</f>
        <v>ASSOCIAÇÃO DA ESCOLA ESPECIAL LAGOA DA CONFUSÃO</v>
      </c>
      <c r="D216" t="str">
        <f ca="1">IFERROR(__xludf.DUMMYFUNCTION("""COMPUTED_VALUE"""),"08755554000100")</f>
        <v>08755554000100</v>
      </c>
      <c r="E216" t="str">
        <f ca="1">IFERROR(__xludf.DUMMYFUNCTION("""COMPUTED_VALUE"""),"001")</f>
        <v>001</v>
      </c>
      <c r="F216" t="str">
        <f ca="1">IFERROR(__xludf.DUMMYFUNCTION("""COMPUTED_VALUE"""),"3983")</f>
        <v>3983</v>
      </c>
      <c r="G216" t="str">
        <f ca="1">IFERROR(__xludf.DUMMYFUNCTION("""COMPUTED_VALUE"""),"83712")</f>
        <v>83712</v>
      </c>
      <c r="H216" s="8">
        <f ca="1">IFERROR(__xludf.DUMMYFUNCTION("""COMPUTED_VALUE"""),189)</f>
        <v>189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IFERROR(__xludf.DUMMYFUNCTION("""COMPUTED_VALUE"""),"Marianopolis do Tocantins")</f>
        <v>Marianopolis do Tocantins</v>
      </c>
      <c r="C217" t="str">
        <f ca="1">IFERROR(__xludf.DUMMYFUNCTION("""COMPUTED_VALUE"""),"A.A. DO COL. EST. DAVID BARBOSA ROLINS")</f>
        <v>A.A. DO COL. EST. DAVID BARBOSA ROLINS</v>
      </c>
      <c r="D217" t="str">
        <f ca="1">IFERROR(__xludf.DUMMYFUNCTION("""COMPUTED_VALUE"""),"01980050000145")</f>
        <v>01980050000145</v>
      </c>
      <c r="E217" t="str">
        <f ca="1">IFERROR(__xludf.DUMMYFUNCTION("""COMPUTED_VALUE"""),"001")</f>
        <v>001</v>
      </c>
      <c r="F217" t="str">
        <f ca="1">IFERROR(__xludf.DUMMYFUNCTION("""COMPUTED_VALUE"""),"0804")</f>
        <v>0804</v>
      </c>
      <c r="G217" t="str">
        <f ca="1">IFERROR(__xludf.DUMMYFUNCTION("""COMPUTED_VALUE"""),"219045")</f>
        <v>219045</v>
      </c>
      <c r="H217" s="8">
        <f ca="1">IFERROR(__xludf.DUMMYFUNCTION("""COMPUTED_VALUE"""),2226)</f>
        <v>2226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IFERROR(__xludf.DUMMYFUNCTION("""COMPUTED_VALUE"""),"Nova Rosalandia")</f>
        <v>Nova Rosalandia</v>
      </c>
      <c r="C218" t="str">
        <f ca="1">IFERROR(__xludf.DUMMYFUNCTION("""COMPUTED_VALUE"""),"A. ESC. COM. ESC. EST.PEDRO XAVIER TEIXEIRA")</f>
        <v>A. ESC. COM. ESC. EST.PEDRO XAVIER TEIXEIRA</v>
      </c>
      <c r="D218" t="str">
        <f ca="1">IFERROR(__xludf.DUMMYFUNCTION("""COMPUTED_VALUE"""),"01068367000100")</f>
        <v>01068367000100</v>
      </c>
      <c r="E218" t="str">
        <f ca="1">IFERROR(__xludf.DUMMYFUNCTION("""COMPUTED_VALUE"""),"001")</f>
        <v>001</v>
      </c>
      <c r="F218" t="str">
        <f ca="1">IFERROR(__xludf.DUMMYFUNCTION("""COMPUTED_VALUE"""),"0804")</f>
        <v>0804</v>
      </c>
      <c r="G218" t="str">
        <f ca="1">IFERROR(__xludf.DUMMYFUNCTION("""COMPUTED_VALUE"""),"234265")</f>
        <v>234265</v>
      </c>
      <c r="H218" s="8">
        <f ca="1">IFERROR(__xludf.DUMMYFUNCTION("""COMPUTED_VALUE"""),1764)</f>
        <v>1764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IFERROR(__xludf.DUMMYFUNCTION("""COMPUTED_VALUE"""),"Nova Rosalandia")</f>
        <v>Nova Rosalandia</v>
      </c>
      <c r="C219" t="str">
        <f ca="1">IFERROR(__xludf.DUMMYFUNCTION("""COMPUTED_VALUE"""),"A.A. A ESCOLA ESTADUAL CAMPO MAIOR")</f>
        <v>A.A. A ESCOLA ESTADUAL CAMPO MAIOR</v>
      </c>
      <c r="D219" t="str">
        <f ca="1">IFERROR(__xludf.DUMMYFUNCTION("""COMPUTED_VALUE"""),"01068373000167")</f>
        <v>01068373000167</v>
      </c>
      <c r="E219" t="str">
        <f ca="1">IFERROR(__xludf.DUMMYFUNCTION("""COMPUTED_VALUE"""),"001")</f>
        <v>001</v>
      </c>
      <c r="F219" t="str">
        <f ca="1">IFERROR(__xludf.DUMMYFUNCTION("""COMPUTED_VALUE"""),"0804")</f>
        <v>0804</v>
      </c>
      <c r="G219" t="str">
        <f ca="1">IFERROR(__xludf.DUMMYFUNCTION("""COMPUTED_VALUE"""),"341290")</f>
        <v>341290</v>
      </c>
      <c r="H219" s="8">
        <f ca="1">IFERROR(__xludf.DUMMYFUNCTION("""COMPUTED_VALUE"""),861)</f>
        <v>861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IFERROR(__xludf.DUMMYFUNCTION("""COMPUTED_VALUE"""),"Paraiso do Tocantins")</f>
        <v>Paraiso do Tocantins</v>
      </c>
      <c r="C220" t="str">
        <f ca="1">IFERROR(__xludf.DUMMYFUNCTION("""COMPUTED_VALUE"""),"A.A. COLÉGIO MILITAR DIACONÍZIO BEZERRA DA SILVA")</f>
        <v>A.A. COLÉGIO MILITAR DIACONÍZIO BEZERRA DA SILVA</v>
      </c>
      <c r="D220" t="str">
        <f ca="1">IFERROR(__xludf.DUMMYFUNCTION("""COMPUTED_VALUE"""),"11675300000197")</f>
        <v>11675300000197</v>
      </c>
      <c r="E220" t="str">
        <f ca="1">IFERROR(__xludf.DUMMYFUNCTION("""COMPUTED_VALUE"""),"001")</f>
        <v>001</v>
      </c>
      <c r="F220" t="str">
        <f ca="1">IFERROR(__xludf.DUMMYFUNCTION("""COMPUTED_VALUE"""),"0804")</f>
        <v>0804</v>
      </c>
      <c r="G220" t="str">
        <f ca="1">IFERROR(__xludf.DUMMYFUNCTION("""COMPUTED_VALUE"""),"320781")</f>
        <v>320781</v>
      </c>
      <c r="H220" s="8">
        <f ca="1">IFERROR(__xludf.DUMMYFUNCTION("""COMPUTED_VALUE"""),12600)</f>
        <v>12600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IFERROR(__xludf.DUMMYFUNCTION("""COMPUTED_VALUE"""),"Paraiso do Tocantins")</f>
        <v>Paraiso do Tocantins</v>
      </c>
      <c r="C221" t="str">
        <f ca="1">IFERROR(__xludf.DUMMYFUNCTION("""COMPUTED_VALUE"""),"ASSOC. DE APOIO ESC. EST.IDALINA DE PAULA")</f>
        <v>ASSOC. DE APOIO ESC. EST.IDALINA DE PAULA</v>
      </c>
      <c r="D221" t="str">
        <f ca="1">IFERROR(__xludf.DUMMYFUNCTION("""COMPUTED_VALUE"""),"01066419000109")</f>
        <v>01066419000109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IFERROR(__xludf.DUMMYFUNCTION("""COMPUTED_VALUE"""),"115797")</f>
        <v>115797</v>
      </c>
      <c r="H221" s="8">
        <f ca="1">IFERROR(__xludf.DUMMYFUNCTION("""COMPUTED_VALUE"""),7665)</f>
        <v>7665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IFERROR(__xludf.DUMMYFUNCTION("""COMPUTED_VALUE"""),"Paraiso do Tocantins")</f>
        <v>Paraiso do Tocantins</v>
      </c>
      <c r="C222" t="str">
        <f ca="1">IFERROR(__xludf.DUMMYFUNCTION("""COMPUTED_VALUE"""),"AAE. ESPECIAL LUZ DA VIDA")</f>
        <v>AAE. ESPECIAL LUZ DA VIDA</v>
      </c>
      <c r="D222" t="str">
        <f ca="1">IFERROR(__xludf.DUMMYFUNCTION("""COMPUTED_VALUE"""),"07905330000175")</f>
        <v>07905330000175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IFERROR(__xludf.DUMMYFUNCTION("""COMPUTED_VALUE"""),"331724")</f>
        <v>331724</v>
      </c>
      <c r="H222" s="8">
        <f ca="1">IFERROR(__xludf.DUMMYFUNCTION("""COMPUTED_VALUE"""),525)</f>
        <v>525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IFERROR(__xludf.DUMMYFUNCTION("""COMPUTED_VALUE"""),"Paraiso do Tocantins")</f>
        <v>Paraiso do Tocantins</v>
      </c>
      <c r="C223" t="str">
        <f ca="1">IFERROR(__xludf.DUMMYFUNCTION("""COMPUTED_VALUE"""),"ASS. DE APOIO ESC. EST. AMANCIO DE MORAES")</f>
        <v>ASS. DE APOIO ESC. EST. AMANCIO DE MORAES</v>
      </c>
      <c r="D223" t="str">
        <f ca="1">IFERROR(__xludf.DUMMYFUNCTION("""COMPUTED_VALUE"""),"01068375000156")</f>
        <v>01068375000156</v>
      </c>
      <c r="E223" t="str">
        <f ca="1">IFERROR(__xludf.DUMMYFUNCTION("""COMPUTED_VALUE"""),"104")</f>
        <v>104</v>
      </c>
      <c r="F223" t="str">
        <f ca="1">IFERROR(__xludf.DUMMYFUNCTION("""COMPUTED_VALUE"""),"1141")</f>
        <v>1141</v>
      </c>
      <c r="G223" t="str">
        <f ca="1">IFERROR(__xludf.DUMMYFUNCTION("""COMPUTED_VALUE"""),"308140")</f>
        <v>308140</v>
      </c>
      <c r="H223" s="8">
        <f ca="1">IFERROR(__xludf.DUMMYFUNCTION("""COMPUTED_VALUE"""),5061)</f>
        <v>5061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ESCOLA ESTADUAL DEUSA DE MORAES")</f>
        <v>A.A. ESCOLA ESTADUAL DEUSA DE MORAES</v>
      </c>
      <c r="D224" t="str">
        <f ca="1">IFERROR(__xludf.DUMMYFUNCTION("""COMPUTED_VALUE"""),"01068362000187")</f>
        <v>01068362000187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IFERROR(__xludf.DUMMYFUNCTION("""COMPUTED_VALUE"""),"304549")</f>
        <v>304549</v>
      </c>
      <c r="H224" s="8">
        <f ca="1">IFERROR(__xludf.DUMMYFUNCTION("""COMPUTED_VALUE"""),8001)</f>
        <v>8001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 ESC COM. DA ESC EST J.K. DE OLIVEIRA")</f>
        <v>A. ESC COM. DA ESC EST J.K. DE OLIVEIRA</v>
      </c>
      <c r="D225" t="str">
        <f ca="1">IFERROR(__xludf.DUMMYFUNCTION("""COMPUTED_VALUE"""),"00921537000194")</f>
        <v>00921537000194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IFERROR(__xludf.DUMMYFUNCTION("""COMPUTED_VALUE"""),"163821")</f>
        <v>163821</v>
      </c>
      <c r="H225" s="8">
        <f ca="1">IFERROR(__xludf.DUMMYFUNCTION("""COMPUTED_VALUE"""),5523)</f>
        <v>5523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IFERROR(__xludf.DUMMYFUNCTION("""COMPUTED_VALUE"""),"A.A.  ESCOLA EST. SAO JOSE OPERARIO")</f>
        <v>A.A.  ESCOLA EST. SAO JOSE OPERARIO</v>
      </c>
      <c r="D226" t="str">
        <f ca="1">IFERROR(__xludf.DUMMYFUNCTION("""COMPUTED_VALUE"""),"01186454000161")</f>
        <v>01186454000161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IFERROR(__xludf.DUMMYFUNCTION("""COMPUTED_VALUE"""),"285986")</f>
        <v>285986</v>
      </c>
      <c r="H226" s="8">
        <f ca="1">IFERROR(__xludf.DUMMYFUNCTION("""COMPUTED_VALUE"""),8988)</f>
        <v>8988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IFERROR(__xludf.DUMMYFUNCTION("""COMPUTED_VALUE"""),"A.A. DO COL. PRESB. VALE DO TOCANTINS")</f>
        <v>A.A. DO COL. PRESB. VALE DO TOCANTINS</v>
      </c>
      <c r="D227" t="str">
        <f ca="1">IFERROR(__xludf.DUMMYFUNCTION("""COMPUTED_VALUE"""),"01071426000107")</f>
        <v>01071426000107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IFERROR(__xludf.DUMMYFUNCTION("""COMPUTED_VALUE"""),"311618")</f>
        <v>311618</v>
      </c>
      <c r="H227" s="8">
        <f ca="1">IFERROR(__xludf.DUMMYFUNCTION("""COMPUTED_VALUE"""),10437)</f>
        <v>10437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IFERROR(__xludf.DUMMYFUNCTION("""COMPUTED_VALUE"""),"Pium")</f>
        <v>Pium</v>
      </c>
      <c r="C228" t="str">
        <f ca="1">IFERROR(__xludf.DUMMYFUNCTION("""COMPUTED_VALUE"""),"A.A. COLEGIO ESTADUAL BARTOLOMEU BUENO")</f>
        <v>A.A. COLEGIO ESTADUAL BARTOLOMEU BUENO</v>
      </c>
      <c r="D228" t="str">
        <f ca="1">IFERROR(__xludf.DUMMYFUNCTION("""COMPUTED_VALUE"""),"01071436000134")</f>
        <v>01071436000134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IFERROR(__xludf.DUMMYFUNCTION("""COMPUTED_VALUE"""),"286206")</f>
        <v>286206</v>
      </c>
      <c r="H228" s="8">
        <f ca="1">IFERROR(__xludf.DUMMYFUNCTION("""COMPUTED_VALUE"""),1239)</f>
        <v>1239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IFERROR(__xludf.DUMMYFUNCTION("""COMPUTED_VALUE"""),"Pugmil")</f>
        <v>Pugmil</v>
      </c>
      <c r="C229" t="str">
        <f ca="1">IFERROR(__xludf.DUMMYFUNCTION("""COMPUTED_VALUE"""),"A.A. DA ESC. EST. DARCY RIBEIRO")</f>
        <v>A.A. DA ESC. EST. DARCY RIBEIRO</v>
      </c>
      <c r="D229" t="str">
        <f ca="1">IFERROR(__xludf.DUMMYFUNCTION("""COMPUTED_VALUE"""),"02382845000114")</f>
        <v>02382845000114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IFERROR(__xludf.DUMMYFUNCTION("""COMPUTED_VALUE"""),"286648")</f>
        <v>286648</v>
      </c>
      <c r="H229" s="8">
        <f ca="1">IFERROR(__xludf.DUMMYFUNCTION("""COMPUTED_VALUE"""),1239)</f>
        <v>1239</v>
      </c>
      <c r="I229" t="str">
        <v>E.F. PARCIAL</v>
      </c>
    </row>
    <row r="230" spans="1:9" ht="12.75">
      <c r="A230" t="str">
        <f ca="1">IFERROR(__xludf.DUMMYFUNCTION("""COMPUTED_VALUE"""),"Pedro Afonso")</f>
        <v>Pedro Afonso</v>
      </c>
      <c r="B230" t="str">
        <f ca="1">IFERROR(__xludf.DUMMYFUNCTION("""COMPUTED_VALUE"""),"Bom Jesus do Tocantins")</f>
        <v>Bom Jesus do Tocantins</v>
      </c>
      <c r="C230" t="str">
        <f ca="1">IFERROR(__xludf.DUMMYFUNCTION("""COMPUTED_VALUE"""),"ASSOC. DE AP.A ESC. EST. ALFREDO NASSER")</f>
        <v>ASSOC. DE AP.A ESC. EST. ALFREDO NASSER</v>
      </c>
      <c r="D230" t="str">
        <f ca="1">IFERROR(__xludf.DUMMYFUNCTION("""COMPUTED_VALUE"""),"01138329000186")</f>
        <v>01138329000186</v>
      </c>
      <c r="E230" t="str">
        <f ca="1">IFERROR(__xludf.DUMMYFUNCTION("""COMPUTED_VALUE"""),"001")</f>
        <v>001</v>
      </c>
      <c r="F230" t="str">
        <f ca="1">IFERROR(__xludf.DUMMYFUNCTION("""COMPUTED_VALUE"""),"1595")</f>
        <v>1595</v>
      </c>
      <c r="G230" t="str">
        <f ca="1">IFERROR(__xludf.DUMMYFUNCTION("""COMPUTED_VALUE"""),"59277")</f>
        <v>59277</v>
      </c>
      <c r="H230" s="8">
        <f ca="1">IFERROR(__xludf.DUMMYFUNCTION("""COMPUTED_VALUE"""),5460)</f>
        <v>5460</v>
      </c>
      <c r="I230" t="str">
        <v>E.F. PARCIAL</v>
      </c>
    </row>
    <row r="231" spans="1:9" ht="12.75">
      <c r="A231" t="str">
        <f ca="1">IFERROR(__xludf.DUMMYFUNCTION("""COMPUTED_VALUE"""),"Pedro Afonso")</f>
        <v>Pedro Afonso</v>
      </c>
      <c r="B231" t="str">
        <f ca="1">IFERROR(__xludf.DUMMYFUNCTION("""COMPUTED_VALUE"""),"Centenario")</f>
        <v>Centenario</v>
      </c>
      <c r="C231" t="str">
        <f ca="1">IFERROR(__xludf.DUMMYFUNCTION("""COMPUTED_VALUE"""),"A. ESC. COM. DO COL. EST. OTONIEL C.DE JESUS")</f>
        <v>A. ESC. COM. DO COL. EST. OTONIEL C.DE JESUS</v>
      </c>
      <c r="D231" t="str">
        <f ca="1">IFERROR(__xludf.DUMMYFUNCTION("""COMPUTED_VALUE"""),"02008180000183")</f>
        <v>02008180000183</v>
      </c>
      <c r="E231" t="str">
        <f ca="1">IFERROR(__xludf.DUMMYFUNCTION("""COMPUTED_VALUE"""),"001")</f>
        <v>001</v>
      </c>
      <c r="F231" t="str">
        <f ca="1">IFERROR(__xludf.DUMMYFUNCTION("""COMPUTED_VALUE"""),"1595")</f>
        <v>1595</v>
      </c>
      <c r="G231" t="str">
        <f ca="1">IFERROR(__xludf.DUMMYFUNCTION("""COMPUTED_VALUE"""),"10081")</f>
        <v>10081</v>
      </c>
      <c r="H231" s="8">
        <f ca="1">IFERROR(__xludf.DUMMYFUNCTION("""COMPUTED_VALUE"""),714)</f>
        <v>714</v>
      </c>
      <c r="I231" t="str">
        <v>E.F. PARCIAL</v>
      </c>
    </row>
    <row r="232" spans="1:9" ht="12.75">
      <c r="A232" t="str">
        <f ca="1">IFERROR(__xludf.DUMMYFUNCTION("""COMPUTED_VALUE"""),"Pedro Afonso")</f>
        <v>Pedro Afonso</v>
      </c>
      <c r="B232" t="str">
        <f ca="1">IFERROR(__xludf.DUMMYFUNCTION("""COMPUTED_VALUE"""),"Itacaja")</f>
        <v>Itacaja</v>
      </c>
      <c r="C232" t="str">
        <f ca="1">IFERROR(__xludf.DUMMYFUNCTION("""COMPUTED_VALUE"""),"A.A. COLEGIO ESTADUAL DE ITACAJA")</f>
        <v>A.A. COLEGIO ESTADUAL DE ITACAJA</v>
      </c>
      <c r="D232" t="str">
        <f ca="1">IFERROR(__xludf.DUMMYFUNCTION("""COMPUTED_VALUE"""),"01138428000168")</f>
        <v>01138428000168</v>
      </c>
      <c r="E232" t="str">
        <f ca="1">IFERROR(__xludf.DUMMYFUNCTION("""COMPUTED_VALUE"""),"001")</f>
        <v>001</v>
      </c>
      <c r="F232" t="str">
        <f ca="1">IFERROR(__xludf.DUMMYFUNCTION("""COMPUTED_VALUE"""),"1595")</f>
        <v>1595</v>
      </c>
      <c r="G232" t="str">
        <f ca="1">IFERROR(__xludf.DUMMYFUNCTION("""COMPUTED_VALUE"""),"59773")</f>
        <v>59773</v>
      </c>
      <c r="H232" s="8">
        <f ca="1">IFERROR(__xludf.DUMMYFUNCTION("""COMPUTED_VALUE"""),6657)</f>
        <v>6657</v>
      </c>
      <c r="I232" t="str">
        <v>E.F. PARCIAL</v>
      </c>
    </row>
    <row r="233" spans="1:9" ht="12.75">
      <c r="A233" t="str">
        <f ca="1">IFERROR(__xludf.DUMMYFUNCTION("""COMPUTED_VALUE"""),"Pedro Afonso")</f>
        <v>Pedro Afonso</v>
      </c>
      <c r="B233" t="str">
        <f ca="1">IFERROR(__xludf.DUMMYFUNCTION("""COMPUTED_VALUE"""),"Itacaja")</f>
        <v>Itacaja</v>
      </c>
      <c r="C233" t="str">
        <f ca="1">IFERROR(__xludf.DUMMYFUNCTION("""COMPUTED_VALUE"""),"ASSOC. APOIO ESC. EST. ALMEIDA SARDINHA")</f>
        <v>ASSOC. APOIO ESC. EST. ALMEIDA SARDINHA</v>
      </c>
      <c r="D233" t="str">
        <f ca="1">IFERROR(__xludf.DUMMYFUNCTION("""COMPUTED_VALUE"""),"01138335000133")</f>
        <v>01138335000133</v>
      </c>
      <c r="E233" t="str">
        <f ca="1">IFERROR(__xludf.DUMMYFUNCTION("""COMPUTED_VALUE"""),"001")</f>
        <v>001</v>
      </c>
      <c r="F233" t="str">
        <f ca="1">IFERROR(__xludf.DUMMYFUNCTION("""COMPUTED_VALUE"""),"2094")</f>
        <v>2094</v>
      </c>
      <c r="G233" t="str">
        <f ca="1">IFERROR(__xludf.DUMMYFUNCTION("""COMPUTED_VALUE"""),"466484")</f>
        <v>466484</v>
      </c>
      <c r="H233" s="8">
        <f ca="1">IFERROR(__xludf.DUMMYFUNCTION("""COMPUTED_VALUE"""),1932)</f>
        <v>1932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IFERROR(__xludf.DUMMYFUNCTION("""COMPUTED_VALUE"""),"Pedro Afonso")</f>
        <v>Pedro Afonso</v>
      </c>
      <c r="C234" t="str">
        <f ca="1">IFERROR(__xludf.DUMMYFUNCTION("""COMPUTED_VALUE"""),"A.A. E. EST.IS.DA REG.DE ENS.DE GUARAI")</f>
        <v>A.A. E. EST.IS.DA REG.DE ENS.DE GUARAI</v>
      </c>
      <c r="D234" t="str">
        <f ca="1">IFERROR(__xludf.DUMMYFUNCTION("""COMPUTED_VALUE"""),"02508361000179")</f>
        <v>02508361000179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IFERROR(__xludf.DUMMYFUNCTION("""COMPUTED_VALUE"""),"110663")</f>
        <v>110663</v>
      </c>
      <c r="H234" s="8">
        <f ca="1">IFERROR(__xludf.DUMMYFUNCTION("""COMPUTED_VALUE"""),1743)</f>
        <v>1743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IFERROR(__xludf.DUMMYFUNCTION("""COMPUTED_VALUE"""),"Pedro Afonso")</f>
        <v>Pedro Afonso</v>
      </c>
      <c r="C235" t="str">
        <f ca="1">IFERROR(__xludf.DUMMYFUNCTION("""COMPUTED_VALUE"""),"ASSOCIAÇÃO DE PAIS E AMIGOS DOS EXCEPCIONAIS DE PEDRO AFONSO")</f>
        <v>ASSOCIAÇÃO DE PAIS E AMIGOS DOS EXCEPCIONAIS DE PEDRO AFONSO</v>
      </c>
      <c r="D235" t="str">
        <f ca="1">IFERROR(__xludf.DUMMYFUNCTION("""COMPUTED_VALUE"""),"04406588000139")</f>
        <v>04406588000139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IFERROR(__xludf.DUMMYFUNCTION("""COMPUTED_VALUE"""),"119105")</f>
        <v>119105</v>
      </c>
      <c r="H235" s="8">
        <f ca="1">IFERROR(__xludf.DUMMYFUNCTION("""COMPUTED_VALUE"""),105)</f>
        <v>105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IFERROR(__xludf.DUMMYFUNCTION("""COMPUTED_VALUE"""),"Pedro Afonso")</f>
        <v>Pedro Afonso</v>
      </c>
      <c r="C236" t="str">
        <f ca="1">IFERROR(__xludf.DUMMYFUNCTION("""COMPUTED_VALUE"""),"A. DE PAIS E MEST. DA ESC. EST. ANA AMORIM")</f>
        <v>A. DE PAIS E MEST. DA ESC. EST. ANA AMORIM</v>
      </c>
      <c r="D236" t="str">
        <f ca="1">IFERROR(__xludf.DUMMYFUNCTION("""COMPUTED_VALUE"""),"01990364000129")</f>
        <v>01990364000129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IFERROR(__xludf.DUMMYFUNCTION("""COMPUTED_VALUE"""),"59722")</f>
        <v>59722</v>
      </c>
      <c r="H236" s="8">
        <f ca="1">IFERROR(__xludf.DUMMYFUNCTION("""COMPUTED_VALUE"""),10416)</f>
        <v>10416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IFERROR(__xludf.DUMMYFUNCTION("""COMPUTED_VALUE"""),"Pedro Afonso")</f>
        <v>Pedro Afonso</v>
      </c>
      <c r="C237" t="str">
        <f ca="1">IFERROR(__xludf.DUMMYFUNCTION("""COMPUTED_VALUE"""),"ASS. DE APOIO A ESCOLA ESTADUAL BOM TEMPO")</f>
        <v>ASS. DE APOIO A ESCOLA ESTADUAL BOM TEMPO</v>
      </c>
      <c r="D237" t="str">
        <f ca="1">IFERROR(__xludf.DUMMYFUNCTION("""COMPUTED_VALUE"""),"44776099000193")</f>
        <v>44776099000193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IFERROR(__xludf.DUMMYFUNCTION("""COMPUTED_VALUE"""),"324981")</f>
        <v>324981</v>
      </c>
      <c r="H237" s="8">
        <f ca="1">IFERROR(__xludf.DUMMYFUNCTION("""COMPUTED_VALUE"""),861)</f>
        <v>861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IFERROR(__xludf.DUMMYFUNCTION("""COMPUTED_VALUE"""),"Recursolandia")</f>
        <v>Recursolandia</v>
      </c>
      <c r="C238" t="str">
        <f ca="1">IFERROR(__xludf.DUMMYFUNCTION("""COMPUTED_VALUE"""),"ASS. DE A. A ESCOLA EST. RECURSO I")</f>
        <v>ASS. DE A. A ESCOLA EST. RECURSO I</v>
      </c>
      <c r="D238" t="str">
        <f ca="1">IFERROR(__xludf.DUMMYFUNCTION("""COMPUTED_VALUE"""),"02021097000144")</f>
        <v>02021097000144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IFERROR(__xludf.DUMMYFUNCTION("""COMPUTED_VALUE"""),"11029")</f>
        <v>11029</v>
      </c>
      <c r="H238" s="8">
        <f ca="1">IFERROR(__xludf.DUMMYFUNCTION("""COMPUTED_VALUE"""),2541)</f>
        <v>2541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IFERROR(__xludf.DUMMYFUNCTION("""COMPUTED_VALUE"""),"Santa Maria do Tocantins")</f>
        <v>Santa Maria do Tocantins</v>
      </c>
      <c r="C239" t="str">
        <f ca="1">IFERROR(__xludf.DUMMYFUNCTION("""COMPUTED_VALUE"""),"A. A.AS ESC.DO COL. EST. SANTA MARIA")</f>
        <v>A. A.AS ESC.DO COL. EST. SANTA MARIA</v>
      </c>
      <c r="D239" t="str">
        <f ca="1">IFERROR(__xludf.DUMMYFUNCTION("""COMPUTED_VALUE"""),"02087933000193")</f>
        <v>02087933000193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IFERROR(__xludf.DUMMYFUNCTION("""COMPUTED_VALUE"""),"83089")</f>
        <v>83089</v>
      </c>
      <c r="H239" s="8">
        <f ca="1">IFERROR(__xludf.DUMMYFUNCTION("""COMPUTED_VALUE"""),3045)</f>
        <v>3045</v>
      </c>
      <c r="I239" t="str">
        <v>E.F. PARCIAL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IFERROR(__xludf.DUMMYFUNCTION("""COMPUTED_VALUE"""),"Fatima")</f>
        <v>Fatima</v>
      </c>
      <c r="C240" t="str">
        <f ca="1">IFERROR(__xludf.DUMMYFUNCTION("""COMPUTED_VALUE"""),"A.A. ESCOLA ESTADUAL CONCEICAO BRITO")</f>
        <v>A.A. ESCOLA ESTADUAL CONCEICAO BRITO</v>
      </c>
      <c r="D240" t="str">
        <f ca="1">IFERROR(__xludf.DUMMYFUNCTION("""COMPUTED_VALUE"""),"01268285000109")</f>
        <v>01268285000109</v>
      </c>
      <c r="E240" t="str">
        <f ca="1">IFERROR(__xludf.DUMMYFUNCTION("""COMPUTED_VALUE"""),"001")</f>
        <v>001</v>
      </c>
      <c r="F240" t="str">
        <f ca="1">IFERROR(__xludf.DUMMYFUNCTION("""COMPUTED_VALUE"""),"4107")</f>
        <v>4107</v>
      </c>
      <c r="G240" t="str">
        <f ca="1">IFERROR(__xludf.DUMMYFUNCTION("""COMPUTED_VALUE"""),"50911")</f>
        <v>50911</v>
      </c>
      <c r="H240" s="8">
        <f ca="1">IFERROR(__xludf.DUMMYFUNCTION("""COMPUTED_VALUE"""),5754)</f>
        <v>5754</v>
      </c>
      <c r="I240" t="str">
        <v>E.F. PARCIAL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IFERROR(__xludf.DUMMYFUNCTION("""COMPUTED_VALUE"""),"Ipueiras")</f>
        <v>Ipueiras</v>
      </c>
      <c r="C241" t="str">
        <f ca="1">IFERROR(__xludf.DUMMYFUNCTION("""COMPUTED_VALUE"""),"ASSOC. DE APOIO DA ESC. EST. FELIX CAMOA")</f>
        <v>ASSOC. DE APOIO DA ESC. EST. FELIX CAMOA</v>
      </c>
      <c r="D241" t="str">
        <f ca="1">IFERROR(__xludf.DUMMYFUNCTION("""COMPUTED_VALUE"""),"01469443000199")</f>
        <v>01469443000199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IFERROR(__xludf.DUMMYFUNCTION("""COMPUTED_VALUE"""),"315052")</f>
        <v>315052</v>
      </c>
      <c r="H241" s="8">
        <f ca="1">IFERROR(__xludf.DUMMYFUNCTION("""COMPUTED_VALUE"""),252)</f>
        <v>252</v>
      </c>
      <c r="I241" t="str">
        <v>E.F. PARCIAL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IFERROR(__xludf.DUMMYFUNCTION("""COMPUTED_VALUE"""),"Monte do Carmo")</f>
        <v>Monte do Carmo</v>
      </c>
      <c r="C242" t="str">
        <f ca="1">IFERROR(__xludf.DUMMYFUNCTION("""COMPUTED_VALUE"""),"ASSOC. APOIA A ESC. EST. PROF.DINA DE OLIVEIRA AMORIM")</f>
        <v>ASSOC. APOIA A ESC. EST. PROF.DINA DE OLIVEIRA AMORIM</v>
      </c>
      <c r="D242" t="str">
        <f ca="1">IFERROR(__xludf.DUMMYFUNCTION("""COMPUTED_VALUE"""),"16437349000125")</f>
        <v>16437349000125</v>
      </c>
      <c r="E242" t="str">
        <f ca="1">IFERROR(__xludf.DUMMYFUNCTION("""COMPUTED_VALUE"""),"001")</f>
        <v>001</v>
      </c>
      <c r="F242" t="str">
        <f ca="1">IFERROR(__xludf.DUMMYFUNCTION("""COMPUTED_VALUE"""),"1117")</f>
        <v>1117</v>
      </c>
      <c r="G242" t="str">
        <f ca="1">IFERROR(__xludf.DUMMYFUNCTION("""COMPUTED_VALUE"""),"339113")</f>
        <v>339113</v>
      </c>
      <c r="H242" s="8">
        <f ca="1">IFERROR(__xludf.DUMMYFUNCTION("""COMPUTED_VALUE"""),1743)</f>
        <v>1743</v>
      </c>
      <c r="I242" t="str">
        <v>E.F. PARCIAL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IFERROR(__xludf.DUMMYFUNCTION("""COMPUTED_VALUE"""),"Natividade")</f>
        <v>Natividade</v>
      </c>
      <c r="C243" t="str">
        <f ca="1">IFERROR(__xludf.DUMMYFUNCTION("""COMPUTED_VALUE"""),"ASSOC. DE APOIO A ESC. ESPECIAL TIA CORACI DE SENA FERNANDES")</f>
        <v>ASSOC. DE APOIO A ESC. ESPECIAL TIA CORACI DE SENA FERNANDES</v>
      </c>
      <c r="D243" t="str">
        <f ca="1">IFERROR(__xludf.DUMMYFUNCTION("""COMPUTED_VALUE"""),"17163914000176")</f>
        <v>17163914000176</v>
      </c>
      <c r="E243" t="str">
        <f ca="1">IFERROR(__xludf.DUMMYFUNCTION("""COMPUTED_VALUE"""),"001")</f>
        <v>001</v>
      </c>
      <c r="F243" t="str">
        <f ca="1">IFERROR(__xludf.DUMMYFUNCTION("""COMPUTED_VALUE"""),"2334")</f>
        <v>2334</v>
      </c>
      <c r="G243" t="str">
        <f ca="1">IFERROR(__xludf.DUMMYFUNCTION("""COMPUTED_VALUE"""),"19860")</f>
        <v>19860</v>
      </c>
      <c r="H243" s="8">
        <f ca="1">IFERROR(__xludf.DUMMYFUNCTION("""COMPUTED_VALUE"""),147)</f>
        <v>147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IFERROR(__xludf.DUMMYFUNCTION("""COMPUTED_VALUE"""),"Natividade")</f>
        <v>Natividade</v>
      </c>
      <c r="C244" t="str">
        <f ca="1">IFERROR(__xludf.DUMMYFUNCTION("""COMPUTED_VALUE"""),"ASS. APOIO ESC. EST. JOAQUIM LINO SUARTE")</f>
        <v>ASS. APOIO ESC. EST. JOAQUIM LINO SUARTE</v>
      </c>
      <c r="D244" t="str">
        <f ca="1">IFERROR(__xludf.DUMMYFUNCTION("""COMPUTED_VALUE"""),"01133708000183")</f>
        <v>01133708000183</v>
      </c>
      <c r="E244" t="str">
        <f ca="1">IFERROR(__xludf.DUMMYFUNCTION("""COMPUTED_VALUE"""),"003")</f>
        <v>003</v>
      </c>
      <c r="F244" t="str">
        <f ca="1">IFERROR(__xludf.DUMMYFUNCTION("""COMPUTED_VALUE"""),"0037")</f>
        <v>0037</v>
      </c>
      <c r="G244" t="str">
        <f ca="1">IFERROR(__xludf.DUMMYFUNCTION("""COMPUTED_VALUE"""),"0702670")</f>
        <v>0702670</v>
      </c>
      <c r="H244" s="8">
        <f ca="1">IFERROR(__xludf.DUMMYFUNCTION("""COMPUTED_VALUE"""),3549)</f>
        <v>3549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IFERROR(__xludf.DUMMYFUNCTION("""COMPUTED_VALUE"""),"Natividade")</f>
        <v>Natividade</v>
      </c>
      <c r="C245" t="str">
        <f ca="1">IFERROR(__xludf.DUMMYFUNCTION("""COMPUTED_VALUE"""),"A.A. E. EST.NOSSA SENHORA DE FATIMA")</f>
        <v>A.A. E. EST.NOSSA SENHORA DE FATIMA</v>
      </c>
      <c r="D245" t="str">
        <f ca="1">IFERROR(__xludf.DUMMYFUNCTION("""COMPUTED_VALUE"""),"01064860000151")</f>
        <v>01064860000151</v>
      </c>
      <c r="E245" t="str">
        <f ca="1">IFERROR(__xludf.DUMMYFUNCTION("""COMPUTED_VALUE"""),"003")</f>
        <v>003</v>
      </c>
      <c r="F245" t="str">
        <f ca="1">IFERROR(__xludf.DUMMYFUNCTION("""COMPUTED_VALUE"""),"0037")</f>
        <v>0037</v>
      </c>
      <c r="G245" t="str">
        <f ca="1">IFERROR(__xludf.DUMMYFUNCTION("""COMPUTED_VALUE"""),"0702646")</f>
        <v>0702646</v>
      </c>
      <c r="H245" s="8">
        <f ca="1">IFERROR(__xludf.DUMMYFUNCTION("""COMPUTED_VALUE"""),6384)</f>
        <v>6384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IFERROR(__xludf.DUMMYFUNCTION("""COMPUTED_VALUE"""),"Oliveira de Fatima")</f>
        <v>Oliveira de Fatima</v>
      </c>
      <c r="C246" t="str">
        <f ca="1">IFERROR(__xludf.DUMMYFUNCTION("""COMPUTED_VALUE"""),"ASS. DE APOIO DA ESC. EST.RIACHUELO")</f>
        <v>ASS. DE APOIO DA ESC. EST.RIACHUELO</v>
      </c>
      <c r="D246" t="str">
        <f ca="1">IFERROR(__xludf.DUMMYFUNCTION("""COMPUTED_VALUE"""),"01696068000110")</f>
        <v>01696068000110</v>
      </c>
      <c r="E246" t="str">
        <f ca="1">IFERROR(__xludf.DUMMYFUNCTION("""COMPUTED_VALUE"""),"001")</f>
        <v>001</v>
      </c>
      <c r="F246" t="str">
        <f ca="1">IFERROR(__xludf.DUMMYFUNCTION("""COMPUTED_VALUE"""),"4107")</f>
        <v>4107</v>
      </c>
      <c r="G246" t="str">
        <f ca="1">IFERROR(__xludf.DUMMYFUNCTION("""COMPUTED_VALUE"""),"319511")</f>
        <v>319511</v>
      </c>
      <c r="H246" s="8">
        <f ca="1">IFERROR(__xludf.DUMMYFUNCTION("""COMPUTED_VALUE"""),441)</f>
        <v>441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IFERROR(__xludf.DUMMYFUNCTION("""COMPUTED_VALUE"""),"Pindorama do Tocantins")</f>
        <v>Pindorama do Tocantins</v>
      </c>
      <c r="C247" t="str">
        <f ca="1">IFERROR(__xludf.DUMMYFUNCTION("""COMPUTED_VALUE"""),"A.A. E. E. DEP.JOSE A. DE ASSIS")</f>
        <v>A.A. E. E. DEP.JOSE A. DE ASSIS</v>
      </c>
      <c r="D247" t="str">
        <f ca="1">IFERROR(__xludf.DUMMYFUNCTION("""COMPUTED_VALUE"""),"01066411000142")</f>
        <v>01066411000142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IFERROR(__xludf.DUMMYFUNCTION("""COMPUTED_VALUE"""),"312770")</f>
        <v>312770</v>
      </c>
      <c r="H247" s="8">
        <f ca="1">IFERROR(__xludf.DUMMYFUNCTION("""COMPUTED_VALUE"""),3003)</f>
        <v>3003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IFERROR(__xludf.DUMMYFUNCTION("""COMPUTED_VALUE"""),"Ponte Alta do Tocantins")</f>
        <v>Ponte Alta do Tocantins</v>
      </c>
      <c r="C248" t="str">
        <f ca="1">IFERROR(__xludf.DUMMYFUNCTION("""COMPUTED_VALUE"""),"ASS. A. AO COL. EST. ODOLFO SOARES")</f>
        <v>ASS. A. AO COL. EST. ODOLFO SOARES</v>
      </c>
      <c r="D248" t="str">
        <f ca="1">IFERROR(__xludf.DUMMYFUNCTION("""COMPUTED_VALUE"""),"01342866000143")</f>
        <v>01342866000143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IFERROR(__xludf.DUMMYFUNCTION("""COMPUTED_VALUE"""),"333921")</f>
        <v>333921</v>
      </c>
      <c r="H248" s="8">
        <f ca="1">IFERROR(__xludf.DUMMYFUNCTION("""COMPUTED_VALUE"""),6510)</f>
        <v>6510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IFERROR(__xludf.DUMMYFUNCTION("""COMPUTED_VALUE"""),"Ponte Alta do Tocantins")</f>
        <v>Ponte Alta do Tocantins</v>
      </c>
      <c r="C249" t="str">
        <f ca="1">IFERROR(__xludf.DUMMYFUNCTION("""COMPUTED_VALUE"""),"ASS. APOIO DA ESCOLA EST. ALCIDES RUFO")</f>
        <v>ASS. APOIO DA ESCOLA EST. ALCIDES RUFO</v>
      </c>
      <c r="D249" t="str">
        <f ca="1">IFERROR(__xludf.DUMMYFUNCTION("""COMPUTED_VALUE"""),"01192931000100")</f>
        <v>01192931000100</v>
      </c>
      <c r="E249" t="str">
        <f ca="1">IFERROR(__xludf.DUMMYFUNCTION("""COMPUTED_VALUE"""),"001")</f>
        <v>001</v>
      </c>
      <c r="F249" t="str">
        <f ca="1">IFERROR(__xludf.DUMMYFUNCTION("""COMPUTED_VALUE"""),"1117")</f>
        <v>1117</v>
      </c>
      <c r="G249" t="str">
        <f ca="1">IFERROR(__xludf.DUMMYFUNCTION("""COMPUTED_VALUE"""),"313785")</f>
        <v>313785</v>
      </c>
      <c r="H249" s="8">
        <f ca="1">IFERROR(__xludf.DUMMYFUNCTION("""COMPUTED_VALUE"""),5586)</f>
        <v>5586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IFERROR(__xludf.DUMMYFUNCTION("""COMPUTED_VALUE"""),"Ponte Alta do Tocantins")</f>
        <v>Ponte Alta do Tocantins</v>
      </c>
      <c r="C250" t="str">
        <f ca="1">IFERROR(__xludf.DUMMYFUNCTION("""COMPUTED_VALUE"""),"ASS. DE APOIO A ESCOLA EST. ESPECIAL AMILSON FRAZÃO DOS REIS")</f>
        <v>ASS. DE APOIO A ESCOLA EST. ESPECIAL AMILSON FRAZÃO DOS REIS</v>
      </c>
      <c r="D250" t="str">
        <f ca="1">IFERROR(__xludf.DUMMYFUNCTION("""COMPUTED_VALUE"""),"20309905000155")</f>
        <v>20309905000155</v>
      </c>
      <c r="E250" t="str">
        <f ca="1">IFERROR(__xludf.DUMMYFUNCTION("""COMPUTED_VALUE"""),"001")</f>
        <v>001</v>
      </c>
      <c r="F250" t="str">
        <f ca="1">IFERROR(__xludf.DUMMYFUNCTION("""COMPUTED_VALUE"""),"1117")</f>
        <v>1117</v>
      </c>
      <c r="G250" t="str">
        <f ca="1">IFERROR(__xludf.DUMMYFUNCTION("""COMPUTED_VALUE"""),"567426")</f>
        <v>567426</v>
      </c>
      <c r="H250" s="8">
        <f ca="1">IFERROR(__xludf.DUMMYFUNCTION("""COMPUTED_VALUE"""),168)</f>
        <v>168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IFERROR(__xludf.DUMMYFUNCTION("""COMPUTED_VALUE"""),"Porto Nacional")</f>
        <v>Porto Nacional</v>
      </c>
      <c r="C251" t="str">
        <f ca="1">IFERROR(__xludf.DUMMYFUNCTION("""COMPUTED_VALUE"""),"ASSOC. DE A.DO CEM PROFº. FLORÊNCIO AIRES DA SILVA")</f>
        <v>ASSOC. DE A.DO CEM PROFº. FLORÊNCIO AIRES DA SILVA</v>
      </c>
      <c r="D251" t="str">
        <f ca="1">IFERROR(__xludf.DUMMYFUNCTION("""COMPUTED_VALUE"""),"01138326000142")</f>
        <v>01138326000142</v>
      </c>
      <c r="E251" t="str">
        <f ca="1">IFERROR(__xludf.DUMMYFUNCTION("""COMPUTED_VALUE"""),"001")</f>
        <v>001</v>
      </c>
      <c r="F251" t="str">
        <f ca="1">IFERROR(__xludf.DUMMYFUNCTION("""COMPUTED_VALUE"""),"1117")</f>
        <v>1117</v>
      </c>
      <c r="G251" t="str">
        <f ca="1">IFERROR(__xludf.DUMMYFUNCTION("""COMPUTED_VALUE"""),"5500X")</f>
        <v>5500X</v>
      </c>
      <c r="H251" s="8">
        <f ca="1">IFERROR(__xludf.DUMMYFUNCTION("""COMPUTED_VALUE"""),2121)</f>
        <v>2121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IFERROR(__xludf.DUMMYFUNCTION("""COMPUTED_VALUE"""),"Porto Nacional")</f>
        <v>Porto Nacional</v>
      </c>
      <c r="C252" t="str">
        <f ca="1">IFERROR(__xludf.DUMMYFUNCTION("""COMPUTED_VALUE"""),"A. E. COM. ESC. CONV. ANGELICA R. ARANHA")</f>
        <v>A. E. COM. ESC. CONV. ANGELICA R. ARANHA</v>
      </c>
      <c r="D252" t="str">
        <f ca="1">IFERROR(__xludf.DUMMYFUNCTION("""COMPUTED_VALUE"""),"01075455000139")</f>
        <v>01075455000139</v>
      </c>
      <c r="E252" t="str">
        <f ca="1">IFERROR(__xludf.DUMMYFUNCTION("""COMPUTED_VALUE"""),"104")</f>
        <v>104</v>
      </c>
      <c r="F252" t="str">
        <f ca="1">IFERROR(__xludf.DUMMYFUNCTION("""COMPUTED_VALUE"""),"1829")</f>
        <v>1829</v>
      </c>
      <c r="G252" t="str">
        <f ca="1">IFERROR(__xludf.DUMMYFUNCTION("""COMPUTED_VALUE"""),"307313")</f>
        <v>307313</v>
      </c>
      <c r="H252" s="8">
        <f ca="1">IFERROR(__xludf.DUMMYFUNCTION("""COMPUTED_VALUE"""),3003)</f>
        <v>3003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IFERROR(__xludf.DUMMYFUNCTION("""COMPUTED_VALUE"""),"Porto Nacional")</f>
        <v>Porto Nacional</v>
      </c>
      <c r="C253" t="str">
        <f ca="1">IFERROR(__xludf.DUMMYFUNCTION("""COMPUTED_VALUE"""),"A.A. ESC. EST. DR.PEDRO LUDOVICO TEIXEIRA")</f>
        <v>A.A. ESC. EST. DR.PEDRO LUDOVICO TEIXEIRA</v>
      </c>
      <c r="D253" t="str">
        <f ca="1">IFERROR(__xludf.DUMMYFUNCTION("""COMPUTED_VALUE"""),"01135997000150")</f>
        <v>01135997000150</v>
      </c>
      <c r="E253" t="str">
        <f ca="1">IFERROR(__xludf.DUMMYFUNCTION("""COMPUTED_VALUE"""),"104")</f>
        <v>104</v>
      </c>
      <c r="F253" t="str">
        <f ca="1">IFERROR(__xludf.DUMMYFUNCTION("""COMPUTED_VALUE"""),"1829")</f>
        <v>1829</v>
      </c>
      <c r="G253" t="str">
        <f ca="1">IFERROR(__xludf.DUMMYFUNCTION("""COMPUTED_VALUE"""),"305949")</f>
        <v>305949</v>
      </c>
      <c r="H253" s="8">
        <f ca="1">IFERROR(__xludf.DUMMYFUNCTION("""COMPUTED_VALUE"""),10374)</f>
        <v>10374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IFERROR(__xludf.DUMMYFUNCTION("""COMPUTED_VALUE"""),"Porto Nacional")</f>
        <v>Porto Nacional</v>
      </c>
      <c r="C254" t="str">
        <f ca="1">IFERROR(__xludf.DUMMYFUNCTION("""COMPUTED_VALUE"""),"A. ESCOL.COM. ESC. EST. MAL.ARTUR C.E SILVA")</f>
        <v>A. ESCOL.COM. ESC. EST. MAL.ARTUR C.E SILVA</v>
      </c>
      <c r="D254" t="str">
        <f ca="1">IFERROR(__xludf.DUMMYFUNCTION("""COMPUTED_VALUE"""),"01112763000197")</f>
        <v>01112763000197</v>
      </c>
      <c r="E254" t="str">
        <f ca="1">IFERROR(__xludf.DUMMYFUNCTION("""COMPUTED_VALUE"""),"104")</f>
        <v>104</v>
      </c>
      <c r="F254" t="str">
        <f ca="1">IFERROR(__xludf.DUMMYFUNCTION("""COMPUTED_VALUE"""),"1829")</f>
        <v>1829</v>
      </c>
      <c r="G254" t="str">
        <f ca="1">IFERROR(__xludf.DUMMYFUNCTION("""COMPUTED_VALUE"""),"307364")</f>
        <v>307364</v>
      </c>
      <c r="H254" s="8">
        <f ca="1">IFERROR(__xludf.DUMMYFUNCTION("""COMPUTED_VALUE"""),4746)</f>
        <v>4746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IFERROR(__xludf.DUMMYFUNCTION("""COMPUTED_VALUE"""),"Porto Nacional")</f>
        <v>Porto Nacional</v>
      </c>
      <c r="C255" t="str">
        <f ca="1">IFERROR(__xludf.DUMMYFUNCTION("""COMPUTED_VALUE"""),"A.A.  ESCOLA ESTADUAL ALFREDO NASSER")</f>
        <v>A.A.  ESCOLA ESTADUAL ALFREDO NASSER</v>
      </c>
      <c r="D255" t="str">
        <f ca="1">IFERROR(__xludf.DUMMYFUNCTION("""COMPUTED_VALUE"""),"01251862000150")</f>
        <v>01251862000150</v>
      </c>
      <c r="E255" t="str">
        <f ca="1">IFERROR(__xludf.DUMMYFUNCTION("""COMPUTED_VALUE"""),"104")</f>
        <v>104</v>
      </c>
      <c r="F255" t="str">
        <f ca="1">IFERROR(__xludf.DUMMYFUNCTION("""COMPUTED_VALUE"""),"1829")</f>
        <v>1829</v>
      </c>
      <c r="G255" t="str">
        <f ca="1">IFERROR(__xludf.DUMMYFUNCTION("""COMPUTED_VALUE"""),"307410")</f>
        <v>307410</v>
      </c>
      <c r="H255" s="8">
        <f ca="1">IFERROR(__xludf.DUMMYFUNCTION("""COMPUTED_VALUE"""),2835)</f>
        <v>2835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IFERROR(__xludf.DUMMYFUNCTION("""COMPUTED_VALUE"""),"Porto Nacional")</f>
        <v>Porto Nacional</v>
      </c>
      <c r="C256" t="str">
        <f ca="1">IFERROR(__xludf.DUMMYFUNCTION("""COMPUTED_VALUE"""),"A.A. ESCOLA ESTADUAL ANA MACEDO MAIA")</f>
        <v>A.A. ESCOLA ESTADUAL ANA MACEDO MAIA</v>
      </c>
      <c r="D256" t="str">
        <f ca="1">IFERROR(__xludf.DUMMYFUNCTION("""COMPUTED_VALUE"""),"01243662000155")</f>
        <v>01243662000155</v>
      </c>
      <c r="E256" t="str">
        <f ca="1">IFERROR(__xludf.DUMMYFUNCTION("""COMPUTED_VALUE"""),"104")</f>
        <v>104</v>
      </c>
      <c r="F256" t="str">
        <f ca="1">IFERROR(__xludf.DUMMYFUNCTION("""COMPUTED_VALUE"""),"1829")</f>
        <v>1829</v>
      </c>
      <c r="G256" t="str">
        <f ca="1">IFERROR(__xludf.DUMMYFUNCTION("""COMPUTED_VALUE"""),"306015")</f>
        <v>306015</v>
      </c>
      <c r="H256" s="8">
        <f ca="1">IFERROR(__xludf.DUMMYFUNCTION("""COMPUTED_VALUE"""),6384)</f>
        <v>6384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IFERROR(__xludf.DUMMYFUNCTION("""COMPUTED_VALUE"""),"A. ESCOLAR COMUN. DA ESC. CONV. BRASIL")</f>
        <v>A. ESCOLAR COMUN. DA ESC. CONV. BRASIL</v>
      </c>
      <c r="D257" t="str">
        <f ca="1">IFERROR(__xludf.DUMMYFUNCTION("""COMPUTED_VALUE"""),"01112471000154")</f>
        <v>01112471000154</v>
      </c>
      <c r="E257" t="str">
        <f ca="1">IFERROR(__xludf.DUMMYFUNCTION("""COMPUTED_VALUE"""),"104")</f>
        <v>104</v>
      </c>
      <c r="F257" t="str">
        <f ca="1">IFERROR(__xludf.DUMMYFUNCTION("""COMPUTED_VALUE"""),"1829")</f>
        <v>1829</v>
      </c>
      <c r="G257" t="str">
        <f ca="1">IFERROR(__xludf.DUMMYFUNCTION("""COMPUTED_VALUE"""),"307402")</f>
        <v>307402</v>
      </c>
      <c r="H257" s="8">
        <f ca="1">IFERROR(__xludf.DUMMYFUNCTION("""COMPUTED_VALUE"""),1827)</f>
        <v>1827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IFERROR(__xludf.DUMMYFUNCTION("""COMPUTED_VALUE"""),"A.A.  ESCOLA ESTADUAL CUSTÓDIA DA SILVA PEDREIRA")</f>
        <v>A.A.  ESCOLA ESTADUAL CUSTÓDIA DA SILVA PEDREIRA</v>
      </c>
      <c r="D258" t="str">
        <f ca="1">IFERROR(__xludf.DUMMYFUNCTION("""COMPUTED_VALUE"""),"01192932000146")</f>
        <v>01192932000146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IFERROR(__xludf.DUMMYFUNCTION("""COMPUTED_VALUE"""),"314080")</f>
        <v>314080</v>
      </c>
      <c r="H258" s="8">
        <f ca="1">IFERROR(__xludf.DUMMYFUNCTION("""COMPUTED_VALUE"""),9534)</f>
        <v>9534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ESC. COM./ESC. EST. D.DOMINGOS CARREROT")</f>
        <v>A. ESC. COM./ESC. EST. D.DOMINGOS CARREROT</v>
      </c>
      <c r="D259" t="str">
        <f ca="1">IFERROR(__xludf.DUMMYFUNCTION("""COMPUTED_VALUE"""),"00900197000115")</f>
        <v>00900197000115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IFERROR(__xludf.DUMMYFUNCTION("""COMPUTED_VALUE"""),"305914")</f>
        <v>305914</v>
      </c>
      <c r="H259" s="8">
        <f ca="1">IFERROR(__xludf.DUMMYFUNCTION("""COMPUTED_VALUE"""),7455)</f>
        <v>7455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ESCOLA ESTADUAL IRMA ASPASIA")</f>
        <v>A.A. ESCOLA ESTADUAL IRMA ASPASIA</v>
      </c>
      <c r="D260" t="str">
        <f ca="1">IFERROR(__xludf.DUMMYFUNCTION("""COMPUTED_VALUE"""),"01136022000146")</f>
        <v>01136022000146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IFERROR(__xludf.DUMMYFUNCTION("""COMPUTED_VALUE"""),"307453")</f>
        <v>307453</v>
      </c>
      <c r="H260" s="8">
        <f ca="1">IFERROR(__xludf.DUMMYFUNCTION("""COMPUTED_VALUE"""),2814)</f>
        <v>2814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IFERROR(__xludf.DUMMYFUNCTION("""COMPUTED_VALUE"""),"A.A. DA ESC. EST. ALCIDES RODRIGUES AIRES")</f>
        <v>A.A. DA ESC. EST. ALCIDES RODRIGUES AIRES</v>
      </c>
      <c r="D261" t="str">
        <f ca="1">IFERROR(__xludf.DUMMYFUNCTION("""COMPUTED_VALUE"""),"03495455000113")</f>
        <v>03495455000113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IFERROR(__xludf.DUMMYFUNCTION("""COMPUTED_VALUE"""),"77143")</f>
        <v>77143</v>
      </c>
      <c r="H261" s="8">
        <f ca="1">IFERROR(__xludf.DUMMYFUNCTION("""COMPUTED_VALUE"""),7812)</f>
        <v>7812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E. E. PROFA. CARMENIA MATOS MAIA")</f>
        <v>A.A. E. E. PROFA. CARMENIA MATOS MAIA</v>
      </c>
      <c r="D262" t="str">
        <f ca="1">IFERROR(__xludf.DUMMYFUNCTION("""COMPUTED_VALUE"""),"01118897000115")</f>
        <v>01118897000115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IFERROR(__xludf.DUMMYFUNCTION("""COMPUTED_VALUE"""),"307399")</f>
        <v>307399</v>
      </c>
      <c r="H262" s="8">
        <f ca="1">IFERROR(__xludf.DUMMYFUNCTION("""COMPUTED_VALUE"""),5271)</f>
        <v>5271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IFERROR(__xludf.DUMMYFUNCTION("""COMPUTED_VALUE"""),"Santa Rita do Tocantins")</f>
        <v>Santa Rita do Tocantins</v>
      </c>
      <c r="C263" t="str">
        <f ca="1">IFERROR(__xludf.DUMMYFUNCTION("""COMPUTED_VALUE"""),"ASS. COM.DE AP.ESC. EST. DE 1 GRAU BOA NOVA")</f>
        <v>ASS. COM.DE AP.ESC. EST. DE 1 GRAU BOA NOVA</v>
      </c>
      <c r="D263" t="str">
        <f ca="1">IFERROR(__xludf.DUMMYFUNCTION("""COMPUTED_VALUE"""),"01856561000150")</f>
        <v>01856561000150</v>
      </c>
      <c r="E263" t="str">
        <f ca="1">IFERROR(__xludf.DUMMYFUNCTION("""COMPUTED_VALUE"""),"001")</f>
        <v>001</v>
      </c>
      <c r="F263" t="str">
        <f ca="1">IFERROR(__xludf.DUMMYFUNCTION("""COMPUTED_VALUE"""),"4107")</f>
        <v>4107</v>
      </c>
      <c r="G263" t="str">
        <f ca="1">IFERROR(__xludf.DUMMYFUNCTION("""COMPUTED_VALUE"""),"320722")</f>
        <v>320722</v>
      </c>
      <c r="H263" s="8">
        <f ca="1">IFERROR(__xludf.DUMMYFUNCTION("""COMPUTED_VALUE"""),1848)</f>
        <v>1848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IFERROR(__xludf.DUMMYFUNCTION("""COMPUTED_VALUE"""),"Santa Rosa do Tocantins")</f>
        <v>Santa Rosa do Tocantins</v>
      </c>
      <c r="C264" t="str">
        <f ca="1">IFERROR(__xludf.DUMMYFUNCTION("""COMPUTED_VALUE"""),"A.A. E. E.PROF.ZACHARIAS NUNES DA SILVEIRA")</f>
        <v>A.A. E. E.PROF.ZACHARIAS NUNES DA SILVEIRA</v>
      </c>
      <c r="D264" t="str">
        <f ca="1">IFERROR(__xludf.DUMMYFUNCTION("""COMPUTED_VALUE"""),"01066420000133")</f>
        <v>01066420000133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IFERROR(__xludf.DUMMYFUNCTION("""COMPUTED_VALUE"""),"0307461")</f>
        <v>0307461</v>
      </c>
      <c r="H264" s="8">
        <f ca="1">IFERROR(__xludf.DUMMYFUNCTION("""COMPUTED_VALUE"""),3276)</f>
        <v>3276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IFERROR(__xludf.DUMMYFUNCTION("""COMPUTED_VALUE"""),"Santa Rosa do Tocantins")</f>
        <v>Santa Rosa do Tocantins</v>
      </c>
      <c r="C265" t="str">
        <f ca="1">IFERROR(__xludf.DUMMYFUNCTION("""COMPUTED_VALUE"""),"A.A. E. E. TENENTE SALVADOR RIBEIRO")</f>
        <v>A.A. E. E. TENENTE SALVADOR RIBEIRO</v>
      </c>
      <c r="D265" t="str">
        <f ca="1">IFERROR(__xludf.DUMMYFUNCTION("""COMPUTED_VALUE"""),"01066424000111")</f>
        <v>01066424000111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IFERROR(__xludf.DUMMYFUNCTION("""COMPUTED_VALUE"""),"332623")</f>
        <v>332623</v>
      </c>
      <c r="H265" s="8">
        <f ca="1">IFERROR(__xludf.DUMMYFUNCTION("""COMPUTED_VALUE"""),609)</f>
        <v>609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IFERROR(__xludf.DUMMYFUNCTION("""COMPUTED_VALUE"""),"Silvanopolis")</f>
        <v>Silvanopolis</v>
      </c>
      <c r="C266" t="str">
        <f ca="1">IFERROR(__xludf.DUMMYFUNCTION("""COMPUTED_VALUE"""),"A.A. DA ESC. EST. JOAO DA SILVA GUIMARAES")</f>
        <v>A.A. DA ESC. EST. JOAO DA SILVA GUIMARAES</v>
      </c>
      <c r="D266" t="str">
        <f ca="1">IFERROR(__xludf.DUMMYFUNCTION("""COMPUTED_VALUE"""),"01557779000103")</f>
        <v>01557779000103</v>
      </c>
      <c r="E266" t="str">
        <f ca="1">IFERROR(__xludf.DUMMYFUNCTION("""COMPUTED_VALUE"""),"001")</f>
        <v>001</v>
      </c>
      <c r="F266" t="str">
        <f ca="1">IFERROR(__xludf.DUMMYFUNCTION("""COMPUTED_VALUE"""),"3980")</f>
        <v>3980</v>
      </c>
      <c r="G266" t="str">
        <f ca="1">IFERROR(__xludf.DUMMYFUNCTION("""COMPUTED_VALUE"""),"51292")</f>
        <v>51292</v>
      </c>
      <c r="H266" s="8">
        <f ca="1">IFERROR(__xludf.DUMMYFUNCTION("""COMPUTED_VALUE"""),6447)</f>
        <v>6447</v>
      </c>
      <c r="I266" t="str">
        <v>E.F. PARCIAL</v>
      </c>
    </row>
    <row r="267" spans="1:9" ht="12.75">
      <c r="A267" t="str">
        <f ca="1">IFERROR(__xludf.DUMMYFUNCTION("""COMPUTED_VALUE"""),"Tocantinópolis")</f>
        <v>Tocantinópolis</v>
      </c>
      <c r="B267" t="str">
        <f ca="1">IFERROR(__xludf.DUMMYFUNCTION("""COMPUTED_VALUE"""),"Aguiarnopolis")</f>
        <v>Aguiarnopolis</v>
      </c>
      <c r="C267" t="str">
        <f ca="1">IFERROR(__xludf.DUMMYFUNCTION("""COMPUTED_VALUE"""),"A.A. DA ESC. EST. NAZARÉ NUNES DA SILVA (AGUIARNOPOLIS)")</f>
        <v>A.A. DA ESC. EST. NAZARÉ NUNES DA SILVA (AGUIARNOPOLIS)</v>
      </c>
      <c r="D267" t="str">
        <f ca="1">IFERROR(__xludf.DUMMYFUNCTION("""COMPUTED_VALUE"""),"01213519000110")</f>
        <v>01213519000110</v>
      </c>
      <c r="E267" t="str">
        <f ca="1">IFERROR(__xludf.DUMMYFUNCTION("""COMPUTED_VALUE"""),"001")</f>
        <v>001</v>
      </c>
      <c r="F267" t="str">
        <f ca="1">IFERROR(__xludf.DUMMYFUNCTION("""COMPUTED_VALUE"""),"0810")</f>
        <v>0810</v>
      </c>
      <c r="G267" t="str">
        <f ca="1">IFERROR(__xludf.DUMMYFUNCTION("""COMPUTED_VALUE"""),"217727")</f>
        <v>217727</v>
      </c>
      <c r="H267" s="8">
        <f ca="1">IFERROR(__xludf.DUMMYFUNCTION("""COMPUTED_VALUE"""),3381)</f>
        <v>3381</v>
      </c>
      <c r="I267" t="str">
        <v>E.F. PARCIAL</v>
      </c>
    </row>
    <row r="268" spans="1:9" ht="12.75">
      <c r="A268" t="str">
        <f ca="1">IFERROR(__xludf.DUMMYFUNCTION("""COMPUTED_VALUE"""),"Tocantinópolis")</f>
        <v>Tocantinópolis</v>
      </c>
      <c r="B268" t="str">
        <f ca="1">IFERROR(__xludf.DUMMYFUNCTION("""COMPUTED_VALUE"""),"Angico")</f>
        <v>Angico</v>
      </c>
      <c r="C268" t="str">
        <f ca="1">IFERROR(__xludf.DUMMYFUNCTION("""COMPUTED_VALUE"""),"ASSOCIAÇÃO DE APOIO DO COL. EST. DULCE COELHO DE SOUSA")</f>
        <v>ASSOCIAÇÃO DE APOIO DO COL. EST. DULCE COELHO DE SOUSA</v>
      </c>
      <c r="D268" t="str">
        <f ca="1">IFERROR(__xludf.DUMMYFUNCTION("""COMPUTED_VALUE"""),"10800992000195")</f>
        <v>10800992000195</v>
      </c>
      <c r="E268" t="str">
        <f ca="1">IFERROR(__xludf.DUMMYFUNCTION("""COMPUTED_VALUE"""),"001")</f>
        <v>001</v>
      </c>
      <c r="F268" t="str">
        <f ca="1">IFERROR(__xludf.DUMMYFUNCTION("""COMPUTED_VALUE"""),"3973")</f>
        <v>3973</v>
      </c>
      <c r="G268" t="str">
        <f ca="1">IFERROR(__xludf.DUMMYFUNCTION("""COMPUTED_VALUE"""),"212792")</f>
        <v>212792</v>
      </c>
      <c r="H268" s="8">
        <f ca="1">IFERROR(__xludf.DUMMYFUNCTION("""COMPUTED_VALUE"""),4389)</f>
        <v>4389</v>
      </c>
      <c r="I268" t="str">
        <v>E.F. PARCIAL</v>
      </c>
    </row>
    <row r="269" spans="1:9" ht="12.75">
      <c r="A269" t="str">
        <f ca="1">IFERROR(__xludf.DUMMYFUNCTION("""COMPUTED_VALUE"""),"Tocantinópolis")</f>
        <v>Tocantinópolis</v>
      </c>
      <c r="B269" t="str">
        <f ca="1">IFERROR(__xludf.DUMMYFUNCTION("""COMPUTED_VALUE"""),"Cachoeirinha")</f>
        <v>Cachoeirinha</v>
      </c>
      <c r="C269" t="str">
        <f ca="1">IFERROR(__xludf.DUMMYFUNCTION("""COMPUTED_VALUE"""),"A.A. E. EST. NOVA DA CACHOEIRINHA/RAIMUNDO NONATO TORRES")</f>
        <v>A.A. E. EST. NOVA DA CACHOEIRINHA/RAIMUNDO NONATO TORRES</v>
      </c>
      <c r="D269" t="str">
        <f ca="1">IFERROR(__xludf.DUMMYFUNCTION("""COMPUTED_VALUE"""),"01213535000103")</f>
        <v>01213535000103</v>
      </c>
      <c r="E269" t="str">
        <f ca="1">IFERROR(__xludf.DUMMYFUNCTION("""COMPUTED_VALUE"""),"001")</f>
        <v>001</v>
      </c>
      <c r="F269" t="str">
        <f ca="1">IFERROR(__xludf.DUMMYFUNCTION("""COMPUTED_VALUE"""),"0810")</f>
        <v>0810</v>
      </c>
      <c r="G269" t="str">
        <f ca="1">IFERROR(__xludf.DUMMYFUNCTION("""COMPUTED_VALUE"""),"0217689")</f>
        <v>0217689</v>
      </c>
      <c r="H269" s="8">
        <f ca="1">IFERROR(__xludf.DUMMYFUNCTION("""COMPUTED_VALUE"""),2583)</f>
        <v>2583</v>
      </c>
      <c r="I269" t="str">
        <v>E.F. PARCIAL</v>
      </c>
    </row>
    <row r="270" spans="1:9" ht="12.75">
      <c r="A270" t="str">
        <f ca="1">IFERROR(__xludf.DUMMYFUNCTION("""COMPUTED_VALUE"""),"Tocantinópolis")</f>
        <v>Tocantinópolis</v>
      </c>
      <c r="B270" t="str">
        <f ca="1">IFERROR(__xludf.DUMMYFUNCTION("""COMPUTED_VALUE"""),"darcinopolis")</f>
        <v>darcinopolis</v>
      </c>
      <c r="C270" t="str">
        <f ca="1">IFERROR(__xludf.DUMMYFUNCTION("""COMPUTED_VALUE"""),"A. APOIO COL. EST. JOSE DE SOUZA PORTO")</f>
        <v>A. APOIO COL. EST. JOSE DE SOUZA PORTO</v>
      </c>
      <c r="D270" t="str">
        <f ca="1">IFERROR(__xludf.DUMMYFUNCTION("""COMPUTED_VALUE"""),"01213532000170")</f>
        <v>01213532000170</v>
      </c>
      <c r="E270" t="str">
        <f ca="1">IFERROR(__xludf.DUMMYFUNCTION("""COMPUTED_VALUE"""),"001")</f>
        <v>001</v>
      </c>
      <c r="F270" t="str">
        <f ca="1">IFERROR(__xludf.DUMMYFUNCTION("""COMPUTED_VALUE"""),"0810")</f>
        <v>0810</v>
      </c>
      <c r="G270" t="str">
        <f ca="1">IFERROR(__xludf.DUMMYFUNCTION("""COMPUTED_VALUE"""),"25739")</f>
        <v>25739</v>
      </c>
      <c r="H270" s="8">
        <f ca="1">IFERROR(__xludf.DUMMYFUNCTION("""COMPUTED_VALUE"""),10521)</f>
        <v>10521</v>
      </c>
      <c r="I270" t="str">
        <v>E.F. PARCIAL</v>
      </c>
    </row>
    <row r="271" spans="1:9" ht="12.75">
      <c r="A271" t="str">
        <f ca="1">IFERROR(__xludf.DUMMYFUNCTION("""COMPUTED_VALUE"""),"Tocantinópolis")</f>
        <v>Tocantinópolis</v>
      </c>
      <c r="B271" t="str">
        <f ca="1">IFERROR(__xludf.DUMMYFUNCTION("""COMPUTED_VALUE"""),"Itaguatins")</f>
        <v>Itaguatins</v>
      </c>
      <c r="C271" t="str">
        <f ca="1">IFERROR(__xludf.DUMMYFUNCTION("""COMPUTED_VALUE"""),"ASS. DE APOIO ESC. EST. OLAVO BILAC")</f>
        <v>ASS. DE APOIO ESC. EST. OLAVO BILAC</v>
      </c>
      <c r="D271" t="str">
        <f ca="1">IFERROR(__xludf.DUMMYFUNCTION("""COMPUTED_VALUE"""),"01358337000138")</f>
        <v>01358337000138</v>
      </c>
      <c r="E271" t="str">
        <f ca="1">IFERROR(__xludf.DUMMYFUNCTION("""COMPUTED_VALUE"""),"001")</f>
        <v>001</v>
      </c>
      <c r="F271" t="str">
        <f ca="1">IFERROR(__xludf.DUMMYFUNCTION("""COMPUTED_VALUE"""),"0810")</f>
        <v>0810</v>
      </c>
      <c r="G271" t="str">
        <f ca="1">IFERROR(__xludf.DUMMYFUNCTION("""COMPUTED_VALUE"""),"218391")</f>
        <v>218391</v>
      </c>
      <c r="H271" s="8">
        <f ca="1">IFERROR(__xludf.DUMMYFUNCTION("""COMPUTED_VALUE"""),1281)</f>
        <v>1281</v>
      </c>
      <c r="I271" t="str">
        <v>E.F. PARCIAL</v>
      </c>
    </row>
    <row r="272" spans="1:9" ht="12.75">
      <c r="A272" t="str">
        <f ca="1">IFERROR(__xludf.DUMMYFUNCTION("""COMPUTED_VALUE"""),"Tocantinópolis")</f>
        <v>Tocantinópolis</v>
      </c>
      <c r="B272" t="str">
        <f ca="1">IFERROR(__xludf.DUMMYFUNCTION("""COMPUTED_VALUE"""),"Luzinopolis")</f>
        <v>Luzinopolis</v>
      </c>
      <c r="C272" t="str">
        <f ca="1">IFERROR(__xludf.DUMMYFUNCTION("""COMPUTED_VALUE"""),"ASS. AP.A ESC. EST. JUSCELINO K.DE OLIVEIRA")</f>
        <v>ASS. AP.A ESC. EST. JUSCELINO K.DE OLIVEIRA</v>
      </c>
      <c r="D272" t="str">
        <f ca="1">IFERROR(__xludf.DUMMYFUNCTION("""COMPUTED_VALUE"""),"01230232000107")</f>
        <v>01230232000107</v>
      </c>
      <c r="E272" t="str">
        <f ca="1">IFERROR(__xludf.DUMMYFUNCTION("""COMPUTED_VALUE"""),"001")</f>
        <v>001</v>
      </c>
      <c r="F272" t="str">
        <f ca="1">IFERROR(__xludf.DUMMYFUNCTION("""COMPUTED_VALUE"""),"0810")</f>
        <v>0810</v>
      </c>
      <c r="G272" t="str">
        <f ca="1">IFERROR(__xludf.DUMMYFUNCTION("""COMPUTED_VALUE"""),"022135X")</f>
        <v>022135X</v>
      </c>
      <c r="H272" s="8">
        <f ca="1">IFERROR(__xludf.DUMMYFUNCTION("""COMPUTED_VALUE"""),4977)</f>
        <v>4977</v>
      </c>
      <c r="I272" t="str">
        <v>E.F. PARCIAL</v>
      </c>
    </row>
    <row r="273" spans="1:9" ht="12.75">
      <c r="A273" t="str">
        <f ca="1">IFERROR(__xludf.DUMMYFUNCTION("""COMPUTED_VALUE"""),"Tocantinópolis")</f>
        <v>Tocantinópolis</v>
      </c>
      <c r="B273" t="str">
        <f ca="1">IFERROR(__xludf.DUMMYFUNCTION("""COMPUTED_VALUE"""),"Maurilandia do Tocantins")</f>
        <v>Maurilandia do Tocantins</v>
      </c>
      <c r="C273" t="str">
        <f ca="1">IFERROR(__xludf.DUMMYFUNCTION("""COMPUTED_VALUE"""),"A.A.  DA ESC. EST.PEDRO LUDOVICO TEIXEIRA")</f>
        <v>A.A.  DA ESC. EST.PEDRO LUDOVICO TEIXEIRA</v>
      </c>
      <c r="D273" t="str">
        <f ca="1">IFERROR(__xludf.DUMMYFUNCTION("""COMPUTED_VALUE"""),"01213528000101")</f>
        <v>01213528000101</v>
      </c>
      <c r="E273" t="str">
        <f ca="1">IFERROR(__xludf.DUMMYFUNCTION("""COMPUTED_VALUE"""),"001")</f>
        <v>001</v>
      </c>
      <c r="F273" t="str">
        <f ca="1">IFERROR(__xludf.DUMMYFUNCTION("""COMPUTED_VALUE"""),"0810")</f>
        <v>0810</v>
      </c>
      <c r="G273" t="str">
        <f ca="1">IFERROR(__xludf.DUMMYFUNCTION("""COMPUTED_VALUE"""),"0217670")</f>
        <v>0217670</v>
      </c>
      <c r="H273" s="8">
        <f ca="1">IFERROR(__xludf.DUMMYFUNCTION("""COMPUTED_VALUE"""),1239)</f>
        <v>1239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IFERROR(__xludf.DUMMYFUNCTION("""COMPUTED_VALUE"""),"Nazare")</f>
        <v>Nazare</v>
      </c>
      <c r="C274" t="str">
        <f ca="1">IFERROR(__xludf.DUMMYFUNCTION("""COMPUTED_VALUE"""),"A.DO COLEGIO EST.PRES.CASTELO BRANCO")</f>
        <v>A.DO COLEGIO EST.PRES.CASTELO BRANCO</v>
      </c>
      <c r="D274" t="str">
        <f ca="1">IFERROR(__xludf.DUMMYFUNCTION("""COMPUTED_VALUE"""),"01213522000134")</f>
        <v>01213522000134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IFERROR(__xludf.DUMMYFUNCTION("""COMPUTED_VALUE"""),"217859")</f>
        <v>217859</v>
      </c>
      <c r="H274" s="8">
        <f ca="1">IFERROR(__xludf.DUMMYFUNCTION("""COMPUTED_VALUE"""),4326)</f>
        <v>4326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IFERROR(__xludf.DUMMYFUNCTION("""COMPUTED_VALUE"""),"Nazare")</f>
        <v>Nazare</v>
      </c>
      <c r="C275" t="str">
        <f ca="1">IFERROR(__xludf.DUMMYFUNCTION("""COMPUTED_VALUE"""),"ASSOC. DE APOIO A ESC. EST.ESPECIAL BEM VIVER")</f>
        <v>ASSOC. DE APOIO A ESC. EST.ESPECIAL BEM VIVER</v>
      </c>
      <c r="D275" t="str">
        <f ca="1">IFERROR(__xludf.DUMMYFUNCTION("""COMPUTED_VALUE"""),"10520927000106")</f>
        <v>10520927000106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IFERROR(__xludf.DUMMYFUNCTION("""COMPUTED_VALUE"""),"200336")</f>
        <v>200336</v>
      </c>
      <c r="H275" s="8">
        <f ca="1">IFERROR(__xludf.DUMMYFUNCTION("""COMPUTED_VALUE"""),399)</f>
        <v>399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IFERROR(__xludf.DUMMYFUNCTION("""COMPUTED_VALUE"""),"Nazare")</f>
        <v>Nazare</v>
      </c>
      <c r="C276" t="str">
        <f ca="1">IFERROR(__xludf.DUMMYFUNCTION("""COMPUTED_VALUE"""),"A.A. ESC. EST. DOM CORNELIO CHIZZINI")</f>
        <v>A.A. ESC. EST. DOM CORNELIO CHIZZINI</v>
      </c>
      <c r="D276" t="str">
        <f ca="1">IFERROR(__xludf.DUMMYFUNCTION("""COMPUTED_VALUE"""),"01230233000143")</f>
        <v>01230233000143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IFERROR(__xludf.DUMMYFUNCTION("""COMPUTED_VALUE"""),"21776X")</f>
        <v>21776X</v>
      </c>
      <c r="H276" s="8">
        <f ca="1">IFERROR(__xludf.DUMMYFUNCTION("""COMPUTED_VALUE"""),1449)</f>
        <v>1449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IFERROR(__xludf.DUMMYFUNCTION("""COMPUTED_VALUE"""),"Nazare")</f>
        <v>Nazare</v>
      </c>
      <c r="C277" t="str">
        <f ca="1">IFERROR(__xludf.DUMMYFUNCTION("""COMPUTED_VALUE"""),"A.A.  DA ESCOLA ESTADUAL PIACAVA")</f>
        <v>A.A.  DA ESCOLA ESTADUAL PIACAVA</v>
      </c>
      <c r="D277" t="str">
        <f ca="1">IFERROR(__xludf.DUMMYFUNCTION("""COMPUTED_VALUE"""),"01230239000110")</f>
        <v>01230239000110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IFERROR(__xludf.DUMMYFUNCTION("""COMPUTED_VALUE"""),"217883")</f>
        <v>217883</v>
      </c>
      <c r="H277" s="8">
        <f ca="1">IFERROR(__xludf.DUMMYFUNCTION("""COMPUTED_VALUE"""),966)</f>
        <v>966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IFERROR(__xludf.DUMMYFUNCTION("""COMPUTED_VALUE"""),"Palmeiras do Tocantins")</f>
        <v>Palmeiras do Tocantins</v>
      </c>
      <c r="C278" t="str">
        <f ca="1">IFERROR(__xludf.DUMMYFUNCTION("""COMPUTED_VALUE"""),"A.A. ESC. EST. RAIMUNDO NEIVA DE CARVALHO")</f>
        <v>A.A. ESC. EST. RAIMUNDO NEIVA DE CARVALHO</v>
      </c>
      <c r="D278" t="str">
        <f ca="1">IFERROR(__xludf.DUMMYFUNCTION("""COMPUTED_VALUE"""),"01213533000114")</f>
        <v>01213533000114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IFERROR(__xludf.DUMMYFUNCTION("""COMPUTED_VALUE"""),"0027529")</f>
        <v>0027529</v>
      </c>
      <c r="H278" s="8">
        <f ca="1">IFERROR(__xludf.DUMMYFUNCTION("""COMPUTED_VALUE"""),4830)</f>
        <v>4830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IFERROR(__xludf.DUMMYFUNCTION("""COMPUTED_VALUE"""),"Palmeiras do Tocantins")</f>
        <v>Palmeiras do Tocantins</v>
      </c>
      <c r="C279" t="str">
        <f ca="1">IFERROR(__xludf.DUMMYFUNCTION("""COMPUTED_VALUE"""),"A. DE APOIO DA E. E. PE. CESARE LELLI")</f>
        <v>A. DE APOIO DA E. E. PE. CESARE LELLI</v>
      </c>
      <c r="D279" t="str">
        <f ca="1">IFERROR(__xludf.DUMMYFUNCTION("""COMPUTED_VALUE"""),"03778873000118")</f>
        <v>03778873000118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IFERROR(__xludf.DUMMYFUNCTION("""COMPUTED_VALUE"""),"82007")</f>
        <v>82007</v>
      </c>
      <c r="H279" s="8">
        <f ca="1">IFERROR(__xludf.DUMMYFUNCTION("""COMPUTED_VALUE"""),4263)</f>
        <v>4263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IFERROR(__xludf.DUMMYFUNCTION("""COMPUTED_VALUE"""),"Santa Terezinha do Tocantins")</f>
        <v>Santa Terezinha do Tocantins</v>
      </c>
      <c r="C280" t="str">
        <f ca="1">IFERROR(__xludf.DUMMYFUNCTION("""COMPUTED_VALUE"""),"ASS. A. ESC. EST. DR JOSE FELICIANO FERREIRA")</f>
        <v>ASS. A. ESC. EST. DR JOSE FELICIANO FERREIRA</v>
      </c>
      <c r="D280" t="str">
        <f ca="1">IFERROR(__xludf.DUMMYFUNCTION("""COMPUTED_VALUE"""),"01077441000154")</f>
        <v>01077441000154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IFERROR(__xludf.DUMMYFUNCTION("""COMPUTED_VALUE"""),"0026085")</f>
        <v>0026085</v>
      </c>
      <c r="H280" s="8">
        <f ca="1">IFERROR(__xludf.DUMMYFUNCTION("""COMPUTED_VALUE"""),1302)</f>
        <v>1302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IFERROR(__xludf.DUMMYFUNCTION("""COMPUTED_VALUE"""),"Tocantinopolis")</f>
        <v>Tocantinopolis</v>
      </c>
      <c r="C281" t="str">
        <f ca="1">IFERROR(__xludf.DUMMYFUNCTION("""COMPUTED_VALUE"""),"ASSOC. APOIO AO COLÉGIODOM ORIONE")</f>
        <v>ASSOC. APOIO AO COLÉGIODOM ORIONE</v>
      </c>
      <c r="D281" t="str">
        <f ca="1">IFERROR(__xludf.DUMMYFUNCTION("""COMPUTED_VALUE"""),"13033002000129")</f>
        <v>13033002000129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IFERROR(__xludf.DUMMYFUNCTION("""COMPUTED_VALUE"""),"254193")</f>
        <v>254193</v>
      </c>
      <c r="H281" s="8">
        <f ca="1">IFERROR(__xludf.DUMMYFUNCTION("""COMPUTED_VALUE"""),3948)</f>
        <v>3948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IFERROR(__xludf.DUMMYFUNCTION("""COMPUTED_VALUE"""),"Tocantinopolis")</f>
        <v>Tocantinopolis</v>
      </c>
      <c r="C282" t="str">
        <f ca="1">IFERROR(__xludf.DUMMYFUNCTION("""COMPUTED_VALUE"""),"A.A. DO COL.PADRAO/JOSÉ CARNEIRO DE BRITO")</f>
        <v>A.A. DO COL.PADRAO/JOSÉ CARNEIRO DE BRITO</v>
      </c>
      <c r="D282" t="str">
        <f ca="1">IFERROR(__xludf.DUMMYFUNCTION("""COMPUTED_VALUE"""),"03880040000163")</f>
        <v>03880040000163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IFERROR(__xludf.DUMMYFUNCTION("""COMPUTED_VALUE"""),"81884")</f>
        <v>81884</v>
      </c>
      <c r="H282" s="8">
        <f ca="1">IFERROR(__xludf.DUMMYFUNCTION("""COMPUTED_VALUE"""),3675)</f>
        <v>3675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IFERROR(__xludf.DUMMYFUNCTION("""COMPUTED_VALUE"""),"Tocantinopolis")</f>
        <v>Tocantinopolis</v>
      </c>
      <c r="C283" t="str">
        <f ca="1">IFERROR(__xludf.DUMMYFUNCTION("""COMPUTED_VALUE"""),"ASSOCIAÇÃO DE APOIO A ESCOLA ESPECIAL UM PASSO DIFERENTE -APAE")</f>
        <v>ASSOCIAÇÃO DE APOIO A ESCOLA ESPECIAL UM PASSO DIFERENTE -APAE</v>
      </c>
      <c r="D283" t="str">
        <f ca="1">IFERROR(__xludf.DUMMYFUNCTION("""COMPUTED_VALUE"""),"08012610000117")</f>
        <v>08012610000117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IFERROR(__xludf.DUMMYFUNCTION("""COMPUTED_VALUE"""),"204250")</f>
        <v>204250</v>
      </c>
      <c r="H283" s="8">
        <f ca="1">IFERROR(__xludf.DUMMYFUNCTION("""COMPUTED_VALUE"""),189)</f>
        <v>189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IFERROR(__xludf.DUMMYFUNCTION("""COMPUTED_VALUE"""),"Tocantinopolis")</f>
        <v>Tocantinopolis</v>
      </c>
      <c r="C284" t="str">
        <f ca="1">IFERROR(__xludf.DUMMYFUNCTION("""COMPUTED_VALUE"""),"A. ESCOLAR COM. PE. GIULIANO MORETTI")</f>
        <v>A. ESCOLAR COM. PE. GIULIANO MORETTI</v>
      </c>
      <c r="D284" t="str">
        <f ca="1">IFERROR(__xludf.DUMMYFUNCTION("""COMPUTED_VALUE"""),"00900202000190")</f>
        <v>00900202000190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IFERROR(__xludf.DUMMYFUNCTION("""COMPUTED_VALUE"""),"217484")</f>
        <v>217484</v>
      </c>
      <c r="H284" s="8">
        <f ca="1">IFERROR(__xludf.DUMMYFUNCTION("""COMPUTED_VALUE"""),3024)</f>
        <v>3024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IFERROR(__xludf.DUMMYFUNCTION("""COMPUTED_VALUE"""),"Tocantinopolis")</f>
        <v>Tocantinopolis</v>
      </c>
      <c r="C285" t="str">
        <f ca="1">IFERROR(__xludf.DUMMYFUNCTION("""COMPUTED_VALUE"""),"A. DA ESCOLA PAROQUIAL CRISTO REI")</f>
        <v>A. DA ESCOLA PAROQUIAL CRISTO REI</v>
      </c>
      <c r="D285" t="str">
        <f ca="1">IFERROR(__xludf.DUMMYFUNCTION("""COMPUTED_VALUE"""),"02026329000157")</f>
        <v>02026329000157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IFERROR(__xludf.DUMMYFUNCTION("""COMPUTED_VALUE"""),"58149")</f>
        <v>58149</v>
      </c>
      <c r="H285" s="8">
        <f ca="1">IFERROR(__xludf.DUMMYFUNCTION("""COMPUTED_VALUE"""),9324)</f>
        <v>9324</v>
      </c>
      <c r="I285" t="str">
        <v>E.F. PARCIAL</v>
      </c>
    </row>
    <row r="286" spans="1:9" ht="12.75">
      <c r="I286" t="str">
        <v/>
      </c>
    </row>
    <row r="287" spans="1:9" ht="12.75">
      <c r="I287" t="str">
        <v/>
      </c>
    </row>
    <row r="288" spans="1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0" t="str">
        <f ca="1">IFERROR(__xludf.DUMMYFUNCTION("QUERY(REP_EST_PARC!A5:Z1000,""SELECT A,B,C,D,E,F,G,K WHERE K&gt;0 label K 'QUILOMB'"")"),"Araguaina")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20" t="str">
        <f ca="1">IFERROR(__xludf.DUMMYFUNCTION("""COMPUTED_VALUE"""),"QUILOMB")</f>
        <v>QUILOMB</v>
      </c>
      <c r="I1" s="22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0" t="str">
        <f ca="1">IFERROR(__xludf.DUMMYFUNCTION("QUERY(REP_EST_PARC!A5:Z1000,""SELECT A,B,C,D,E,F,G,L WHERE L&gt;0 label L 'INDIGENA'"")"),"Araguaina")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18" t="str">
        <f ca="1">IFERROR(__xludf.DUMMYFUNCTION("""COMPUTED_VALUE"""),"INDIGENA")</f>
        <v>INDIGENA</v>
      </c>
      <c r="I1" s="22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3</v>
      </c>
      <c r="B5" s="82" t="s">
        <v>4</v>
      </c>
      <c r="C5" s="82" t="s">
        <v>5</v>
      </c>
      <c r="D5" s="83" t="str">
        <f ca="1">"UNIDADES EXECUTORAS = " &amp; SUBTOTAL(3,D7:D417)</f>
        <v>UNIDADES EXECUTORAS = 406</v>
      </c>
      <c r="E5" s="84" t="s">
        <v>7</v>
      </c>
      <c r="F5" s="82" t="s">
        <v>3</v>
      </c>
      <c r="G5" s="82" t="s">
        <v>8</v>
      </c>
      <c r="H5" s="85" t="s">
        <v>0</v>
      </c>
      <c r="I5" s="85" t="s">
        <v>1</v>
      </c>
      <c r="J5" s="86" t="s">
        <v>2</v>
      </c>
      <c r="K5" s="87" t="s">
        <v>9</v>
      </c>
      <c r="L5" s="87" t="s">
        <v>10</v>
      </c>
      <c r="M5" s="88" t="s">
        <v>11</v>
      </c>
      <c r="N5" s="88" t="s">
        <v>12</v>
      </c>
      <c r="O5" s="89" t="s">
        <v>121</v>
      </c>
      <c r="P5" s="90" t="s">
        <v>13</v>
      </c>
      <c r="Q5" s="90" t="s">
        <v>14</v>
      </c>
      <c r="R5" s="91" t="s">
        <v>15</v>
      </c>
      <c r="S5" s="92" t="s">
        <v>16</v>
      </c>
      <c r="T5" s="93" t="s">
        <v>17</v>
      </c>
      <c r="U5" s="93" t="s">
        <v>18</v>
      </c>
      <c r="V5" s="94" t="s">
        <v>19</v>
      </c>
      <c r="W5" s="95" t="s">
        <v>20</v>
      </c>
      <c r="X5" s="96" t="s">
        <v>21</v>
      </c>
      <c r="Y5" s="97" t="s">
        <v>22</v>
      </c>
      <c r="Z5" s="98" t="s">
        <v>23</v>
      </c>
      <c r="AA5" s="88"/>
      <c r="AB5" s="93"/>
      <c r="AC5" s="99"/>
      <c r="AD5" s="100" t="s">
        <v>24</v>
      </c>
      <c r="AE5" s="101" t="s">
        <v>25</v>
      </c>
      <c r="AF5" s="102" t="s">
        <v>26</v>
      </c>
      <c r="AG5" s="103" t="s">
        <v>27</v>
      </c>
      <c r="AH5" s="103" t="s">
        <v>28</v>
      </c>
      <c r="AI5" s="103" t="s">
        <v>29</v>
      </c>
      <c r="AJ5" s="103" t="s">
        <v>30</v>
      </c>
      <c r="AK5" s="104" t="s">
        <v>31</v>
      </c>
      <c r="AL5" s="105" t="s">
        <v>32</v>
      </c>
    </row>
    <row r="6" spans="1:38" ht="23.25" customHeight="1">
      <c r="A6" s="106" t="str">
        <f ca="1">IFERROR(__xludf.DUMMYFUNCTION("QUERY(BDADOS!A5:AJ1004,""SELECT A,B,C,D,E,F,G,H,I,J"",1)"),"17052050")</f>
        <v>17052050</v>
      </c>
      <c r="B6" s="107" t="str">
        <f ca="1">IFERROR(__xludf.DUMMYFUNCTION("""COMPUTED_VALUE"""),"Araguaina")</f>
        <v>Araguaina</v>
      </c>
      <c r="C6" s="107" t="str">
        <f ca="1">IFERROR(__xludf.DUMMYFUNCTION("""COMPUTED_VALUE"""),"Ananas")</f>
        <v>Ananas</v>
      </c>
      <c r="D6" s="107" t="str">
        <f ca="1">IFERROR(__xludf.DUMMYFUNCTION("""COMPUTED_VALUE"""),"ASSOC. DE APOIO DO CENTRO DE ENSINO MÉDIO CABO APARICIO ARAÚJO PAZ")</f>
        <v>ASSOC. DE APOIO DO CENTRO DE ENSINO MÉDIO CABO APARICIO ARAÚJO PAZ</v>
      </c>
      <c r="E6" s="107" t="str">
        <f ca="1">IFERROR(__xludf.DUMMYFUNCTION("""COMPUTED_VALUE"""),"Centro de Ensino Médio Cabo Aparicio Araujo Paz")</f>
        <v>Centro de Ensino Médio Cabo Aparicio Araujo Paz</v>
      </c>
      <c r="F6" s="108" t="str">
        <f ca="1">IFERROR(__xludf.DUMMYFUNCTION("""COMPUTED_VALUE"""),"17052050")</f>
        <v>17052050</v>
      </c>
      <c r="G6" s="107" t="str">
        <f ca="1">IFERROR(__xludf.DUMMYFUNCTION("""COMPUTED_VALUE"""),"05537116000188")</f>
        <v>05537116000188</v>
      </c>
      <c r="H6" s="108" t="str">
        <f ca="1">IFERROR(__xludf.DUMMYFUNCTION("""COMPUTED_VALUE"""),"001")</f>
        <v>001</v>
      </c>
      <c r="I6" s="108" t="str">
        <f ca="1">IFERROR(__xludf.DUMMYFUNCTION("""COMPUTED_VALUE"""),"3973")</f>
        <v>3973</v>
      </c>
      <c r="J6" s="108" t="str">
        <f ca="1">IFERROR(__xludf.DUMMYFUNCTION("""COMPUTED_VALUE"""),"114510")</f>
        <v>114510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AD,AE,AF,AG,AH,AI,AJ"",1)"),"")</f>
        <v/>
      </c>
      <c r="AE6" s="107" t="str">
        <f ca="1">IFERROR(__xludf.DUMMYFUNCTION("""COMPUTED_VALUE"""),"Parcial")</f>
        <v>Parcial</v>
      </c>
      <c r="AF6" s="107" t="str">
        <f ca="1">IFERROR(__xludf.DUMMYFUNCTION("""COMPUTED_VALUE"""),"FE")</f>
        <v>FE</v>
      </c>
      <c r="AG6" s="107"/>
      <c r="AH6" s="107"/>
      <c r="AI6" s="107"/>
      <c r="AJ6" s="107"/>
      <c r="AK6" s="107"/>
      <c r="AL6" s="112"/>
    </row>
    <row r="7" spans="1:38" ht="12.75">
      <c r="A7" s="113" t="str">
        <f ca="1">IFERROR(__xludf.DUMMYFUNCTION("""COMPUTED_VALUE"""),"17000017")</f>
        <v>17000017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IFERROR(__xludf.DUMMYFUNCTION("""COMPUTED_VALUE"""),"ASS. APOIO COL. EST. GETULIO VARGAS")</f>
        <v>ASS. APOIO COL. EST. GETULIO VARGAS</v>
      </c>
      <c r="E7" s="114" t="str">
        <f ca="1">IFERROR(__xludf.DUMMYFUNCTION("""COMPUTED_VALUE"""),"Colégio Estadual Getúlio Vargas")</f>
        <v>Colégio Estadual Getúlio Vargas</v>
      </c>
      <c r="F7" s="116" t="str">
        <f ca="1">IFERROR(__xludf.DUMMYFUNCTION("""COMPUTED_VALUE"""),"17000017")</f>
        <v>17000017</v>
      </c>
      <c r="G7" s="114" t="str">
        <f ca="1">IFERROR(__xludf.DUMMYFUNCTION("""COMPUTED_VALUE"""),"01296368000101")</f>
        <v>01296368000101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IFERROR(__xludf.DUMMYFUNCTION("""COMPUTED_VALUE"""),"55778")</f>
        <v>55778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>
        <f ca="1">IFERROR(__xludf.DUMMYFUNCTION("""COMPUTED_VALUE"""),0)</f>
        <v>0</v>
      </c>
      <c r="AH7" s="114">
        <f ca="1">IFERROR(__xludf.DUMMYFUNCTION("""COMPUTED_VALUE"""),0)</f>
        <v>0</v>
      </c>
      <c r="AI7" s="114">
        <f ca="1">IFERROR(__xludf.DUMMYFUNCTION("""COMPUTED_VALUE"""),0)</f>
        <v>0</v>
      </c>
      <c r="AJ7" s="114">
        <f ca="1">IFERROR(__xludf.DUMMYFUNCTION("""COMPUTED_VALUE"""),0)</f>
        <v>0</v>
      </c>
      <c r="AK7" s="114"/>
      <c r="AL7" s="117"/>
    </row>
    <row r="8" spans="1:38" ht="12.75">
      <c r="A8" s="113" t="str">
        <f ca="1">IFERROR(__xludf.DUMMYFUNCTION("""COMPUTED_VALUE"""),"17000041")</f>
        <v>17000041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IFERROR(__xludf.DUMMYFUNCTION("""COMPUTED_VALUE"""),"A.A. ESC. EST. PRES. COSTA E SILVA")</f>
        <v>A.A. ESC. EST. PRES. COSTA E SILVA</v>
      </c>
      <c r="E8" s="114" t="str">
        <f ca="1">IFERROR(__xludf.DUMMYFUNCTION("""COMPUTED_VALUE"""),"Escola Estadual Presidente Costa e Silva")</f>
        <v>Escola Estadual Presidente Costa e Silva</v>
      </c>
      <c r="F8" s="116" t="str">
        <f ca="1">IFERROR(__xludf.DUMMYFUNCTION("""COMPUTED_VALUE"""),"17000041")</f>
        <v>17000041</v>
      </c>
      <c r="G8" s="114" t="str">
        <f ca="1">IFERROR(__xludf.DUMMYFUNCTION("""COMPUTED_VALUE"""),"02026325000179")</f>
        <v>02026325000179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IFERROR(__xludf.DUMMYFUNCTION("""COMPUTED_VALUE"""),"55786")</f>
        <v>55786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IFERROR(__xludf.DUMMYFUNCTION("""COMPUTED_VALUE"""),"17000173")</f>
        <v>17000173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DA ESC.PAR.SAO PEDRO/CONVENIADA")</f>
        <v>A.A. DA ESC.PAR.SAO PEDRO/CONVENIADA</v>
      </c>
      <c r="E9" s="114" t="str">
        <f ca="1">IFERROR(__xludf.DUMMYFUNCTION("""COMPUTED_VALUE"""),"Escola Paroquial São Pedro - Conveniada")</f>
        <v>Escola Paroquial São Pedro - Conveniada</v>
      </c>
      <c r="F9" s="116" t="str">
        <f ca="1">IFERROR(__xludf.DUMMYFUNCTION("""COMPUTED_VALUE"""),"17000173")</f>
        <v>17000173</v>
      </c>
      <c r="G9" s="114" t="str">
        <f ca="1">IFERROR(__xludf.DUMMYFUNCTION("""COMPUTED_VALUE"""),"01911081000144")</f>
        <v>01911081000144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IFERROR(__xludf.DUMMYFUNCTION("""COMPUTED_VALUE"""),"67350")</f>
        <v>67350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IFERROR(__xludf.DUMMYFUNCTION("""COMPUTED_VALUE"""),"17004918")</f>
        <v>17004918</v>
      </c>
      <c r="B10" s="114" t="str">
        <f ca="1">IFERROR(__xludf.DUMMYFUNCTION("""COMPUTED_VALUE"""),"Araguaina")</f>
        <v>Araguaina</v>
      </c>
      <c r="C10" s="114" t="str">
        <f ca="1">IFERROR(__xludf.DUMMYFUNCTION("""COMPUTED_VALUE"""),"Aragominas")</f>
        <v>Aragominas</v>
      </c>
      <c r="D10" s="115" t="str">
        <f ca="1">IFERROR(__xludf.DUMMYFUNCTION("""COMPUTED_VALUE"""),"ASSOCIAÇÃO DE APOIO DO COL. EST.GETULIO VARGAS")</f>
        <v>ASSOCIAÇÃO DE APOIO DO COL. EST.GETULIO VARGAS</v>
      </c>
      <c r="E10" s="114" t="str">
        <f ca="1">IFERROR(__xludf.DUMMYFUNCTION("""COMPUTED_VALUE"""),"Colégio Estadual Getúlio Vargas")</f>
        <v>Colégio Estadual Getúlio Vargas</v>
      </c>
      <c r="F10" s="116" t="str">
        <f ca="1">IFERROR(__xludf.DUMMYFUNCTION("""COMPUTED_VALUE"""),"17004918")</f>
        <v>17004918</v>
      </c>
      <c r="G10" s="114" t="str">
        <f ca="1">IFERROR(__xludf.DUMMYFUNCTION("""COMPUTED_VALUE"""),"01918914000107")</f>
        <v>01918914000107</v>
      </c>
      <c r="H10" s="116" t="str">
        <f ca="1">IFERROR(__xludf.DUMMYFUNCTION("""COMPUTED_VALUE"""),"001")</f>
        <v>001</v>
      </c>
      <c r="I10" s="116" t="str">
        <f ca="1">IFERROR(__xludf.DUMMYFUNCTION("""COMPUTED_VALUE"""),"0638")</f>
        <v>0638</v>
      </c>
      <c r="J10" s="116" t="str">
        <f ca="1">IFERROR(__xludf.DUMMYFUNCTION("""COMPUTED_VALUE"""),"83224")</f>
        <v>83224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IFERROR(__xludf.DUMMYFUNCTION("""COMPUTED_VALUE"""),"17056691")</f>
        <v>17056691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IFERROR(__xludf.DUMMYFUNCTION("""COMPUTED_VALUE"""),"A.A.DA ESCOLA EST. JOSÉ DOMINGOS CARVALHO BARBOSA")</f>
        <v>A.A.DA ESCOLA EST. JOSÉ DOMINGOS CARVALHO BARBOSA</v>
      </c>
      <c r="E11" s="114" t="str">
        <f ca="1">IFERROR(__xludf.DUMMYFUNCTION("""COMPUTED_VALUE"""),"A.A.da Escola Estadual José Domingos Carvalho Barbosa")</f>
        <v>A.A.da Escola Estadual José Domingos Carvalho Barbosa</v>
      </c>
      <c r="F11" s="116" t="str">
        <f ca="1">IFERROR(__xludf.DUMMYFUNCTION("""COMPUTED_VALUE"""),"17056691")</f>
        <v>17056691</v>
      </c>
      <c r="G11" s="114" t="str">
        <f ca="1">IFERROR(__xludf.DUMMYFUNCTION("""COMPUTED_VALUE"""),"43927472000105")</f>
        <v>43927472000105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IFERROR(__xludf.DUMMYFUNCTION("""COMPUTED_VALUE"""),"1098985")</f>
        <v>1098985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IFERROR(__xludf.DUMMYFUNCTION("""COMPUTED_VALUE"""),"17120802")</f>
        <v>17120802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IFERROR(__xludf.DUMMYFUNCTION("""COMPUTED_VALUE"""),"Araguaina")</f>
        <v>Araguaina</v>
      </c>
      <c r="D12" s="115" t="str">
        <f ca="1">IFERROR(__xludf.DUMMYFUNCTION("""COMPUTED_VALUE"""),"A.A. DAS ESCOLAS ISOLADAS E REUNIDAS DA DRE ARAGUAINA")</f>
        <v>A.A. DAS ESCOLAS ISOLADAS E REUNIDAS DA DRE ARAGUAINA</v>
      </c>
      <c r="E12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2" s="116" t="str">
        <f ca="1">IFERROR(__xludf.DUMMYFUNCTION("""COMPUTED_VALUE"""),"17120802")</f>
        <v>17120802</v>
      </c>
      <c r="G12" s="114" t="str">
        <f ca="1">IFERROR(__xludf.DUMMYFUNCTION("""COMPUTED_VALUE"""),"02629601000193")</f>
        <v>02629601000193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IFERROR(__xludf.DUMMYFUNCTION("""COMPUTED_VALUE"""),"352403")</f>
        <v>352403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IFERROR(__xludf.DUMMYFUNCTION("""COMPUTED_VALUE"""),"17039878")</f>
        <v>17039878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DO CAIC JORGE HUMBERTO CAMARGO")</f>
        <v>A.A. DO CAIC JORGE HUMBERTO CAMARGO</v>
      </c>
      <c r="E13" s="114" t="str">
        <f ca="1">IFERROR(__xludf.DUMMYFUNCTION("""COMPUTED_VALUE"""),"Caic - Jorge Humberto Camargo")</f>
        <v>Caic - Jorge Humberto Camargo</v>
      </c>
      <c r="F13" s="116" t="str">
        <f ca="1">IFERROR(__xludf.DUMMYFUNCTION("""COMPUTED_VALUE"""),"17039878")</f>
        <v>17039878</v>
      </c>
      <c r="G13" s="114" t="str">
        <f ca="1">IFERROR(__xludf.DUMMYFUNCTION("""COMPUTED_VALUE"""),"01071395000186")</f>
        <v>01071395000186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IFERROR(__xludf.DUMMYFUNCTION("""COMPUTED_VALUE"""),"55099X")</f>
        <v>55099X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IFERROR(__xludf.DUMMYFUNCTION("""COMPUTED_VALUE"""),47)</f>
        <v>47</v>
      </c>
      <c r="AK13" s="114"/>
      <c r="AL13" s="117"/>
    </row>
    <row r="14" spans="1:38" ht="12.75">
      <c r="A14" s="113" t="str">
        <f ca="1">IFERROR(__xludf.DUMMYFUNCTION("""COMPUTED_VALUE"""),"17004985")</f>
        <v>17004985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IFERROR(__xludf.DUMMYFUNCTION("""COMPUTED_VALUE"""),"ASSOC. A. COL. EST. BENJAMIM JOSÉ DE ALMEIDA")</f>
        <v>ASSOC. A. COL. EST. BENJAMIM JOSÉ DE ALMEIDA</v>
      </c>
      <c r="E14" s="114" t="str">
        <f ca="1">IFERROR(__xludf.DUMMYFUNCTION("""COMPUTED_VALUE"""),"Centro de Ensino Médio Benjamim José de Almeida")</f>
        <v>Centro de Ensino Médio Benjamim José de Almeida</v>
      </c>
      <c r="F14" s="116" t="str">
        <f ca="1">IFERROR(__xludf.DUMMYFUNCTION("""COMPUTED_VALUE"""),"17004985")</f>
        <v>17004985</v>
      </c>
      <c r="G14" s="114" t="str">
        <f ca="1">IFERROR(__xludf.DUMMYFUNCTION("""COMPUTED_VALUE"""),"01136023000190")</f>
        <v>01136023000190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IFERROR(__xludf.DUMMYFUNCTION("""COMPUTED_VALUE"""),"55149X")</f>
        <v>55149X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IFERROR(__xludf.DUMMYFUNCTION("""COMPUTED_VALUE"""),19)</f>
        <v>19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IFERROR(__xludf.DUMMYFUNCTION("""COMPUTED_VALUE"""),0)</f>
        <v>0</v>
      </c>
      <c r="AK14" s="114"/>
      <c r="AL14" s="117"/>
    </row>
    <row r="15" spans="1:38" ht="12.75">
      <c r="A15" s="113" t="str">
        <f ca="1">IFERROR(__xludf.DUMMYFUNCTION("""COMPUTED_VALUE"""),"17005000")</f>
        <v>17005000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DE PAIS, ALUNOS E MESTRES COL. EST. POLIVALENTE CASTELO BRANCO")</f>
        <v>ASSOC. DE PAIS, ALUNOS E MESTRES COL. EST. POLIVALENTE CASTELO BRANCO</v>
      </c>
      <c r="E15" s="114" t="str">
        <f ca="1">IFERROR(__xludf.DUMMYFUNCTION("""COMPUTED_VALUE"""),"Centro de Ensino Médio Castelo Branco")</f>
        <v>Centro de Ensino Médio Castelo Branco</v>
      </c>
      <c r="F15" s="116" t="str">
        <f ca="1">IFERROR(__xludf.DUMMYFUNCTION("""COMPUTED_VALUE"""),"17005000")</f>
        <v>17005000</v>
      </c>
      <c r="G15" s="114" t="str">
        <f ca="1">IFERROR(__xludf.DUMMYFUNCTION("""COMPUTED_VALUE"""),"00918900000112")</f>
        <v>00918900000112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IFERROR(__xludf.DUMMYFUNCTION("""COMPUTED_VALUE"""),"12599")</f>
        <v>12599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IFERROR(__xludf.DUMMYFUNCTION("""COMPUTED_VALUE"""),"Integral")</f>
        <v>Integral</v>
      </c>
      <c r="AF15" s="114" t="str">
        <f ca="1">IFERROR(__xludf.DUMMYFUNCTION("""COMPUTED_VALUE"""),"FE")</f>
        <v>FE</v>
      </c>
      <c r="AG15" s="114">
        <f ca="1">IFERROR(__xludf.DUMMYFUNCTION("""COMPUTED_VALUE"""),10)</f>
        <v>10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IFERROR(__xludf.DUMMYFUNCTION("""COMPUTED_VALUE"""),"17046270")</f>
        <v>17046270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A.  DO COLÉGIO DA POLICIA MILITAR - UNIDADE III")</f>
        <v>ASSOC. A.  DO COLÉGIO DA POLICIA MILITAR - UNIDADE III</v>
      </c>
      <c r="E16" s="114" t="str">
        <f ca="1">IFERROR(__xludf.DUMMYFUNCTION("""COMPUTED_VALUE"""),"Centro de Ensino Médio Doutor José Aluísio da Silva Luz")</f>
        <v>Centro de Ensino Médio Doutor José Aluísio da Silva Luz</v>
      </c>
      <c r="F16" s="116" t="str">
        <f ca="1">IFERROR(__xludf.DUMMYFUNCTION("""COMPUTED_VALUE"""),"17046270")</f>
        <v>17046270</v>
      </c>
      <c r="G16" s="114" t="str">
        <f ca="1">IFERROR(__xludf.DUMMYFUNCTION("""COMPUTED_VALUE"""),"02480178000102")</f>
        <v>02480178000102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IFERROR(__xludf.DUMMYFUNCTION("""COMPUTED_VALUE"""),"552291")</f>
        <v>552291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IFERROR(__xludf.DUMMYFUNCTION("""COMPUTED_VALUE"""),"Parcial")</f>
        <v>Parcial</v>
      </c>
      <c r="AF16" s="114" t="str">
        <f ca="1">IFERROR(__xludf.DUMMYFUNCTION("""COMPUTED_VALUE"""),"FE")</f>
        <v>FE</v>
      </c>
      <c r="AG16" s="114">
        <f ca="1">IFERROR(__xludf.DUMMYFUNCTION("""COMPUTED_VALUE"""),0)</f>
        <v>0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IFERROR(__xludf.DUMMYFUNCTION("""COMPUTED_VALUE"""),"17004950")</f>
        <v>17004950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APOIO COL. EST. CEM PAULO FREIRE")</f>
        <v>ASSOC. APOIO COL. EST. CEM PAULO FREIRE</v>
      </c>
      <c r="E17" s="114" t="str">
        <f ca="1">IFERROR(__xludf.DUMMYFUNCTION("""COMPUTED_VALUE"""),"Centro de Ensino Médio Paulo Freire")</f>
        <v>Centro de Ensino Médio Paulo Freire</v>
      </c>
      <c r="F17" s="116" t="str">
        <f ca="1">IFERROR(__xludf.DUMMYFUNCTION("""COMPUTED_VALUE"""),"17004950")</f>
        <v>17004950</v>
      </c>
      <c r="G17" s="114" t="str">
        <f ca="1">IFERROR(__xludf.DUMMYFUNCTION("""COMPUTED_VALUE"""),"01738420000132")</f>
        <v>01738420000132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IFERROR(__xludf.DUMMYFUNCTION("""COMPUTED_VALUE"""),"551589")</f>
        <v>551589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IFERROR(__xludf.DUMMYFUNCTION("""COMPUTED_VALUE"""),16)</f>
        <v>16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IFERROR(__xludf.DUMMYFUNCTION("""COMPUTED_VALUE"""),"17005094")</f>
        <v>17005094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IFERROR(__xludf.DUMMYFUNCTION("""COMPUTED_VALUE"""),"A. APOIO DO COLEGIO DE APLICACAO")</f>
        <v>A. APOIO DO COLEGIO DE APLICACAO</v>
      </c>
      <c r="E18" s="114" t="str">
        <f ca="1">IFERROR(__xludf.DUMMYFUNCTION("""COMPUTED_VALUE"""),"Colégio de Aplicação")</f>
        <v>Colégio de Aplicação</v>
      </c>
      <c r="F18" s="116" t="str">
        <f ca="1">IFERROR(__xludf.DUMMYFUNCTION("""COMPUTED_VALUE"""),"17005094")</f>
        <v>17005094</v>
      </c>
      <c r="G18" s="114" t="str">
        <f ca="1">IFERROR(__xludf.DUMMYFUNCTION("""COMPUTED_VALUE"""),"01086986000127")</f>
        <v>01086986000127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IFERROR(__xludf.DUMMYFUNCTION("""COMPUTED_VALUE"""),"0465275")</f>
        <v>0465275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IFERROR(__xludf.DUMMYFUNCTION("""COMPUTED_VALUE"""),0)</f>
        <v>0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IFERROR(__xludf.DUMMYFUNCTION("""COMPUTED_VALUE"""),"17005248")</f>
        <v>17005248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IFERROR(__xludf.DUMMYFUNCTION("""COMPUTED_VALUE"""),"A.A. C.E. ADEMAR V. FERREIRA SOBRINHO")</f>
        <v>A.A. C.E. ADEMAR V. FERREIRA SOBRINHO</v>
      </c>
      <c r="E19" s="114" t="str">
        <f ca="1">IFERROR(__xludf.DUMMYFUNCTION("""COMPUTED_VALUE"""),"Colégio Estadual Ademar Vicente Ferreira Sobrinho")</f>
        <v>Colégio Estadual Ademar Vicente Ferreira Sobrinho</v>
      </c>
      <c r="F19" s="116" t="str">
        <f ca="1">IFERROR(__xludf.DUMMYFUNCTION("""COMPUTED_VALUE"""),"17005248")</f>
        <v>17005248</v>
      </c>
      <c r="G19" s="114" t="str">
        <f ca="1">IFERROR(__xludf.DUMMYFUNCTION("""COMPUTED_VALUE"""),"01143808000190")</f>
        <v>01143808000190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IFERROR(__xludf.DUMMYFUNCTION("""COMPUTED_VALUE"""),"0464244")</f>
        <v>0464244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IFERROR(__xludf.DUMMYFUNCTION("""COMPUTED_VALUE"""),"17004977")</f>
        <v>17004977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 ADOLFO BEZERRA DE MENEZES")</f>
        <v>A.A. C.E.  ADOLFO BEZERRA DE MENEZES</v>
      </c>
      <c r="E20" s="114" t="str">
        <f ca="1">IFERROR(__xludf.DUMMYFUNCTION("""COMPUTED_VALUE"""),"Colégio Estadual Adolfo Bezerra de Menezes")</f>
        <v>Colégio Estadual Adolfo Bezerra de Menezes</v>
      </c>
      <c r="F20" s="116" t="str">
        <f ca="1">IFERROR(__xludf.DUMMYFUNCTION("""COMPUTED_VALUE"""),"17004977")</f>
        <v>17004977</v>
      </c>
      <c r="G20" s="114" t="str">
        <f ca="1">IFERROR(__xludf.DUMMYFUNCTION("""COMPUTED_VALUE"""),"01071435000190")</f>
        <v>01071435000190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IFERROR(__xludf.DUMMYFUNCTION("""COMPUTED_VALUE"""),"463426")</f>
        <v>463426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IFERROR(__xludf.DUMMYFUNCTION("""COMPUTED_VALUE"""),"Parcial/Integral")</f>
        <v>Parcial/Integral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IFERROR(__xludf.DUMMYFUNCTION("""COMPUTED_VALUE"""),"17005264")</f>
        <v>17005264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 APOIO ESCOLA EST. CAMPOS BRASIL")</f>
        <v>A. APOIO ESCOLA EST. CAMPOS BRASIL</v>
      </c>
      <c r="E21" s="114" t="str">
        <f ca="1">IFERROR(__xludf.DUMMYFUNCTION("""COMPUTED_VALUE"""),"Colégio Estadual Campos Brasil")</f>
        <v>Colégio Estadual Campos Brasil</v>
      </c>
      <c r="F21" s="116" t="str">
        <f ca="1">IFERROR(__xludf.DUMMYFUNCTION("""COMPUTED_VALUE"""),"17005264")</f>
        <v>17005264</v>
      </c>
      <c r="G21" s="114" t="str">
        <f ca="1">IFERROR(__xludf.DUMMYFUNCTION("""COMPUTED_VALUE"""),"01291177000157")</f>
        <v>01291177000157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IFERROR(__xludf.DUMMYFUNCTION("""COMPUTED_VALUE"""),"466093")</f>
        <v>466093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IFERROR(__xludf.DUMMYFUNCTION("""COMPUTED_VALUE"""),"Parcial")</f>
        <v>Parcial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IFERROR(__xludf.DUMMYFUNCTION("""COMPUTED_VALUE"""),"17004993")</f>
        <v>17004993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IFERROR(__xludf.DUMMYFUNCTION("""COMPUTED_VALUE"""),"A.A. COL. ESTADUAL GUILHERME DOURADO")</f>
        <v>A.A. COL. ESTADUAL GUILHERME DOURADO</v>
      </c>
      <c r="E22" s="114" t="str">
        <f ca="1">IFERROR(__xludf.DUMMYFUNCTION("""COMPUTED_VALUE"""),"Colégio Estadual Guilherme dourado")</f>
        <v>Colégio Estadual Guilherme dourado</v>
      </c>
      <c r="F22" s="116" t="str">
        <f ca="1">IFERROR(__xludf.DUMMYFUNCTION("""COMPUTED_VALUE"""),"17004993")</f>
        <v>17004993</v>
      </c>
      <c r="G22" s="114" t="str">
        <f ca="1">IFERROR(__xludf.DUMMYFUNCTION("""COMPUTED_VALUE"""),"01257074000170")</f>
        <v>01257074000170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IFERROR(__xludf.DUMMYFUNCTION("""COMPUTED_VALUE"""),"0068659")</f>
        <v>0068659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 t="str">
        <f ca="1">IFERROR(__xludf.DUMMYFUNCTION("""COMPUTED_VALUE"""),"INDIGENA /QUILOMBOLA PARCIAL")</f>
        <v>INDIGENA /QUILOMBOLA PARCIAL</v>
      </c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IFERROR(__xludf.DUMMYFUNCTION("""COMPUTED_VALUE"""),"17052068")</f>
        <v>17052068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IFERROR(__xludf.DUMMYFUNCTION("""COMPUTED_VALUE"""),"ASS. APOIO COL. EST. JARDIM PAULISTA")</f>
        <v>ASS. APOIO COL. EST. JARDIM PAULISTA</v>
      </c>
      <c r="E23" s="114" t="str">
        <f ca="1">IFERROR(__xludf.DUMMYFUNCTION("""COMPUTED_VALUE"""),"Colégio Estadual Jardim Paulista")</f>
        <v>Colégio Estadual Jardim Paulista</v>
      </c>
      <c r="F23" s="116" t="str">
        <f ca="1">IFERROR(__xludf.DUMMYFUNCTION("""COMPUTED_VALUE"""),"17052068")</f>
        <v>17052068</v>
      </c>
      <c r="G23" s="114" t="str">
        <f ca="1">IFERROR(__xludf.DUMMYFUNCTION("""COMPUTED_VALUE"""),"05502542000186")</f>
        <v>05502542000186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IFERROR(__xludf.DUMMYFUNCTION("""COMPUTED_VALUE"""),"243876")</f>
        <v>243876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/>
      <c r="AE23" s="114" t="str">
        <f ca="1">IFERROR(__xludf.DUMMYFUNCTION("""COMPUTED_VALUE"""),"Integral")</f>
        <v>Integral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IFERROR(__xludf.DUMMYFUNCTION("""COMPUTED_VALUE"""),"17005370")</f>
        <v>17005370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IFERROR(__xludf.DUMMYFUNCTION("""COMPUTED_VALUE"""),"A.APOIO COL. ESTADUAL JORGE AMADO")</f>
        <v>A.APOIO COL. ESTADUAL JORGE AMADO</v>
      </c>
      <c r="E24" s="114" t="str">
        <f ca="1">IFERROR(__xludf.DUMMYFUNCTION("""COMPUTED_VALUE"""),"Colégio Estadual Jorge Amado")</f>
        <v>Colégio Estadual Jorge Amado</v>
      </c>
      <c r="F24" s="116" t="str">
        <f ca="1">IFERROR(__xludf.DUMMYFUNCTION("""COMPUTED_VALUE"""),"17005370")</f>
        <v>17005370</v>
      </c>
      <c r="G24" s="114" t="str">
        <f ca="1">IFERROR(__xludf.DUMMYFUNCTION("""COMPUTED_VALUE"""),"01291218000105")</f>
        <v>01291218000105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IFERROR(__xludf.DUMMYFUNCTION("""COMPUTED_VALUE"""),"0467006")</f>
        <v>0467006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IFERROR(__xludf.DUMMYFUNCTION("""COMPUTED_VALUE"""),"Parcial")</f>
        <v>Parcial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IFERROR(__xludf.DUMMYFUNCTION("""COMPUTED_VALUE"""),"17005337")</f>
        <v>17005337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IFERROR(__xludf.DUMMYFUNCTION("""COMPUTED_VALUE"""),"A.A. C.E.  PROF. SILVANDIRA SOUSA LIMA")</f>
        <v>A.A. C.E.  PROF. SILVANDIRA SOUSA LIMA</v>
      </c>
      <c r="E25" s="114" t="str">
        <f ca="1">IFERROR(__xludf.DUMMYFUNCTION("""COMPUTED_VALUE"""),"Colégio Estadual Professora Silvandira Sousa Lima")</f>
        <v>Colégio Estadual Professora Silvandira Sousa Lima</v>
      </c>
      <c r="F25" s="116" t="str">
        <f ca="1">IFERROR(__xludf.DUMMYFUNCTION("""COMPUTED_VALUE"""),"17005337")</f>
        <v>17005337</v>
      </c>
      <c r="G25" s="114" t="str">
        <f ca="1">IFERROR(__xludf.DUMMYFUNCTION("""COMPUTED_VALUE"""),"01071403000194")</f>
        <v>01071403000194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IFERROR(__xludf.DUMMYFUNCTION("""COMPUTED_VALUE"""),"0463922")</f>
        <v>0463922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IFERROR(__xludf.DUMMYFUNCTION("""COMPUTED_VALUE"""),"17005019")</f>
        <v>17005019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COLEGIO ESTADUAL RUI BARBOSA")</f>
        <v>A.A. COLEGIO ESTADUAL RUI BARBOSA</v>
      </c>
      <c r="E26" s="114" t="str">
        <f ca="1">IFERROR(__xludf.DUMMYFUNCTION("""COMPUTED_VALUE"""),"Colégio Estadual Rui Barbosa")</f>
        <v>Colégio Estadual Rui Barbosa</v>
      </c>
      <c r="F26" s="116" t="str">
        <f ca="1">IFERROR(__xludf.DUMMYFUNCTION("""COMPUTED_VALUE"""),"17005019")</f>
        <v>17005019</v>
      </c>
      <c r="G26" s="114" t="str">
        <f ca="1">IFERROR(__xludf.DUMMYFUNCTION("""COMPUTED_VALUE"""),"01071440000100")</f>
        <v>01071440000100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IFERROR(__xludf.DUMMYFUNCTION("""COMPUTED_VALUE"""),"0463787")</f>
        <v>0463787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IFERROR(__xludf.DUMMYFUNCTION("""COMPUTED_VALUE"""),10)</f>
        <v>10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IFERROR(__xludf.DUMMYFUNCTION("""COMPUTED_VALUE"""),"17056969")</f>
        <v>17056969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IFERROR(__xludf.DUMMYFUNCTION("""COMPUTED_VALUE"""),"A.A.ESCOLA TEMPO INTEGRAL JARDENIR JORGE FREDERICO")</f>
        <v>A.A.ESCOLA TEMPO INTEGRAL JARDENIR JORGE FREDERICO</v>
      </c>
      <c r="E27" s="114" t="str">
        <f ca="1">IFERROR(__xludf.DUMMYFUNCTION("""COMPUTED_VALUE"""),"Escola Estadual de Tempo Integral Jardenir Jorge Frederico")</f>
        <v>Escola Estadual de Tempo Integral Jardenir Jorge Frederico</v>
      </c>
      <c r="F27" s="116" t="str">
        <f ca="1">IFERROR(__xludf.DUMMYFUNCTION("""COMPUTED_VALUE"""),"17056969")</f>
        <v>17056969</v>
      </c>
      <c r="G27" s="114" t="str">
        <f ca="1">IFERROR(__xludf.DUMMYFUNCTION("""COMPUTED_VALUE"""),"43361835000180")</f>
        <v>43361835000180</v>
      </c>
      <c r="H27" s="116" t="str">
        <f ca="1">IFERROR(__xludf.DUMMYFUNCTION("""COMPUTED_VALUE"""),"001")</f>
        <v>001</v>
      </c>
      <c r="I27" s="116" t="str">
        <f ca="1">IFERROR(__xludf.DUMMYFUNCTION("""COMPUTED_VALUE"""),"4348")</f>
        <v>4348</v>
      </c>
      <c r="J27" s="116" t="str">
        <f ca="1">IFERROR(__xludf.DUMMYFUNCTION("""COMPUTED_VALUE"""),"434795")</f>
        <v>434795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IFERROR(__xludf.DUMMYFUNCTION("""COMPUTED_VALUE"""),"Integral")</f>
        <v>Integral</v>
      </c>
      <c r="AF27" s="114" t="str">
        <f ca="1">IFERROR(__xludf.DUMMYFUNCTION("""COMPUTED_VALUE"""),"FE")</f>
        <v>FE</v>
      </c>
      <c r="AG27" s="114">
        <f ca="1">IFERROR(__xludf.DUMMYFUNCTION("""COMPUTED_VALUE"""),0)</f>
        <v>0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IFERROR(__xludf.DUMMYFUNCTION("""COMPUTED_VALUE"""),53)</f>
        <v>53</v>
      </c>
      <c r="AK27" s="114"/>
      <c r="AL27" s="117"/>
    </row>
    <row r="28" spans="1:38" ht="12.75">
      <c r="A28" s="113" t="str">
        <f ca="1">IFERROR(__xludf.DUMMYFUNCTION("""COMPUTED_VALUE"""),"17036918")</f>
        <v>17036918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 ESCOLA TEMPO INTEGRAL DOMINGOS DA CRUZ MACHADO")</f>
        <v>A.A. ESCOLA TEMPO INTEGRAL DOMINGOS DA CRUZ MACHADO</v>
      </c>
      <c r="E28" s="114" t="str">
        <f ca="1">IFERROR(__xludf.DUMMYFUNCTION("""COMPUTED_VALUE"""),"Escola de Tempo Integral Domingos da Cruz Machado")</f>
        <v>Escola de Tempo Integral Domingos da Cruz Machado</v>
      </c>
      <c r="F28" s="116" t="str">
        <f ca="1">IFERROR(__xludf.DUMMYFUNCTION("""COMPUTED_VALUE"""),"17036918")</f>
        <v>17036918</v>
      </c>
      <c r="G28" s="114" t="str">
        <f ca="1">IFERROR(__xludf.DUMMYFUNCTION("""COMPUTED_VALUE"""),"49868761000159")</f>
        <v>49868761000159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IFERROR(__xludf.DUMMYFUNCTION("""COMPUTED_VALUE"""),"460192")</f>
        <v>460192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IFERROR(__xludf.DUMMYFUNCTION("""COMPUTED_VALUE"""),30)</f>
        <v>30</v>
      </c>
      <c r="AK28" s="114"/>
      <c r="AL28" s="117"/>
    </row>
    <row r="29" spans="1:38" ht="12.75">
      <c r="A29" s="113" t="str">
        <f ca="1">IFERROR(__xludf.DUMMYFUNCTION("""COMPUTED_VALUE"""),"17005299")</f>
        <v>17005299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ESC. EST. DEP.FED.JOSE A. DE ASSIS")</f>
        <v>A.A. ESC. EST. DEP.FED.JOSE A. DE ASSIS</v>
      </c>
      <c r="E29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29" s="116" t="str">
        <f ca="1">IFERROR(__xludf.DUMMYFUNCTION("""COMPUTED_VALUE"""),"17005299")</f>
        <v>17005299</v>
      </c>
      <c r="G29" s="114" t="str">
        <f ca="1">IFERROR(__xludf.DUMMYFUNCTION("""COMPUTED_VALUE"""),"01186464000105")</f>
        <v>01186464000105</v>
      </c>
      <c r="H29" s="116" t="str">
        <f ca="1">IFERROR(__xludf.DUMMYFUNCTION("""COMPUTED_VALUE"""),"001")</f>
        <v>001</v>
      </c>
      <c r="I29" s="116" t="str">
        <f ca="1">IFERROR(__xludf.DUMMYFUNCTION("""COMPUTED_VALUE"""),"0638")</f>
        <v>0638</v>
      </c>
      <c r="J29" s="116" t="str">
        <f ca="1">IFERROR(__xludf.DUMMYFUNCTION("""COMPUTED_VALUE"""),"465089")</f>
        <v>465089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 t="str">
        <f ca="1">IFERROR(__xludf.DUMMYFUNCTION("""COMPUTED_VALUE"""),"E.M. INTEGRADO")</f>
        <v>E.M. INTEGRADO</v>
      </c>
      <c r="AE29" s="114" t="str">
        <f ca="1">IFERROR(__xludf.DUMMYFUNCTION("""COMPUTED_VALUE"""),"Parcial")</f>
        <v>Parcial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IFERROR(__xludf.DUMMYFUNCTION("""COMPUTED_VALUE"""),0)</f>
        <v>0</v>
      </c>
      <c r="AK29" s="114"/>
      <c r="AL29" s="117"/>
    </row>
    <row r="30" spans="1:38" ht="12.75">
      <c r="A30" s="113" t="str">
        <f ca="1">IFERROR(__xludf.DUMMYFUNCTION("""COMPUTED_VALUE"""),"17004942")</f>
        <v>17004942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IFERROR(__xludf.DUMMYFUNCTION("""COMPUTED_VALUE"""),"ASSOCIAÇÃO DE APOIO DA ESCOLA ESPECIAL RAIO DE LUZ APAE ARAGUAÍNA")</f>
        <v>ASSOCIAÇÃO DE APOIO DA ESCOLA ESPECIAL RAIO DE LUZ APAE ARAGUAÍNA</v>
      </c>
      <c r="E30" s="114" t="str">
        <f ca="1">IFERROR(__xludf.DUMMYFUNCTION("""COMPUTED_VALUE"""),"Escola Especial Raios de Luz - Apae")</f>
        <v>Escola Especial Raios de Luz - Apae</v>
      </c>
      <c r="F30" s="116" t="str">
        <f ca="1">IFERROR(__xludf.DUMMYFUNCTION("""COMPUTED_VALUE"""),"17004942")</f>
        <v>17004942</v>
      </c>
      <c r="G30" s="114" t="str">
        <f ca="1">IFERROR(__xludf.DUMMYFUNCTION("""COMPUTED_VALUE"""),"07953043000130")</f>
        <v>07953043000130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IFERROR(__xludf.DUMMYFUNCTION("""COMPUTED_VALUE"""),"379921")</f>
        <v>379921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/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IFERROR(__xludf.DUMMYFUNCTION("""COMPUTED_VALUE"""),"17005230")</f>
        <v>17005230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IFERROR(__xludf.DUMMYFUNCTION("""COMPUTED_VALUE"""),"A.A.  ESCOLA ESPIRITA ANDRE LUIZ")</f>
        <v>A.A.  ESCOLA ESPIRITA ANDRE LUIZ</v>
      </c>
      <c r="E31" s="114" t="str">
        <f ca="1">IFERROR(__xludf.DUMMYFUNCTION("""COMPUTED_VALUE"""),"Escola Espírita André Luiz")</f>
        <v>Escola Espírita André Luiz</v>
      </c>
      <c r="F31" s="116" t="str">
        <f ca="1">IFERROR(__xludf.DUMMYFUNCTION("""COMPUTED_VALUE"""),"17005230")</f>
        <v>17005230</v>
      </c>
      <c r="G31" s="114" t="str">
        <f ca="1">IFERROR(__xludf.DUMMYFUNCTION("""COMPUTED_VALUE"""),"01066416000175")</f>
        <v>01066416000175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IFERROR(__xludf.DUMMYFUNCTION("""COMPUTED_VALUE"""),"463582")</f>
        <v>463582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IFERROR(__xludf.DUMMYFUNCTION("""COMPUTED_VALUE"""),15)</f>
        <v>15</v>
      </c>
      <c r="AK31" s="114"/>
      <c r="AL31" s="117"/>
    </row>
    <row r="32" spans="1:38" ht="12.75">
      <c r="A32" s="113" t="str">
        <f ca="1">IFERROR(__xludf.DUMMYFUNCTION("""COMPUTED_VALUE"""),"17005329")</f>
        <v>17005329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ESC. E.FRANCISCO MAXIMO DE SOUZA")</f>
        <v>A.A. ESC. E.FRANCISCO MAXIMO DE SOUZA</v>
      </c>
      <c r="E32" s="114" t="str">
        <f ca="1">IFERROR(__xludf.DUMMYFUNCTION("""COMPUTED_VALUE"""),"Escola Estadual Francisco Máximo de Sousa")</f>
        <v>Escola Estadual Francisco Máximo de Sousa</v>
      </c>
      <c r="F32" s="116" t="str">
        <f ca="1">IFERROR(__xludf.DUMMYFUNCTION("""COMPUTED_VALUE"""),"17005329")</f>
        <v>17005329</v>
      </c>
      <c r="G32" s="114" t="str">
        <f ca="1">IFERROR(__xludf.DUMMYFUNCTION("""COMPUTED_VALUE"""),"01345127000105")</f>
        <v>01345127000105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IFERROR(__xludf.DUMMYFUNCTION("""COMPUTED_VALUE"""),"0463167")</f>
        <v>0463167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IFERROR(__xludf.DUMMYFUNCTION("""COMPUTED_VALUE"""),0)</f>
        <v>0</v>
      </c>
      <c r="AK32" s="114"/>
      <c r="AL32" s="117"/>
    </row>
    <row r="33" spans="1:38" ht="12.75">
      <c r="A33" s="113" t="str">
        <f ca="1">IFERROR(__xludf.DUMMYFUNCTION("""COMPUTED_VALUE"""),"17005027")</f>
        <v>17005027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IFERROR(__xludf.DUMMYFUNCTION("""COMPUTED_VALUE"""),"ASS. COM. COL EST. SANCHA FERREIRA")</f>
        <v>ASS. COM. COL EST. SANCHA FERREIRA</v>
      </c>
      <c r="E33" s="114" t="str">
        <f ca="1">IFERROR(__xludf.DUMMYFUNCTION("""COMPUTED_VALUE"""),"Escola Estadual Girassol de Tempo Integral Sancha Ferreira")</f>
        <v>Escola Estadual Girassol de Tempo Integral Sancha Ferreira</v>
      </c>
      <c r="F33" s="116" t="str">
        <f ca="1">IFERROR(__xludf.DUMMYFUNCTION("""COMPUTED_VALUE"""),"17005027")</f>
        <v>17005027</v>
      </c>
      <c r="G33" s="114" t="str">
        <f ca="1">IFERROR(__xludf.DUMMYFUNCTION("""COMPUTED_VALUE"""),"01338702000142")</f>
        <v>01338702000142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IFERROR(__xludf.DUMMYFUNCTION("""COMPUTED_VALUE"""),"0466913")</f>
        <v>0466913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IFERROR(__xludf.DUMMYFUNCTION("""COMPUTED_VALUE"""),13)</f>
        <v>13</v>
      </c>
      <c r="AK33" s="114"/>
      <c r="AL33" s="117"/>
    </row>
    <row r="34" spans="1:38" ht="12.75">
      <c r="A34" s="113" t="str">
        <f ca="1">IFERROR(__xludf.DUMMYFUNCTION("""COMPUTED_VALUE"""),"17005345")</f>
        <v>17005345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IFERROR(__xludf.DUMMYFUNCTION("""COMPUTED_VALUE"""),"A.A. ESC. HENRIQUE CIRQUEIRA AMORIM")</f>
        <v>A.A. ESC. HENRIQUE CIRQUEIRA AMORIM</v>
      </c>
      <c r="E34" s="114" t="str">
        <f ca="1">IFERROR(__xludf.DUMMYFUNCTION("""COMPUTED_VALUE"""),"Escola Estadual Henrique Cirqueira Amorim")</f>
        <v>Escola Estadual Henrique Cirqueira Amorim</v>
      </c>
      <c r="F34" s="116" t="str">
        <f ca="1">IFERROR(__xludf.DUMMYFUNCTION("""COMPUTED_VALUE"""),"17005345")</f>
        <v>17005345</v>
      </c>
      <c r="G34" s="114" t="str">
        <f ca="1">IFERROR(__xludf.DUMMYFUNCTION("""COMPUTED_VALUE"""),"01088234000103")</f>
        <v>01088234000103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IFERROR(__xludf.DUMMYFUNCTION("""COMPUTED_VALUE"""),"0465194")</f>
        <v>0465194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IFERROR(__xludf.DUMMYFUNCTION("""COMPUTED_VALUE"""),0)</f>
        <v>0</v>
      </c>
      <c r="AK34" s="114"/>
      <c r="AL34" s="117"/>
    </row>
    <row r="35" spans="1:38" ht="12.75">
      <c r="A35" s="113" t="str">
        <f ca="1">IFERROR(__xludf.DUMMYFUNCTION("""COMPUTED_VALUE"""),"17005353")</f>
        <v>17005353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EST. JOAO GUILHERME L. KUNZE")</f>
        <v>A.A. ESC. EST. JOAO GUILHERME L. KUNZE</v>
      </c>
      <c r="E35" s="114" t="str">
        <f ca="1">IFERROR(__xludf.DUMMYFUNCTION("""COMPUTED_VALUE"""),"Escola Estadual João Guilherme Leite Kunze")</f>
        <v>Escola Estadual João Guilherme Leite Kunze</v>
      </c>
      <c r="F35" s="116" t="str">
        <f ca="1">IFERROR(__xludf.DUMMYFUNCTION("""COMPUTED_VALUE"""),"17005353")</f>
        <v>17005353</v>
      </c>
      <c r="G35" s="114" t="str">
        <f ca="1">IFERROR(__xludf.DUMMYFUNCTION("""COMPUTED_VALUE"""),"01071400000150")</f>
        <v>01071400000150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IFERROR(__xludf.DUMMYFUNCTION("""COMPUTED_VALUE"""),"0463639")</f>
        <v>0463639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IFERROR(__xludf.DUMMYFUNCTION("""COMPUTED_VALUE"""),"17005400")</f>
        <v>17005400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MANOEL GOMES DA CUNHA")</f>
        <v>A.A. ESC. EST. MANOEL GOMES DA CUNHA</v>
      </c>
      <c r="E36" s="114" t="str">
        <f ca="1">IFERROR(__xludf.DUMMYFUNCTION("""COMPUTED_VALUE"""),"Escola Estadual Manoel Gomes da Cunha")</f>
        <v>Escola Estadual Manoel Gomes da Cunha</v>
      </c>
      <c r="F36" s="116" t="str">
        <f ca="1">IFERROR(__xludf.DUMMYFUNCTION("""COMPUTED_VALUE"""),"17005400")</f>
        <v>17005400</v>
      </c>
      <c r="G36" s="114" t="str">
        <f ca="1">IFERROR(__xludf.DUMMYFUNCTION("""COMPUTED_VALUE"""),"01443216000194")</f>
        <v>01443216000194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IFERROR(__xludf.DUMMYFUNCTION("""COMPUTED_VALUE"""),"0468355")</f>
        <v>0468355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IFERROR(__xludf.DUMMYFUNCTION("""COMPUTED_VALUE"""),"Integral")</f>
        <v>Integral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IFERROR(__xludf.DUMMYFUNCTION("""COMPUTED_VALUE"""),"17005396")</f>
        <v>17005396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ESCOLA ESTADUAL MAL. RONDON")</f>
        <v>A.A. ESCOLA ESTADUAL MAL. RONDON</v>
      </c>
      <c r="E37" s="114" t="str">
        <f ca="1">IFERROR(__xludf.DUMMYFUNCTION("""COMPUTED_VALUE"""),"Escola Estadual Marechal Rondon")</f>
        <v>Escola Estadual Marechal Rondon</v>
      </c>
      <c r="F37" s="116" t="str">
        <f ca="1">IFERROR(__xludf.DUMMYFUNCTION("""COMPUTED_VALUE"""),"17005396")</f>
        <v>17005396</v>
      </c>
      <c r="G37" s="114" t="str">
        <f ca="1">IFERROR(__xludf.DUMMYFUNCTION("""COMPUTED_VALUE"""),"01068349000128")</f>
        <v>01068349000128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IFERROR(__xludf.DUMMYFUNCTION("""COMPUTED_VALUE"""),"046368X")</f>
        <v>046368X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IFERROR(__xludf.DUMMYFUNCTION("""COMPUTED_VALUE"""),"Parcial")</f>
        <v>Parcial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IFERROR(__xludf.DUMMYFUNCTION("""COMPUTED_VALUE"""),"17005426")</f>
        <v>17005426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 DE A.DA ESCOLA ESTADUAL MODELO")</f>
        <v>A. DE A.DA ESCOLA ESTADUAL MODELO</v>
      </c>
      <c r="E38" s="114" t="str">
        <f ca="1">IFERROR(__xludf.DUMMYFUNCTION("""COMPUTED_VALUE"""),"Escola Estadual Modelo")</f>
        <v>Escola Estadual Modelo</v>
      </c>
      <c r="F38" s="116" t="str">
        <f ca="1">IFERROR(__xludf.DUMMYFUNCTION("""COMPUTED_VALUE"""),"17005426")</f>
        <v>17005426</v>
      </c>
      <c r="G38" s="114" t="str">
        <f ca="1">IFERROR(__xludf.DUMMYFUNCTION("""COMPUTED_VALUE"""),"01133696000197")</f>
        <v>01133696000197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IFERROR(__xludf.DUMMYFUNCTION("""COMPUTED_VALUE"""),"484520")</f>
        <v>484520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IFERROR(__xludf.DUMMYFUNCTION("""COMPUTED_VALUE"""),"17005442")</f>
        <v>17005442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IFERROR(__xludf.DUMMYFUNCTION("""COMPUTED_VALUE"""),"A.A. ESC. E.NORTE GOIANO DE ARAGUAINA")</f>
        <v>A.A. ESC. E.NORTE GOIANO DE ARAGUAINA</v>
      </c>
      <c r="E39" s="114" t="str">
        <f ca="1">IFERROR(__xludf.DUMMYFUNCTION("""COMPUTED_VALUE"""),"Escola Estadual Norte Goiano")</f>
        <v>Escola Estadual Norte Goiano</v>
      </c>
      <c r="F39" s="116" t="str">
        <f ca="1">IFERROR(__xludf.DUMMYFUNCTION("""COMPUTED_VALUE"""),"17005442")</f>
        <v>17005442</v>
      </c>
      <c r="G39" s="114" t="str">
        <f ca="1">IFERROR(__xludf.DUMMYFUNCTION("""COMPUTED_VALUE"""),"01195483000190")</f>
        <v>01195483000190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IFERROR(__xludf.DUMMYFUNCTION("""COMPUTED_VALUE"""),"0464724")</f>
        <v>0464724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IFERROR(__xludf.DUMMYFUNCTION("""COMPUTED_VALUE"""),"Integral")</f>
        <v>Integral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IFERROR(__xludf.DUMMYFUNCTION("""COMPUTED_VALUE"""),"17005477")</f>
        <v>17005477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ESCOLA EST.PROF.ALFREDO NASSER")</f>
        <v>A.A. ESCOLA EST.PROF.ALFREDO NASSER</v>
      </c>
      <c r="E40" s="114" t="str">
        <f ca="1">IFERROR(__xludf.DUMMYFUNCTION("""COMPUTED_VALUE"""),"Escola Estadual Professor Alfredo Nasser")</f>
        <v>Escola Estadual Professor Alfredo Nasser</v>
      </c>
      <c r="F40" s="116" t="str">
        <f ca="1">IFERROR(__xludf.DUMMYFUNCTION("""COMPUTED_VALUE"""),"17005477")</f>
        <v>17005477</v>
      </c>
      <c r="G40" s="114" t="str">
        <f ca="1">IFERROR(__xludf.DUMMYFUNCTION("""COMPUTED_VALUE"""),"01223632000187")</f>
        <v>01223632000187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IFERROR(__xludf.DUMMYFUNCTION("""COMPUTED_VALUE"""),"0465135")</f>
        <v>0465135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 t="str">
        <f ca="1">IFERROR(__xludf.DUMMYFUNCTION("""COMPUTED_VALUE"""),"E. M. JOVEM EM AÇÃO")</f>
        <v>E. M. JOVEM EM AÇÃO</v>
      </c>
      <c r="AE40" s="114" t="str">
        <f ca="1">IFERROR(__xludf.DUMMYFUNCTION("""COMPUTED_VALUE"""),"Parcial/Integral")</f>
        <v>Parcial/Integral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IFERROR(__xludf.DUMMYFUNCTION("""COMPUTED_VALUE"""),"17005280")</f>
        <v>17005280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ESC. EST. DE ARAGUAINA / PROF. JOÃO ALVES BATISTA")</f>
        <v>A.A. ESC. EST. DE ARAGUAINA / PROF. JOÃO ALVES BATISTA</v>
      </c>
      <c r="E41" s="114" t="str">
        <f ca="1">IFERROR(__xludf.DUMMYFUNCTION("""COMPUTED_VALUE"""),"Escola Estadual Professor João Alves Batista")</f>
        <v>Escola Estadual Professor João Alves Batista</v>
      </c>
      <c r="F41" s="116" t="str">
        <f ca="1">IFERROR(__xludf.DUMMYFUNCTION("""COMPUTED_VALUE"""),"17005280")</f>
        <v>17005280</v>
      </c>
      <c r="G41" s="114" t="str">
        <f ca="1">IFERROR(__xludf.DUMMYFUNCTION("""COMPUTED_VALUE"""),"25062332000121")</f>
        <v>25062332000121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IFERROR(__xludf.DUMMYFUNCTION("""COMPUTED_VALUE"""),"463116")</f>
        <v>463116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/>
      <c r="AE41" s="114" t="str">
        <f ca="1">IFERROR(__xludf.DUMMYFUNCTION("""COMPUTED_VALUE"""),"Parcial")</f>
        <v>Parcial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IFERROR(__xludf.DUMMYFUNCTION("""COMPUTED_VALUE"""),"17005485")</f>
        <v>17005485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ESCOLA ESTADUAL VILA NOVA")</f>
        <v>A.A. ESCOLA ESTADUAL VILA NOVA</v>
      </c>
      <c r="E42" s="114" t="str">
        <f ca="1">IFERROR(__xludf.DUMMYFUNCTION("""COMPUTED_VALUE"""),"Escola Estadual Vila Nova")</f>
        <v>Escola Estadual Vila Nova</v>
      </c>
      <c r="F42" s="116" t="str">
        <f ca="1">IFERROR(__xludf.DUMMYFUNCTION("""COMPUTED_VALUE"""),"17005485")</f>
        <v>17005485</v>
      </c>
      <c r="G42" s="114" t="str">
        <f ca="1">IFERROR(__xludf.DUMMYFUNCTION("""COMPUTED_VALUE"""),"01071404000139")</f>
        <v>01071404000139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IFERROR(__xludf.DUMMYFUNCTION("""COMPUTED_VALUE"""),"0463744")</f>
        <v>0463744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IFERROR(__xludf.DUMMYFUNCTION("""COMPUTED_VALUE"""),"Parcial/Integral")</f>
        <v>Parcial/Integral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IFERROR(__xludf.DUMMYFUNCTION("""COMPUTED_VALUE"""),"17005493")</f>
        <v>17005493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ESC. EST.WELDER M.ABREU SALES")</f>
        <v>A.A. ESC. EST.WELDER M.ABREU SALES</v>
      </c>
      <c r="E43" s="114" t="str">
        <f ca="1">IFERROR(__xludf.DUMMYFUNCTION("""COMPUTED_VALUE"""),"Escola Estadual Welder Maria de Abreu Sales")</f>
        <v>Escola Estadual Welder Maria de Abreu Sales</v>
      </c>
      <c r="F43" s="116" t="str">
        <f ca="1">IFERROR(__xludf.DUMMYFUNCTION("""COMPUTED_VALUE"""),"17005493")</f>
        <v>17005493</v>
      </c>
      <c r="G43" s="114" t="str">
        <f ca="1">IFERROR(__xludf.DUMMYFUNCTION("""COMPUTED_VALUE"""),"01190182000173")</f>
        <v>01190182000173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IFERROR(__xludf.DUMMYFUNCTION("""COMPUTED_VALUE"""),"0465054")</f>
        <v>0465054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IFERROR(__xludf.DUMMYFUNCTION("""COMPUTED_VALUE"""),"Parcial")</f>
        <v>Parcial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IFERROR(__xludf.DUMMYFUNCTION("""COMPUTED_VALUE"""),"17006279")</f>
        <v>17006279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 DE AP. DA E.PAROQUIAL LUIZ AUGUSTO")</f>
        <v>A. DE AP. DA E.PAROQUIAL LUIZ AUGUSTO</v>
      </c>
      <c r="E44" s="114" t="str">
        <f ca="1">IFERROR(__xludf.DUMMYFUNCTION("""COMPUTED_VALUE"""),"Escola Paroquial Luiz Augusto")</f>
        <v>Escola Paroquial Luiz Augusto</v>
      </c>
      <c r="F44" s="116" t="str">
        <f ca="1">IFERROR(__xludf.DUMMYFUNCTION("""COMPUTED_VALUE"""),"17006279")</f>
        <v>17006279</v>
      </c>
      <c r="G44" s="114" t="str">
        <f ca="1">IFERROR(__xludf.DUMMYFUNCTION("""COMPUTED_VALUE"""),"01912262000195")</f>
        <v>01912262000195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IFERROR(__xludf.DUMMYFUNCTION("""COMPUTED_VALUE"""),"486000")</f>
        <v>486000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 t="str">
        <f ca="1">IFERROR(__xludf.DUMMYFUNCTION("""COMPUTED_VALUE"""),"CRECHE")</f>
        <v>CRECHE</v>
      </c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IFERROR(__xludf.DUMMYFUNCTION("""COMPUTED_VALUE"""),"17006422")</f>
        <v>17006422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IFERROR(__xludf.DUMMYFUNCTION("""COMPUTED_VALUE"""),"Araguana")</f>
        <v>Araguana</v>
      </c>
      <c r="D45" s="115" t="str">
        <f ca="1">IFERROR(__xludf.DUMMYFUNCTION("""COMPUTED_VALUE"""),"ASS. APOIO ESC. EST. MACHADO DE ASSIS")</f>
        <v>ASS. APOIO ESC. EST. MACHADO DE ASSIS</v>
      </c>
      <c r="E45" s="114" t="str">
        <f ca="1">IFERROR(__xludf.DUMMYFUNCTION("""COMPUTED_VALUE"""),"Escola Estadual Machado de Assis")</f>
        <v>Escola Estadual Machado de Assis</v>
      </c>
      <c r="F45" s="116" t="str">
        <f ca="1">IFERROR(__xludf.DUMMYFUNCTION("""COMPUTED_VALUE"""),"17006422")</f>
        <v>17006422</v>
      </c>
      <c r="G45" s="114" t="str">
        <f ca="1">IFERROR(__xludf.DUMMYFUNCTION("""COMPUTED_VALUE"""),"01243663000108")</f>
        <v>01243663000108</v>
      </c>
      <c r="H45" s="116" t="str">
        <f ca="1">IFERROR(__xludf.DUMMYFUNCTION("""COMPUTED_VALUE"""),"001")</f>
        <v>001</v>
      </c>
      <c r="I45" s="116" t="str">
        <f ca="1">IFERROR(__xludf.DUMMYFUNCTION("""COMPUTED_VALUE"""),"3773")</f>
        <v>3773</v>
      </c>
      <c r="J45" s="116" t="str">
        <f ca="1">IFERROR(__xludf.DUMMYFUNCTION("""COMPUTED_VALUE"""),"322091")</f>
        <v>322091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/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IFERROR(__xludf.DUMMYFUNCTION("""COMPUTED_VALUE"""),"17006430")</f>
        <v>17006430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IFERROR(__xludf.DUMMYFUNCTION("""COMPUTED_VALUE"""),"A.A. ESC. EST. SAO PEDRO")</f>
        <v>A.A. ESC. EST. SAO PEDRO</v>
      </c>
      <c r="E46" s="114" t="str">
        <f ca="1">IFERROR(__xludf.DUMMYFUNCTION("""COMPUTED_VALUE"""),"Escola Estadual São Pedro")</f>
        <v>Escola Estadual São Pedro</v>
      </c>
      <c r="F46" s="116" t="str">
        <f ca="1">IFERROR(__xludf.DUMMYFUNCTION("""COMPUTED_VALUE"""),"17006430")</f>
        <v>17006430</v>
      </c>
      <c r="G46" s="114" t="str">
        <f ca="1">IFERROR(__xludf.DUMMYFUNCTION("""COMPUTED_VALUE"""),"01230353000140")</f>
        <v>01230353000140</v>
      </c>
      <c r="H46" s="116" t="str">
        <f ca="1">IFERROR(__xludf.DUMMYFUNCTION("""COMPUTED_VALUE"""),"001")</f>
        <v>001</v>
      </c>
      <c r="I46" s="116" t="str">
        <f ca="1">IFERROR(__xludf.DUMMYFUNCTION("""COMPUTED_VALUE"""),"0638")</f>
        <v>0638</v>
      </c>
      <c r="J46" s="116" t="str">
        <f ca="1">IFERROR(__xludf.DUMMYFUNCTION("""COMPUTED_VALUE"""),"73903")</f>
        <v>73903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IFERROR(__xludf.DUMMYFUNCTION("""COMPUTED_VALUE"""),"17006848")</f>
        <v>17006848</v>
      </c>
      <c r="B47" s="114" t="str">
        <f ca="1">IFERROR(__xludf.DUMMYFUNCTION("""COMPUTED_VALUE"""),"Araguaina")</f>
        <v>Araguaina</v>
      </c>
      <c r="C47" s="114" t="str">
        <f ca="1">IFERROR(__xludf.DUMMYFUNCTION("""COMPUTED_VALUE"""),"Babaculandia")</f>
        <v>Babaculandia</v>
      </c>
      <c r="D47" s="115" t="str">
        <f ca="1">IFERROR(__xludf.DUMMYFUNCTION("""COMPUTED_VALUE"""),"A.PAIS E M.C.E.LEOPOLDO DE BULHOES")</f>
        <v>A.PAIS E M.C.E.LEOPOLDO DE BULHOES</v>
      </c>
      <c r="E47" s="114" t="str">
        <f ca="1">IFERROR(__xludf.DUMMYFUNCTION("""COMPUTED_VALUE"""),"Colégio Estadual Leopoldo de Bulhões")</f>
        <v>Colégio Estadual Leopoldo de Bulhões</v>
      </c>
      <c r="F47" s="116" t="str">
        <f ca="1">IFERROR(__xludf.DUMMYFUNCTION("""COMPUTED_VALUE"""),"17006848")</f>
        <v>17006848</v>
      </c>
      <c r="G47" s="114" t="str">
        <f ca="1">IFERROR(__xludf.DUMMYFUNCTION("""COMPUTED_VALUE"""),"01146116000104")</f>
        <v>01146116000104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IFERROR(__xludf.DUMMYFUNCTION("""COMPUTED_VALUE"""),"465232")</f>
        <v>465232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IFERROR(__xludf.DUMMYFUNCTION("""COMPUTED_VALUE"""),"17006872")</f>
        <v>17006872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IFERROR(__xludf.DUMMYFUNCTION("""COMPUTED_VALUE"""),"A.A. ESCOLA ESTADUAL RUI BARBOSA")</f>
        <v>A.A. ESCOLA ESTADUAL RUI BARBOSA</v>
      </c>
      <c r="E48" s="114" t="str">
        <f ca="1">IFERROR(__xludf.DUMMYFUNCTION("""COMPUTED_VALUE"""),"Escola Estadual Rui Barbosa")</f>
        <v>Escola Estadual Rui Barbosa</v>
      </c>
      <c r="F48" s="116" t="str">
        <f ca="1">IFERROR(__xludf.DUMMYFUNCTION("""COMPUTED_VALUE"""),"17006872")</f>
        <v>17006872</v>
      </c>
      <c r="G48" s="114" t="str">
        <f ca="1">IFERROR(__xludf.DUMMYFUNCTION("""COMPUTED_VALUE"""),"01181184000104")</f>
        <v>01181184000104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IFERROR(__xludf.DUMMYFUNCTION("""COMPUTED_VALUE"""),"477117")</f>
        <v>477117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IFERROR(__xludf.DUMMYFUNCTION("""COMPUTED_VALUE"""),"17028027")</f>
        <v>17028027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IFERROR(__xludf.DUMMYFUNCTION("""COMPUTED_VALUE"""),"Barra do Ouro")</f>
        <v>Barra do Ouro</v>
      </c>
      <c r="D49" s="115" t="str">
        <f ca="1">IFERROR(__xludf.DUMMYFUNCTION("""COMPUTED_VALUE"""),"A.A. A ESCOLA ESTADUAL BREJAO")</f>
        <v>A.A. A ESCOLA ESTADUAL BREJAO</v>
      </c>
      <c r="E49" s="114" t="str">
        <f ca="1">IFERROR(__xludf.DUMMYFUNCTION("""COMPUTED_VALUE"""),"Escola Estadual Brejão")</f>
        <v>Escola Estadual Brejão</v>
      </c>
      <c r="F49" s="116" t="str">
        <f ca="1">IFERROR(__xludf.DUMMYFUNCTION("""COMPUTED_VALUE"""),"17028027")</f>
        <v>17028027</v>
      </c>
      <c r="G49" s="114" t="str">
        <f ca="1">IFERROR(__xludf.DUMMYFUNCTION("""COMPUTED_VALUE"""),"02392799000134")</f>
        <v>02392799000134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IFERROR(__xludf.DUMMYFUNCTION("""COMPUTED_VALUE"""),"83615")</f>
        <v>83615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IFERROR(__xludf.DUMMYFUNCTION("""COMPUTED_VALUE"""),"17028000")</f>
        <v>17028000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IFERROR(__xludf.DUMMYFUNCTION("""COMPUTED_VALUE"""),"A.COM. ESC. EST. BARRA DO OURO/PROF. VICENTE JOSÉ VIEIRA")</f>
        <v>A.COM. ESC. EST. BARRA DO OURO/PROF. VICENTE JOSÉ VIEIRA</v>
      </c>
      <c r="E50" s="114" t="str">
        <f ca="1">IFERROR(__xludf.DUMMYFUNCTION("""COMPUTED_VALUE"""),"Escola Estadual Professor Vicente José Vieira")</f>
        <v>Escola Estadual Professor Vicente José Vieira</v>
      </c>
      <c r="F50" s="116" t="str">
        <f ca="1">IFERROR(__xludf.DUMMYFUNCTION("""COMPUTED_VALUE"""),"17028000")</f>
        <v>17028000</v>
      </c>
      <c r="G50" s="114" t="str">
        <f ca="1">IFERROR(__xludf.DUMMYFUNCTION("""COMPUTED_VALUE"""),"01341481000161")</f>
        <v>01341481000161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IFERROR(__xludf.DUMMYFUNCTION("""COMPUTED_VALUE"""),"0069973")</f>
        <v>0069973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IFERROR(__xludf.DUMMYFUNCTION("""COMPUTED_VALUE"""),"17027608")</f>
        <v>17027608</v>
      </c>
      <c r="B51" s="114" t="str">
        <f ca="1">IFERROR(__xludf.DUMMYFUNCTION("""COMPUTED_VALUE"""),"Araguaina")</f>
        <v>Araguaina</v>
      </c>
      <c r="C51" s="114" t="str">
        <f ca="1">IFERROR(__xludf.DUMMYFUNCTION("""COMPUTED_VALUE"""),"Campos Lindos")</f>
        <v>Campos Lindos</v>
      </c>
      <c r="D51" s="115" t="str">
        <f ca="1">IFERROR(__xludf.DUMMYFUNCTION("""COMPUTED_VALUE"""),"A.A. DA ESC. EST. MANOEL ALVES GRANDE")</f>
        <v>A.A. DA ESC. EST. MANOEL ALVES GRANDE</v>
      </c>
      <c r="E51" s="114" t="str">
        <f ca="1">IFERROR(__xludf.DUMMYFUNCTION("""COMPUTED_VALUE"""),"Escola Estadual Manoel Alves Grande")</f>
        <v>Escola Estadual Manoel Alves Grande</v>
      </c>
      <c r="F51" s="116" t="str">
        <f ca="1">IFERROR(__xludf.DUMMYFUNCTION("""COMPUTED_VALUE"""),"17027608")</f>
        <v>17027608</v>
      </c>
      <c r="G51" s="114" t="str">
        <f ca="1">IFERROR(__xludf.DUMMYFUNCTION("""COMPUTED_VALUE"""),"02199744000102")</f>
        <v>02199744000102</v>
      </c>
      <c r="H51" s="116" t="str">
        <f ca="1">IFERROR(__xludf.DUMMYFUNCTION("""COMPUTED_VALUE"""),"001")</f>
        <v>001</v>
      </c>
      <c r="I51" s="116" t="str">
        <f ca="1">IFERROR(__xludf.DUMMYFUNCTION("""COMPUTED_VALUE"""),"2064")</f>
        <v>2064</v>
      </c>
      <c r="J51" s="116" t="str">
        <f ca="1">IFERROR(__xludf.DUMMYFUNCTION("""COMPUTED_VALUE"""),"0130117")</f>
        <v>0130117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IFERROR(__xludf.DUMMYFUNCTION("""COMPUTED_VALUE"""),"17007429")</f>
        <v>17007429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IFERROR(__xludf.DUMMYFUNCTION("""COMPUTED_VALUE"""),"Carmolandia")</f>
        <v>Carmolandia</v>
      </c>
      <c r="D52" s="115" t="str">
        <f ca="1">IFERROR(__xludf.DUMMYFUNCTION("""COMPUTED_VALUE"""),"A.A. E. EST. BARTOLOMEU BUENO DA SILVA")</f>
        <v>A.A. E. EST. BARTOLOMEU BUENO DA SILVA</v>
      </c>
      <c r="E52" s="114" t="str">
        <f ca="1">IFERROR(__xludf.DUMMYFUNCTION("""COMPUTED_VALUE"""),"Escola Estadual Bartolomeu Bueno da Silva")</f>
        <v>Escola Estadual Bartolomeu Bueno da Silva</v>
      </c>
      <c r="F52" s="116" t="str">
        <f ca="1">IFERROR(__xludf.DUMMYFUNCTION("""COMPUTED_VALUE"""),"17007429")</f>
        <v>17007429</v>
      </c>
      <c r="G52" s="114" t="str">
        <f ca="1">IFERROR(__xludf.DUMMYFUNCTION("""COMPUTED_VALUE"""),"01181172000171")</f>
        <v>01181172000171</v>
      </c>
      <c r="H52" s="116" t="str">
        <f ca="1">IFERROR(__xludf.DUMMYFUNCTION("""COMPUTED_VALUE"""),"001")</f>
        <v>001</v>
      </c>
      <c r="I52" s="116" t="str">
        <f ca="1">IFERROR(__xludf.DUMMYFUNCTION("""COMPUTED_VALUE"""),"0638")</f>
        <v>0638</v>
      </c>
      <c r="J52" s="116" t="str">
        <f ca="1">IFERROR(__xludf.DUMMYFUNCTION("""COMPUTED_VALUE"""),"0465038")</f>
        <v>0465038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IFERROR(__xludf.DUMMYFUNCTION("""COMPUTED_VALUE"""),"17007887")</f>
        <v>17007887</v>
      </c>
      <c r="B53" s="114" t="str">
        <f ca="1">IFERROR(__xludf.DUMMYFUNCTION("""COMPUTED_VALUE"""),"Araguaina")</f>
        <v>Araguaina</v>
      </c>
      <c r="C53" s="114" t="str">
        <f ca="1">IFERROR(__xludf.DUMMYFUNCTION("""COMPUTED_VALUE"""),"Filadelfia")</f>
        <v>Filadelfia</v>
      </c>
      <c r="D53" s="115" t="str">
        <f ca="1">IFERROR(__xludf.DUMMYFUNCTION("""COMPUTED_VALUE"""),"A.A. DO COL.MUNICIPAL DE FILADELFIA")</f>
        <v>A.A. DO COL.MUNICIPAL DE FILADELFIA</v>
      </c>
      <c r="E53" s="114" t="str">
        <f ca="1">IFERROR(__xludf.DUMMYFUNCTION("""COMPUTED_VALUE"""),"Colegio Estadual de Filadelfia")</f>
        <v>Colegio Estadual de Filadelfia</v>
      </c>
      <c r="F53" s="116" t="str">
        <f ca="1">IFERROR(__xludf.DUMMYFUNCTION("""COMPUTED_VALUE"""),"17007887")</f>
        <v>17007887</v>
      </c>
      <c r="G53" s="114" t="str">
        <f ca="1">IFERROR(__xludf.DUMMYFUNCTION("""COMPUTED_VALUE"""),"02189621000190")</f>
        <v>02189621000190</v>
      </c>
      <c r="H53" s="116" t="str">
        <f ca="1">IFERROR(__xludf.DUMMYFUNCTION("""COMPUTED_VALUE"""),"001")</f>
        <v>001</v>
      </c>
      <c r="I53" s="116" t="str">
        <f ca="1">IFERROR(__xludf.DUMMYFUNCTION("""COMPUTED_VALUE"""),"2064")</f>
        <v>2064</v>
      </c>
      <c r="J53" s="116" t="str">
        <f ca="1">IFERROR(__xludf.DUMMYFUNCTION("""COMPUTED_VALUE"""),"54127")</f>
        <v>54127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IFERROR(__xludf.DUMMYFUNCTION("""COMPUTED_VALUE"""),"17007895")</f>
        <v>17007895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IFERROR(__xludf.DUMMYFUNCTION("""COMPUTED_VALUE"""),"A.P. E M. ESC. EST. ADEUVALDO O.MORAES")</f>
        <v>A.P. E M. ESC. EST. ADEUVALDO O.MORAES</v>
      </c>
      <c r="E54" s="114" t="str">
        <f ca="1">IFERROR(__xludf.DUMMYFUNCTION("""COMPUTED_VALUE"""),"Escola Estadual Adeuvaldo de Oliveira Moraes")</f>
        <v>Escola Estadual Adeuvaldo de Oliveira Moraes</v>
      </c>
      <c r="F54" s="116" t="str">
        <f ca="1">IFERROR(__xludf.DUMMYFUNCTION("""COMPUTED_VALUE"""),"17007895")</f>
        <v>17007895</v>
      </c>
      <c r="G54" s="114" t="str">
        <f ca="1">IFERROR(__xludf.DUMMYFUNCTION("""COMPUTED_VALUE"""),"01912087000136")</f>
        <v>01912087000136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IFERROR(__xludf.DUMMYFUNCTION("""COMPUTED_VALUE"""),"127434")</f>
        <v>127434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IFERROR(__xludf.DUMMYFUNCTION("""COMPUTED_VALUE"""),"17056012")</f>
        <v>17056012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IFERROR(__xludf.DUMMYFUNCTION("""COMPUTED_VALUE"""),"A.A. ESC EST PROFESSOR JOSÉ FRANCISCO DOS MONTES")</f>
        <v>A.A. ESC EST PROFESSOR JOSÉ FRANCISCO DOS MONTES</v>
      </c>
      <c r="E55" s="114" t="str">
        <f ca="1">IFERROR(__xludf.DUMMYFUNCTION("""COMPUTED_VALUE"""),"Escola Estadual Professor José Francisco dos Montes")</f>
        <v>Escola Estadual Professor José Francisco dos Montes</v>
      </c>
      <c r="F55" s="116" t="str">
        <f ca="1">IFERROR(__xludf.DUMMYFUNCTION("""COMPUTED_VALUE"""),"17056012")</f>
        <v>17056012</v>
      </c>
      <c r="G55" s="114" t="str">
        <f ca="1">IFERROR(__xludf.DUMMYFUNCTION("""COMPUTED_VALUE"""),"27853677000129")</f>
        <v>27853677000129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IFERROR(__xludf.DUMMYFUNCTION("""COMPUTED_VALUE"""),"198315")</f>
        <v>198315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IFERROR(__xludf.DUMMYFUNCTION("""COMPUTED_VALUE"""),"17027993")</f>
        <v>17027993</v>
      </c>
      <c r="B56" s="114" t="str">
        <f ca="1">IFERROR(__xludf.DUMMYFUNCTION("""COMPUTED_VALUE"""),"Araguaina")</f>
        <v>Araguaina</v>
      </c>
      <c r="C56" s="114" t="str">
        <f ca="1">IFERROR(__xludf.DUMMYFUNCTION("""COMPUTED_VALUE"""),"Goiatins")</f>
        <v>Goiatins</v>
      </c>
      <c r="D56" s="115" t="str">
        <f ca="1">IFERROR(__xludf.DUMMYFUNCTION("""COMPUTED_VALUE"""),"ASS. COM.COL. EST. ADA ASSIS TEIXEIRA")</f>
        <v>ASS. COM.COL. EST. ADA ASSIS TEIXEIRA</v>
      </c>
      <c r="E56" s="114" t="str">
        <f ca="1">IFERROR(__xludf.DUMMYFUNCTION("""COMPUTED_VALUE"""),"Colégio Estadual Adá de Assis Teixeira")</f>
        <v>Colégio Estadual Adá de Assis Teixeira</v>
      </c>
      <c r="F56" s="116" t="str">
        <f ca="1">IFERROR(__xludf.DUMMYFUNCTION("""COMPUTED_VALUE"""),"17027993")</f>
        <v>17027993</v>
      </c>
      <c r="G56" s="114" t="str">
        <f ca="1">IFERROR(__xludf.DUMMYFUNCTION("""COMPUTED_VALUE"""),"01440731000110")</f>
        <v>01440731000110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IFERROR(__xludf.DUMMYFUNCTION("""COMPUTED_VALUE"""),"0013323")</f>
        <v>0013323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IFERROR(__xludf.DUMMYFUNCTION("""COMPUTED_VALUE"""),"17008794")</f>
        <v>17008794</v>
      </c>
      <c r="B57" s="114" t="str">
        <f ca="1">IFERROR(__xludf.DUMMYFUNCTION("""COMPUTED_VALUE"""),"Araguaina")</f>
        <v>Araguaina</v>
      </c>
      <c r="C57" s="114" t="str">
        <f ca="1">IFERROR(__xludf.DUMMYFUNCTION("""COMPUTED_VALUE"""),"Muricilandia")</f>
        <v>Muricilandia</v>
      </c>
      <c r="D57" s="115" t="str">
        <f ca="1">IFERROR(__xludf.DUMMYFUNCTION("""COMPUTED_VALUE"""),"A.A. DA ESC. EST. MAL. COSTA E SILVA")</f>
        <v>A.A. DA ESC. EST. MAL. COSTA E SILVA</v>
      </c>
      <c r="E57" s="114" t="str">
        <f ca="1">IFERROR(__xludf.DUMMYFUNCTION("""COMPUTED_VALUE"""),"Colégio Estadual Marechal Costa E Silva")</f>
        <v>Colégio Estadual Marechal Costa E Silva</v>
      </c>
      <c r="F57" s="116" t="str">
        <f ca="1">IFERROR(__xludf.DUMMYFUNCTION("""COMPUTED_VALUE"""),"17008794")</f>
        <v>17008794</v>
      </c>
      <c r="G57" s="114" t="str">
        <f ca="1">IFERROR(__xludf.DUMMYFUNCTION("""COMPUTED_VALUE"""),"02032269000185")</f>
        <v>02032269000185</v>
      </c>
      <c r="H57" s="116" t="str">
        <f ca="1">IFERROR(__xludf.DUMMYFUNCTION("""COMPUTED_VALUE"""),"001")</f>
        <v>001</v>
      </c>
      <c r="I57" s="116" t="str">
        <f ca="1">IFERROR(__xludf.DUMMYFUNCTION("""COMPUTED_VALUE"""),"0638")</f>
        <v>0638</v>
      </c>
      <c r="J57" s="116" t="str">
        <f ca="1">IFERROR(__xludf.DUMMYFUNCTION("""COMPUTED_VALUE"""),"83550")</f>
        <v>83550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 t="str">
        <f ca="1">IFERROR(__xludf.DUMMYFUNCTION("""COMPUTED_VALUE"""),"INDIGENA /QUILOMBOLA PARCIAL")</f>
        <v>INDIGENA /QUILOMBOLA PARCIAL</v>
      </c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IFERROR(__xludf.DUMMYFUNCTION("""COMPUTED_VALUE"""),"17008786")</f>
        <v>17008786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IFERROR(__xludf.DUMMYFUNCTION("""COMPUTED_VALUE"""),"A.COM. DE AP. COL. EST. DE MURICILANDIA")</f>
        <v>A.COM. DE AP. COL. EST. DE MURICILANDIA</v>
      </c>
      <c r="E58" s="114" t="str">
        <f ca="1">IFERROR(__xludf.DUMMYFUNCTION("""COMPUTED_VALUE"""),"Escola Estadual de Muricilandia")</f>
        <v>Escola Estadual de Muricilandia</v>
      </c>
      <c r="F58" s="116" t="str">
        <f ca="1">IFERROR(__xludf.DUMMYFUNCTION("""COMPUTED_VALUE"""),"17008786")</f>
        <v>17008786</v>
      </c>
      <c r="G58" s="114" t="str">
        <f ca="1">IFERROR(__xludf.DUMMYFUNCTION("""COMPUTED_VALUE"""),"01911084000188")</f>
        <v>01911084000188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IFERROR(__xludf.DUMMYFUNCTION("""COMPUTED_VALUE"""),"8350X")</f>
        <v>8350X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IFERROR(__xludf.DUMMYFUNCTION("""COMPUTED_VALUE"""),"17008867")</f>
        <v>17008867</v>
      </c>
      <c r="B59" s="114" t="str">
        <f ca="1">IFERROR(__xludf.DUMMYFUNCTION("""COMPUTED_VALUE"""),"Araguaina")</f>
        <v>Araguaina</v>
      </c>
      <c r="C59" s="114" t="str">
        <f ca="1">IFERROR(__xludf.DUMMYFUNCTION("""COMPUTED_VALUE"""),"Nova Olinda")</f>
        <v>Nova Olinda</v>
      </c>
      <c r="D59" s="115" t="str">
        <f ca="1">IFERROR(__xludf.DUMMYFUNCTION("""COMPUTED_VALUE"""),"A.A. ESC. COL. E. HELIO DE SOUZA BUENO")</f>
        <v>A.A. ESC. COL. E. HELIO DE SOUZA BUENO</v>
      </c>
      <c r="E59" s="114" t="str">
        <f ca="1">IFERROR(__xludf.DUMMYFUNCTION("""COMPUTED_VALUE"""),"Colégio Estadual Doutor Hélio Souza Bueno")</f>
        <v>Colégio Estadual Doutor Hélio Souza Bueno</v>
      </c>
      <c r="F59" s="116" t="str">
        <f ca="1">IFERROR(__xludf.DUMMYFUNCTION("""COMPUTED_VALUE"""),"17008867")</f>
        <v>17008867</v>
      </c>
      <c r="G59" s="114" t="str">
        <f ca="1">IFERROR(__xludf.DUMMYFUNCTION("""COMPUTED_VALUE"""),"01186466000196")</f>
        <v>01186466000196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IFERROR(__xludf.DUMMYFUNCTION("""COMPUTED_VALUE"""),"0462985")</f>
        <v>0462985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/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IFERROR(__xludf.DUMMYFUNCTION("""COMPUTED_VALUE"""),"17047218")</f>
        <v>17047218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IFERROR(__xludf.DUMMYFUNCTION("""COMPUTED_VALUE"""),"ASSOCIAÇÃO DE APOIO A ESCOLA ESPECIAL RENASCER")</f>
        <v>ASSOCIAÇÃO DE APOIO A ESCOLA ESPECIAL RENASCER</v>
      </c>
      <c r="E60" s="114" t="str">
        <f ca="1">IFERROR(__xludf.DUMMYFUNCTION("""COMPUTED_VALUE"""),"Escola de Educação Especial Renascer")</f>
        <v>Escola de Educação Especial Renascer</v>
      </c>
      <c r="F60" s="116" t="str">
        <f ca="1">IFERROR(__xludf.DUMMYFUNCTION("""COMPUTED_VALUE"""),"17047218")</f>
        <v>17047218</v>
      </c>
      <c r="G60" s="114" t="str">
        <f ca="1">IFERROR(__xludf.DUMMYFUNCTION("""COMPUTED_VALUE"""),"07951646000101")</f>
        <v>07951646000101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IFERROR(__xludf.DUMMYFUNCTION("""COMPUTED_VALUE"""),"541028")</f>
        <v>541028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IFERROR(__xludf.DUMMYFUNCTION("""COMPUTED_VALUE"""),"17008905")</f>
        <v>17008905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IFERROR(__xludf.DUMMYFUNCTION("""COMPUTED_VALUE"""),"A.A. E. E. PROFA. HAMEDY CURY QUEIROZ")</f>
        <v>A.A. E. E. PROFA. HAMEDY CURY QUEIROZ</v>
      </c>
      <c r="E61" s="114" t="str">
        <f ca="1">IFERROR(__xludf.DUMMYFUNCTION("""COMPUTED_VALUE"""),"Escola Estadual Professora Hamedy Cury Queiroz")</f>
        <v>Escola Estadual Professora Hamedy Cury Queiroz</v>
      </c>
      <c r="F61" s="116" t="str">
        <f ca="1">IFERROR(__xludf.DUMMYFUNCTION("""COMPUTED_VALUE"""),"17008905")</f>
        <v>17008905</v>
      </c>
      <c r="G61" s="114" t="str">
        <f ca="1">IFERROR(__xludf.DUMMYFUNCTION("""COMPUTED_VALUE"""),"01431375000179")</f>
        <v>01431375000179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IFERROR(__xludf.DUMMYFUNCTION("""COMPUTED_VALUE"""),"0468010")</f>
        <v>0468010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 t="str">
        <f ca="1">IFERROR(__xludf.DUMMYFUNCTION("""COMPUTED_VALUE"""),"CRECHE")</f>
        <v>CRECHE</v>
      </c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IFERROR(__xludf.DUMMYFUNCTION("""COMPUTED_VALUE"""),"17009774")</f>
        <v>17009774</v>
      </c>
      <c r="B62" s="114" t="str">
        <f ca="1">IFERROR(__xludf.DUMMYFUNCTION("""COMPUTED_VALUE"""),"Araguaina")</f>
        <v>Araguaina</v>
      </c>
      <c r="C62" s="114" t="str">
        <f ca="1">IFERROR(__xludf.DUMMYFUNCTION("""COMPUTED_VALUE"""),"Piraque")</f>
        <v>Piraque</v>
      </c>
      <c r="D62" s="115" t="str">
        <f ca="1">IFERROR(__xludf.DUMMYFUNCTION("""COMPUTED_VALUE"""),"A.A.  ESCOLA ESTADUAL SAO JOSE")</f>
        <v>A.A.  ESCOLA ESTADUAL SAO JOSE</v>
      </c>
      <c r="E62" s="114" t="str">
        <f ca="1">IFERROR(__xludf.DUMMYFUNCTION("""COMPUTED_VALUE"""),"Escola Estadual São José")</f>
        <v>Escola Estadual São José</v>
      </c>
      <c r="F62" s="116" t="str">
        <f ca="1">IFERROR(__xludf.DUMMYFUNCTION("""COMPUTED_VALUE"""),"17009774")</f>
        <v>17009774</v>
      </c>
      <c r="G62" s="114" t="str">
        <f ca="1">IFERROR(__xludf.DUMMYFUNCTION("""COMPUTED_VALUE"""),"01243654000109")</f>
        <v>01243654000109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IFERROR(__xludf.DUMMYFUNCTION("""COMPUTED_VALUE"""),"465283")</f>
        <v>465283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/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IFERROR(__xludf.DUMMYFUNCTION("""COMPUTED_VALUE"""),"17003261")</f>
        <v>17003261</v>
      </c>
      <c r="B63" s="114" t="str">
        <f ca="1">IFERROR(__xludf.DUMMYFUNCTION("""COMPUTED_VALUE"""),"Araguaina")</f>
        <v>Araguaina</v>
      </c>
      <c r="C63" s="114" t="str">
        <f ca="1">IFERROR(__xludf.DUMMYFUNCTION("""COMPUTED_VALUE"""),"Riachinho")</f>
        <v>Riachinho</v>
      </c>
      <c r="D63" s="115" t="str">
        <f ca="1">IFERROR(__xludf.DUMMYFUNCTION("""COMPUTED_VALUE"""),"ASSOC. DE APOIO ESC. EST. JOAO XXIII")</f>
        <v>ASSOC. DE APOIO ESC. EST. JOAO XXIII</v>
      </c>
      <c r="E63" s="114" t="str">
        <f ca="1">IFERROR(__xludf.DUMMYFUNCTION("""COMPUTED_VALUE"""),"Escola Estadual João XXIII")</f>
        <v>Escola Estadual João XXIII</v>
      </c>
      <c r="F63" s="116" t="str">
        <f ca="1">IFERROR(__xludf.DUMMYFUNCTION("""COMPUTED_VALUE"""),"17003261")</f>
        <v>17003261</v>
      </c>
      <c r="G63" s="114" t="str">
        <f ca="1">IFERROR(__xludf.DUMMYFUNCTION("""COMPUTED_VALUE"""),"01136006000153")</f>
        <v>01136006000153</v>
      </c>
      <c r="H63" s="116" t="str">
        <f ca="1">IFERROR(__xludf.DUMMYFUNCTION("""COMPUTED_VALUE"""),"001")</f>
        <v>001</v>
      </c>
      <c r="I63" s="116" t="str">
        <f ca="1">IFERROR(__xludf.DUMMYFUNCTION("""COMPUTED_VALUE"""),"3973")</f>
        <v>3973</v>
      </c>
      <c r="J63" s="116" t="str">
        <f ca="1">IFERROR(__xludf.DUMMYFUNCTION("""COMPUTED_VALUE"""),"51969")</f>
        <v>51969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IFERROR(__xludf.DUMMYFUNCTION("""COMPUTED_VALUE"""),"17009880")</f>
        <v>17009880</v>
      </c>
      <c r="B64" s="114" t="str">
        <f ca="1">IFERROR(__xludf.DUMMYFUNCTION("""COMPUTED_VALUE"""),"Araguaina")</f>
        <v>Araguaina</v>
      </c>
      <c r="C64" s="114" t="str">
        <f ca="1">IFERROR(__xludf.DUMMYFUNCTION("""COMPUTED_VALUE"""),"Santa Fe do Araguaia")</f>
        <v>Santa Fe do Araguaia</v>
      </c>
      <c r="D64" s="115" t="str">
        <f ca="1">IFERROR(__xludf.DUMMYFUNCTION("""COMPUTED_VALUE"""),"A.A. ESC. EST. ANAIDES BRITO MIRANDA")</f>
        <v>A.A. ESC. EST. ANAIDES BRITO MIRANDA</v>
      </c>
      <c r="E64" s="114" t="str">
        <f ca="1">IFERROR(__xludf.DUMMYFUNCTION("""COMPUTED_VALUE"""),"Escola Estadual Anaídes Brito Miranda")</f>
        <v>Escola Estadual Anaídes Brito Miranda</v>
      </c>
      <c r="F64" s="116" t="str">
        <f ca="1">IFERROR(__xludf.DUMMYFUNCTION("""COMPUTED_VALUE"""),"17009880")</f>
        <v>17009880</v>
      </c>
      <c r="G64" s="114" t="str">
        <f ca="1">IFERROR(__xludf.DUMMYFUNCTION("""COMPUTED_VALUE"""),"01919025000156")</f>
        <v>01919025000156</v>
      </c>
      <c r="H64" s="116" t="str">
        <f ca="1">IFERROR(__xludf.DUMMYFUNCTION("""COMPUTED_VALUE"""),"001")</f>
        <v>001</v>
      </c>
      <c r="I64" s="116" t="str">
        <f ca="1">IFERROR(__xludf.DUMMYFUNCTION("""COMPUTED_VALUE"""),"4791")</f>
        <v>4791</v>
      </c>
      <c r="J64" s="116" t="str">
        <f ca="1">IFERROR(__xludf.DUMMYFUNCTION("""COMPUTED_VALUE"""),"54682")</f>
        <v>54682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IFERROR(__xludf.DUMMYFUNCTION("""COMPUTED_VALUE"""),"17009898")</f>
        <v>17009898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 DE AP. DA ESCOLA EST. CASTRO ALVES")</f>
        <v>A. DE AP. DA ESCOLA EST. CASTRO ALVES</v>
      </c>
      <c r="E65" s="114" t="str">
        <f ca="1">IFERROR(__xludf.DUMMYFUNCTION("""COMPUTED_VALUE"""),"Escola Estadual Castro Alves")</f>
        <v>Escola Estadual Castro Alves</v>
      </c>
      <c r="F65" s="116" t="str">
        <f ca="1">IFERROR(__xludf.DUMMYFUNCTION("""COMPUTED_VALUE"""),"17009898")</f>
        <v>17009898</v>
      </c>
      <c r="G65" s="114" t="str">
        <f ca="1">IFERROR(__xludf.DUMMYFUNCTION("""COMPUTED_VALUE"""),"01673181000180")</f>
        <v>01673181000180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IFERROR(__xludf.DUMMYFUNCTION("""COMPUTED_VALUE"""),"54739")</f>
        <v>54739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IFERROR(__xludf.DUMMYFUNCTION("""COMPUTED_VALUE"""),"17010020")</f>
        <v>17010020</v>
      </c>
      <c r="B66" s="114" t="str">
        <f ca="1">IFERROR(__xludf.DUMMYFUNCTION("""COMPUTED_VALUE"""),"Araguaina")</f>
        <v>Araguaina</v>
      </c>
      <c r="C66" s="114" t="str">
        <f ca="1">IFERROR(__xludf.DUMMYFUNCTION("""COMPUTED_VALUE"""),"Wanderlandia")</f>
        <v>Wanderlandia</v>
      </c>
      <c r="D66" s="115" t="str">
        <f ca="1">IFERROR(__xludf.DUMMYFUNCTION("""COMPUTED_VALUE"""),"A.A. COL. ESTADUAL JOSE LUIZ SIQUEIRA")</f>
        <v>A.A. COL. ESTADUAL JOSE LUIZ SIQUEIRA</v>
      </c>
      <c r="E66" s="114" t="str">
        <f ca="1">IFERROR(__xludf.DUMMYFUNCTION("""COMPUTED_VALUE"""),"Colégio Estadual José Luiz Siqueira")</f>
        <v>Colégio Estadual José Luiz Siqueira</v>
      </c>
      <c r="F66" s="116" t="str">
        <f ca="1">IFERROR(__xludf.DUMMYFUNCTION("""COMPUTED_VALUE"""),"17010020")</f>
        <v>17010020</v>
      </c>
      <c r="G66" s="114" t="str">
        <f ca="1">IFERROR(__xludf.DUMMYFUNCTION("""COMPUTED_VALUE"""),"01257082000117")</f>
        <v>01257082000117</v>
      </c>
      <c r="H66" s="116" t="str">
        <f ca="1">IFERROR(__xludf.DUMMYFUNCTION("""COMPUTED_VALUE"""),"001")</f>
        <v>001</v>
      </c>
      <c r="I66" s="116" t="str">
        <f ca="1">IFERROR(__xludf.DUMMYFUNCTION("""COMPUTED_VALUE"""),"0638")</f>
        <v>0638</v>
      </c>
      <c r="J66" s="116" t="str">
        <f ca="1">IFERROR(__xludf.DUMMYFUNCTION("""COMPUTED_VALUE"""),"0465291")</f>
        <v>0465291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IFERROR(__xludf.DUMMYFUNCTION("""COMPUTED_VALUE"""),"17048176")</f>
        <v>17048176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IFERROR(__xludf.DUMMYFUNCTION("""COMPUTED_VALUE"""),"ASSOCIAÇÃO DE APOIO DA ESCOLA ESPECIAL MORADA DO SOL")</f>
        <v>ASSOCIAÇÃO DE APOIO DA ESCOLA ESPECIAL MORADA DO SOL</v>
      </c>
      <c r="E67" s="114" t="str">
        <f ca="1">IFERROR(__xludf.DUMMYFUNCTION("""COMPUTED_VALUE"""),"Escola Especial Morada do Sol")</f>
        <v>Escola Especial Morada do Sol</v>
      </c>
      <c r="F67" s="116" t="str">
        <f ca="1">IFERROR(__xludf.DUMMYFUNCTION("""COMPUTED_VALUE"""),"17048176")</f>
        <v>17048176</v>
      </c>
      <c r="G67" s="114" t="str">
        <f ca="1">IFERROR(__xludf.DUMMYFUNCTION("""COMPUTED_VALUE"""),"07941368000101")</f>
        <v>07941368000101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IFERROR(__xludf.DUMMYFUNCTION("""COMPUTED_VALUE"""),"537349")</f>
        <v>537349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IFERROR(__xludf.DUMMYFUNCTION("""COMPUTED_VALUE"""),"17010012")</f>
        <v>17010012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IFERROR(__xludf.DUMMYFUNCTION("""COMPUTED_VALUE"""),"A.APOIO ESCOLA ESTADUAL D. PEDRO II")</f>
        <v>A.APOIO ESCOLA ESTADUAL D. PEDRO II</v>
      </c>
      <c r="E68" s="114" t="str">
        <f ca="1">IFERROR(__xludf.DUMMYFUNCTION("""COMPUTED_VALUE"""),"Escola Estadual dom Pedro II")</f>
        <v>Escola Estadual dom Pedro II</v>
      </c>
      <c r="F68" s="116" t="str">
        <f ca="1">IFERROR(__xludf.DUMMYFUNCTION("""COMPUTED_VALUE"""),"17010012")</f>
        <v>17010012</v>
      </c>
      <c r="G68" s="114" t="str">
        <f ca="1">IFERROR(__xludf.DUMMYFUNCTION("""COMPUTED_VALUE"""),"01186465000141")</f>
        <v>01186465000141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IFERROR(__xludf.DUMMYFUNCTION("""COMPUTED_VALUE"""),"0463108")</f>
        <v>0463108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IFERROR(__xludf.DUMMYFUNCTION("""COMPUTED_VALUE"""),"17010462")</f>
        <v>17010462</v>
      </c>
      <c r="B69" s="114" t="str">
        <f ca="1">IFERROR(__xludf.DUMMYFUNCTION("""COMPUTED_VALUE"""),"Araguaina")</f>
        <v>Araguaina</v>
      </c>
      <c r="C69" s="114" t="str">
        <f ca="1">IFERROR(__xludf.DUMMYFUNCTION("""COMPUTED_VALUE"""),"Xambioa")</f>
        <v>Xambioa</v>
      </c>
      <c r="D69" s="115" t="str">
        <f ca="1">IFERROR(__xludf.DUMMYFUNCTION("""COMPUTED_VALUE"""),"A.A. COL. MUL. PROFA. JULIANA BARROS")</f>
        <v>A.A. COL. MUL. PROFA. JULIANA BARROS</v>
      </c>
      <c r="E69" s="114" t="str">
        <f ca="1">IFERROR(__xludf.DUMMYFUNCTION("""COMPUTED_VALUE"""),"Colégio Estadual Professora Juliana Barros")</f>
        <v>Colégio Estadual Professora Juliana Barros</v>
      </c>
      <c r="F69" s="116" t="str">
        <f ca="1">IFERROR(__xludf.DUMMYFUNCTION("""COMPUTED_VALUE"""),"17010462")</f>
        <v>17010462</v>
      </c>
      <c r="G69" s="114" t="str">
        <f ca="1">IFERROR(__xludf.DUMMYFUNCTION("""COMPUTED_VALUE"""),"01136047000140")</f>
        <v>01136047000140</v>
      </c>
      <c r="H69" s="116" t="str">
        <f ca="1">IFERROR(__xludf.DUMMYFUNCTION("""COMPUTED_VALUE"""),"001")</f>
        <v>001</v>
      </c>
      <c r="I69" s="116" t="str">
        <f ca="1">IFERROR(__xludf.DUMMYFUNCTION("""COMPUTED_VALUE"""),"3773")</f>
        <v>3773</v>
      </c>
      <c r="J69" s="116" t="str">
        <f ca="1">IFERROR(__xludf.DUMMYFUNCTION("""COMPUTED_VALUE"""),"0330027")</f>
        <v>0330027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IFERROR(__xludf.DUMMYFUNCTION("""COMPUTED_VALUE"""),"17010330")</f>
        <v>17010330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 COM. DA ESC. EST. EURICO MOTA")</f>
        <v>A. COM. DA ESC. EST. EURICO MOTA</v>
      </c>
      <c r="E70" s="114" t="str">
        <f ca="1">IFERROR(__xludf.DUMMYFUNCTION("""COMPUTED_VALUE"""),"Escola Estadual Euríco Mota")</f>
        <v>Escola Estadual Euríco Mota</v>
      </c>
      <c r="F70" s="116" t="str">
        <f ca="1">IFERROR(__xludf.DUMMYFUNCTION("""COMPUTED_VALUE"""),"17010330")</f>
        <v>17010330</v>
      </c>
      <c r="G70" s="114" t="str">
        <f ca="1">IFERROR(__xludf.DUMMYFUNCTION("""COMPUTED_VALUE"""),"01718086000155")</f>
        <v>01718086000155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IFERROR(__xludf.DUMMYFUNCTION("""COMPUTED_VALUE"""),"0324744")</f>
        <v>0324744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 t="str">
        <f ca="1">IFERROR(__xludf.DUMMYFUNCTION("""COMPUTED_VALUE"""),"E.M. INTEGRADO")</f>
        <v>E.M. INTEGRADO</v>
      </c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IFERROR(__xludf.DUMMYFUNCTION("""COMPUTED_VALUE"""),"17010365")</f>
        <v>17010365</v>
      </c>
      <c r="B71" s="114" t="str">
        <f ca="1">IFERROR(__xludf.DUMMYFUNCTION("""COMPUTED_VALUE"""),"Araguaina")</f>
        <v>Araguaina</v>
      </c>
      <c r="C71" s="114" t="str">
        <f ca="1">IFERROR(__xludf.DUMMYFUNCTION("""COMPUTED_VALUE"""),"Ananas")</f>
        <v>Ananas</v>
      </c>
      <c r="D71" s="115" t="str">
        <f ca="1">IFERROR(__xludf.DUMMYFUNCTION("""COMPUTED_VALUE"""),"AS. DE A. A ESC.PAROQUIAL SAO MIGUEL")</f>
        <v>AS. DE A. A ESC.PAROQUIAL SAO MIGUEL</v>
      </c>
      <c r="E71" s="114" t="str">
        <f ca="1">IFERROR(__xludf.DUMMYFUNCTION("""COMPUTED_VALUE"""),"Escola Paroquial São Miguel")</f>
        <v>Escola Paroquial São Miguel</v>
      </c>
      <c r="F71" s="116" t="str">
        <f ca="1">IFERROR(__xludf.DUMMYFUNCTION("""COMPUTED_VALUE"""),"17010365")</f>
        <v>17010365</v>
      </c>
      <c r="G71" s="114" t="str">
        <f ca="1">IFERROR(__xludf.DUMMYFUNCTION("""COMPUTED_VALUE"""),"01133698000186")</f>
        <v>01133698000186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IFERROR(__xludf.DUMMYFUNCTION("""COMPUTED_VALUE"""),"330035")</f>
        <v>330035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/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IFERROR(__xludf.DUMMYFUNCTION("""COMPUTED_VALUE"""),"17050715")</f>
        <v>17050715</v>
      </c>
      <c r="B72" s="114" t="str">
        <f ca="1">IFERROR(__xludf.DUMMYFUNCTION("""COMPUTED_VALUE"""),"Araguatins")</f>
        <v>Araguatins</v>
      </c>
      <c r="C72" s="114" t="str">
        <f ca="1">IFERROR(__xludf.DUMMYFUNCTION("""COMPUTED_VALUE"""),"Araguatins")</f>
        <v>Araguatins</v>
      </c>
      <c r="D72" s="115" t="str">
        <f ca="1">IFERROR(__xludf.DUMMYFUNCTION("""COMPUTED_VALUE"""),"ASSOC. APOIO AO CEM PROFESSORA ANTONINA MILHOMEM")</f>
        <v>ASSOC. APOIO AO CEM PROFESSORA ANTONINA MILHOMEM</v>
      </c>
      <c r="E72" s="114" t="str">
        <f ca="1">IFERROR(__xludf.DUMMYFUNCTION("""COMPUTED_VALUE"""),"Centro de Ensino Médio Professora Antonina Milhomem")</f>
        <v>Centro de Ensino Médio Professora Antonina Milhomem</v>
      </c>
      <c r="F72" s="116" t="str">
        <f ca="1">IFERROR(__xludf.DUMMYFUNCTION("""COMPUTED_VALUE"""),"17050715")</f>
        <v>17050715</v>
      </c>
      <c r="G72" s="114" t="str">
        <f ca="1">IFERROR(__xludf.DUMMYFUNCTION("""COMPUTED_VALUE"""),"04675931000140")</f>
        <v>04675931000140</v>
      </c>
      <c r="H72" s="116" t="str">
        <f ca="1">IFERROR(__xludf.DUMMYFUNCTION("""COMPUTED_VALUE"""),"001")</f>
        <v>001</v>
      </c>
      <c r="I72" s="116" t="str">
        <f ca="1">IFERROR(__xludf.DUMMYFUNCTION("""COMPUTED_VALUE"""),"1305")</f>
        <v>1305</v>
      </c>
      <c r="J72" s="116" t="str">
        <f ca="1">IFERROR(__xludf.DUMMYFUNCTION("""COMPUTED_VALUE"""),"209082")</f>
        <v>209082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IFERROR(__xludf.DUMMYFUNCTION("""COMPUTED_VALUE"""),"17000360")</f>
        <v>17000360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IFERROR(__xludf.DUMMYFUNCTION("""COMPUTED_VALUE"""),"A.A. E. EST. ATANAZIO DE MOURA SEIXAS")</f>
        <v>A.A. E. EST. ATANAZIO DE MOURA SEIXAS</v>
      </c>
      <c r="E73" s="114" t="str">
        <f ca="1">IFERROR(__xludf.DUMMYFUNCTION("""COMPUTED_VALUE"""),"Colégio Estadual Atanázio de Moura Seixas")</f>
        <v>Colégio Estadual Atanázio de Moura Seixas</v>
      </c>
      <c r="F73" s="116" t="str">
        <f ca="1">IFERROR(__xludf.DUMMYFUNCTION("""COMPUTED_VALUE"""),"17000360")</f>
        <v>17000360</v>
      </c>
      <c r="G73" s="114" t="str">
        <f ca="1">IFERROR(__xludf.DUMMYFUNCTION("""COMPUTED_VALUE"""),"01068353000196")</f>
        <v>01068353000196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IFERROR(__xludf.DUMMYFUNCTION("""COMPUTED_VALUE"""),"109215")</f>
        <v>109215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IFERROR(__xludf.DUMMYFUNCTION("""COMPUTED_VALUE"""),"17000327")</f>
        <v>17000327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COL. EST. LEONIDAS G. DUARTE")</f>
        <v>A.A. COL. EST. LEONIDAS G. DUARTE</v>
      </c>
      <c r="E74" s="114" t="str">
        <f ca="1">IFERROR(__xludf.DUMMYFUNCTION("""COMPUTED_VALUE"""),"Colégio Estadual Leônidas Gonçalves Duarte")</f>
        <v>Colégio Estadual Leônidas Gonçalves Duarte</v>
      </c>
      <c r="F74" s="116" t="str">
        <f ca="1">IFERROR(__xludf.DUMMYFUNCTION("""COMPUTED_VALUE"""),"17000327")</f>
        <v>17000327</v>
      </c>
      <c r="G74" s="114" t="str">
        <f ca="1">IFERROR(__xludf.DUMMYFUNCTION("""COMPUTED_VALUE"""),"01190189000195")</f>
        <v>01190189000195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IFERROR(__xludf.DUMMYFUNCTION("""COMPUTED_VALUE"""),"0019143")</f>
        <v>0019143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IFERROR(__xludf.DUMMYFUNCTION("""COMPUTED_VALUE"""),"17000386")</f>
        <v>17000386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A ESC. EST. OSVALDO FRANCO")</f>
        <v>A.A. A ESC. EST. OSVALDO FRANCO</v>
      </c>
      <c r="E75" s="114" t="str">
        <f ca="1">IFERROR(__xludf.DUMMYFUNCTION("""COMPUTED_VALUE"""),"Colégio Estadual Osvaldo Franco")</f>
        <v>Colégio Estadual Osvaldo Franco</v>
      </c>
      <c r="F75" s="116" t="str">
        <f ca="1">IFERROR(__xludf.DUMMYFUNCTION("""COMPUTED_VALUE"""),"17000386")</f>
        <v>17000386</v>
      </c>
      <c r="G75" s="114" t="str">
        <f ca="1">IFERROR(__xludf.DUMMYFUNCTION("""COMPUTED_VALUE"""),"01392733000181")</f>
        <v>01392733000181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IFERROR(__xludf.DUMMYFUNCTION("""COMPUTED_VALUE"""),"109738")</f>
        <v>109738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IFERROR(__xludf.DUMMYFUNCTION("""COMPUTED_VALUE"""),"17068002")</f>
        <v>17068002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ESC. ESTADUAL ALDINAR GONÇALVES DE CARVALHO")</f>
        <v>A.A. ESC. ESTADUAL ALDINAR GONÇALVES DE CARVALHO</v>
      </c>
      <c r="E76" s="114" t="str">
        <f ca="1">IFERROR(__xludf.DUMMYFUNCTION("""COMPUTED_VALUE"""),"Escola Estadual Aldinar Gonçalves de Carvalho")</f>
        <v>Escola Estadual Aldinar Gonçalves de Carvalho</v>
      </c>
      <c r="F76" s="116" t="str">
        <f ca="1">IFERROR(__xludf.DUMMYFUNCTION("""COMPUTED_VALUE"""),"17068002")</f>
        <v>17068002</v>
      </c>
      <c r="G76" s="114" t="str">
        <f ca="1">IFERROR(__xludf.DUMMYFUNCTION("""COMPUTED_VALUE"""),"09465471000140")</f>
        <v>09465471000140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IFERROR(__xludf.DUMMYFUNCTION("""COMPUTED_VALUE"""),"196657")</f>
        <v>196657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IFERROR(__xludf.DUMMYFUNCTION("""COMPUTED_VALUE"""),47)</f>
        <v>47</v>
      </c>
      <c r="AK76" s="114"/>
      <c r="AL76" s="117"/>
    </row>
    <row r="77" spans="1:38" ht="12.75">
      <c r="A77" s="113" t="str">
        <f ca="1">IFERROR(__xludf.DUMMYFUNCTION("""COMPUTED_VALUE"""),"17000998")</f>
        <v>17000998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IFERROR(__xludf.DUMMYFUNCTION("""COMPUTED_VALUE"""),"ASSOC. DE APOIO ESC. EST. FREI SAVINO")</f>
        <v>ASSOC. DE APOIO ESC. EST. FREI SAVINO</v>
      </c>
      <c r="E77" s="114" t="str">
        <f ca="1">IFERROR(__xludf.DUMMYFUNCTION("""COMPUTED_VALUE"""),"Escola Estadual Frei Savino")</f>
        <v>Escola Estadual Frei Savino</v>
      </c>
      <c r="F77" s="116" t="str">
        <f ca="1">IFERROR(__xludf.DUMMYFUNCTION("""COMPUTED_VALUE"""),"17000998")</f>
        <v>17000998</v>
      </c>
      <c r="G77" s="114" t="str">
        <f ca="1">IFERROR(__xludf.DUMMYFUNCTION("""COMPUTED_VALUE"""),"01181389000181")</f>
        <v>01181389000181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IFERROR(__xludf.DUMMYFUNCTION("""COMPUTED_VALUE"""),"0019437")</f>
        <v>0019437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IFERROR(__xludf.DUMMYFUNCTION("""COMPUTED_VALUE"""),0)</f>
        <v>0</v>
      </c>
      <c r="AK77" s="114"/>
      <c r="AL77" s="117"/>
    </row>
    <row r="78" spans="1:38" ht="12.75">
      <c r="A78" s="113" t="str">
        <f ca="1">IFERROR(__xludf.DUMMYFUNCTION("""COMPUTED_VALUE"""),"17000378")</f>
        <v>17000378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APOIO ESC. EST. DENISE GOMIDE AMUI")</f>
        <v>ASSOC. APOIO ESC. EST. DENISE GOMIDE AMUI</v>
      </c>
      <c r="E78" s="114" t="str">
        <f ca="1">IFERROR(__xludf.DUMMYFUNCTION("""COMPUTED_VALUE"""),"Escola Estadual Girassol de Tempo Integral denise Gomide Amui")</f>
        <v>Escola Estadual Girassol de Tempo Integral denise Gomide Amui</v>
      </c>
      <c r="F78" s="116" t="str">
        <f ca="1">IFERROR(__xludf.DUMMYFUNCTION("""COMPUTED_VALUE"""),"17000378")</f>
        <v>17000378</v>
      </c>
      <c r="G78" s="114" t="str">
        <f ca="1">IFERROR(__xludf.DUMMYFUNCTION("""COMPUTED_VALUE"""),"01136000000186")</f>
        <v>01136000000186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IFERROR(__xludf.DUMMYFUNCTION("""COMPUTED_VALUE"""),"0109223")</f>
        <v>0109223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IFERROR(__xludf.DUMMYFUNCTION("""COMPUTED_VALUE"""),"17047358")</f>
        <v>17047358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IFERROR(__xludf.DUMMYFUNCTION("""COMPUTED_VALUE"""),"A.A.  A ESC. EST. SANTA GERTRUDES")</f>
        <v>A.A.  A ESC. EST. SANTA GERTRUDES</v>
      </c>
      <c r="E79" s="114" t="str">
        <f ca="1">IFERROR(__xludf.DUMMYFUNCTION("""COMPUTED_VALUE"""),"Escola Estadual Santa Gertrudes")</f>
        <v>Escola Estadual Santa Gertrudes</v>
      </c>
      <c r="F79" s="116" t="str">
        <f ca="1">IFERROR(__xludf.DUMMYFUNCTION("""COMPUTED_VALUE"""),"17047358")</f>
        <v>17047358</v>
      </c>
      <c r="G79" s="114" t="str">
        <f ca="1">IFERROR(__xludf.DUMMYFUNCTION("""COMPUTED_VALUE"""),"03713455000142")</f>
        <v>03713455000142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IFERROR(__xludf.DUMMYFUNCTION("""COMPUTED_VALUE"""),"78271")</f>
        <v>78271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 t="str">
        <f ca="1">IFERROR(__xludf.DUMMYFUNCTION("""COMPUTED_VALUE"""),"E.M. INTEGRADO")</f>
        <v>E.M. INTEGRADO</v>
      </c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IFERROR(__xludf.DUMMYFUNCTION("""COMPUTED_VALUE"""),"17047366")</f>
        <v>17047366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ESCOLA ISOLADA BOA SORTE")</f>
        <v>A.A.  A ESCOLA ISOLADA BOA SORTE</v>
      </c>
      <c r="E80" s="114" t="str">
        <f ca="1">IFERROR(__xludf.DUMMYFUNCTION("""COMPUTED_VALUE"""),"Escola Isolada Boa Sorte")</f>
        <v>Escola Isolada Boa Sorte</v>
      </c>
      <c r="F80" s="116" t="str">
        <f ca="1">IFERROR(__xludf.DUMMYFUNCTION("""COMPUTED_VALUE"""),"17047366")</f>
        <v>17047366</v>
      </c>
      <c r="G80" s="114" t="str">
        <f ca="1">IFERROR(__xludf.DUMMYFUNCTION("""COMPUTED_VALUE"""),"03765304000138")</f>
        <v>03765304000138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IFERROR(__xludf.DUMMYFUNCTION("""COMPUTED_VALUE"""),"78964")</f>
        <v>78964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/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IFERROR(__xludf.DUMMYFUNCTION("""COMPUTED_VALUE"""),"17001048")</f>
        <v>17001048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IFERROR(__xludf.DUMMYFUNCTION("""COMPUTED_VALUE"""),"Augustinopolis")</f>
        <v>Augustinopolis</v>
      </c>
      <c r="D81" s="115" t="str">
        <f ca="1">IFERROR(__xludf.DUMMYFUNCTION("""COMPUTED_VALUE"""),"A.A. CENTRO EST. DE EDUCACAO LA SALLE")</f>
        <v>A.A. CENTRO EST. DE EDUCACAO LA SALLE</v>
      </c>
      <c r="E81" s="114" t="str">
        <f ca="1">IFERROR(__xludf.DUMMYFUNCTION("""COMPUTED_VALUE"""),"Centro Estadual de Educacao La Salle")</f>
        <v>Centro Estadual de Educacao La Salle</v>
      </c>
      <c r="F81" s="116" t="str">
        <f ca="1">IFERROR(__xludf.DUMMYFUNCTION("""COMPUTED_VALUE"""),"17001048")</f>
        <v>17001048</v>
      </c>
      <c r="G81" s="114" t="str">
        <f ca="1">IFERROR(__xludf.DUMMYFUNCTION("""COMPUTED_VALUE"""),"01223753000129")</f>
        <v>01223753000129</v>
      </c>
      <c r="H81" s="116" t="str">
        <f ca="1">IFERROR(__xludf.DUMMYFUNCTION("""COMPUTED_VALUE"""),"001")</f>
        <v>001</v>
      </c>
      <c r="I81" s="116" t="str">
        <f ca="1">IFERROR(__xludf.DUMMYFUNCTION("""COMPUTED_VALUE"""),"3975")</f>
        <v>3975</v>
      </c>
      <c r="J81" s="116" t="str">
        <f ca="1">IFERROR(__xludf.DUMMYFUNCTION("""COMPUTED_VALUE"""),"19216")</f>
        <v>19216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IFERROR(__xludf.DUMMYFUNCTION("""COMPUTED_VALUE"""),"Integral")</f>
        <v>Integral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IFERROR(__xludf.DUMMYFUNCTION("""COMPUTED_VALUE"""),"17001005")</f>
        <v>17001005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IFERROR(__xludf.DUMMYFUNCTION("""COMPUTED_VALUE"""),"ASSOC. DE APOIO COL. EST. MANOEL VICENTE SOUZA")</f>
        <v>ASSOC. DE APOIO COL. EST. MANOEL VICENTE SOUZA</v>
      </c>
      <c r="E82" s="114" t="str">
        <f ca="1">IFERROR(__xludf.DUMMYFUNCTION("""COMPUTED_VALUE"""),"Colégio Estadual Manoel Vicente de Souza")</f>
        <v>Colégio Estadual Manoel Vicente de Souza</v>
      </c>
      <c r="F82" s="116" t="str">
        <f ca="1">IFERROR(__xludf.DUMMYFUNCTION("""COMPUTED_VALUE"""),"17001005")</f>
        <v>17001005</v>
      </c>
      <c r="G82" s="114" t="str">
        <f ca="1">IFERROR(__xludf.DUMMYFUNCTION("""COMPUTED_VALUE"""),"01223642000112")</f>
        <v>01223642000112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IFERROR(__xludf.DUMMYFUNCTION("""COMPUTED_VALUE"""),"139297")</f>
        <v>139297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IFERROR(__xludf.DUMMYFUNCTION("""COMPUTED_VALUE"""),"Parcial")</f>
        <v>Parcial</v>
      </c>
      <c r="AF82" s="114" t="str">
        <f ca="1">IFERROR(__xludf.DUMMYFUNCTION("""COMPUTED_VALUE"""),"FE")</f>
        <v>FE</v>
      </c>
      <c r="AG82" s="114">
        <f ca="1">IFERROR(__xludf.DUMMYFUNCTION("""COMPUTED_VALUE"""),25)</f>
        <v>25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IFERROR(__xludf.DUMMYFUNCTION("""COMPUTED_VALUE"""),"17001013")</f>
        <v>17001013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IFERROR(__xludf.DUMMYFUNCTION("""COMPUTED_VALUE"""),"A.A. ESCOLA ESTADUAL AUGUSTINOPOLIS")</f>
        <v>A.A. ESCOLA ESTADUAL AUGUSTINOPOLIS</v>
      </c>
      <c r="E83" s="114" t="str">
        <f ca="1">IFERROR(__xludf.DUMMYFUNCTION("""COMPUTED_VALUE"""),"Escola Estadual de Augustinópolis")</f>
        <v>Escola Estadual de Augustinópolis</v>
      </c>
      <c r="F83" s="116" t="str">
        <f ca="1">IFERROR(__xludf.DUMMYFUNCTION("""COMPUTED_VALUE"""),"17001013")</f>
        <v>17001013</v>
      </c>
      <c r="G83" s="114" t="str">
        <f ca="1">IFERROR(__xludf.DUMMYFUNCTION("""COMPUTED_VALUE"""),"01133692000109")</f>
        <v>01133692000109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IFERROR(__xludf.DUMMYFUNCTION("""COMPUTED_VALUE"""),"019151")</f>
        <v>019151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IFERROR(__xludf.DUMMYFUNCTION("""COMPUTED_VALUE"""),"Integral")</f>
        <v>Integral</v>
      </c>
      <c r="AF83" s="114" t="str">
        <f ca="1">IFERROR(__xludf.DUMMYFUNCTION("""COMPUTED_VALUE"""),"FE")</f>
        <v>FE</v>
      </c>
      <c r="AG83" s="114">
        <f ca="1">IFERROR(__xludf.DUMMYFUNCTION("""COMPUTED_VALUE"""),0)</f>
        <v>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IFERROR(__xludf.DUMMYFUNCTION("""COMPUTED_VALUE"""),21)</f>
        <v>21</v>
      </c>
      <c r="AK83" s="114"/>
      <c r="AL83" s="117"/>
    </row>
    <row r="84" spans="1:38" ht="12.75">
      <c r="A84" s="113" t="str">
        <f ca="1">IFERROR(__xludf.DUMMYFUNCTION("""COMPUTED_VALUE"""),"17001021")</f>
        <v>17001021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IFERROR(__xludf.DUMMYFUNCTION("""COMPUTED_VALUE"""),"ASSOC. DE AP.ESC. EST. FAZ.DEZESSEIS")</f>
        <v>ASSOC. DE AP.ESC. EST. FAZ.DEZESSEIS</v>
      </c>
      <c r="E84" s="114" t="str">
        <f ca="1">IFERROR(__xludf.DUMMYFUNCTION("""COMPUTED_VALUE"""),"Escola Estadual Fazenda dezesseis")</f>
        <v>Escola Estadual Fazenda dezesseis</v>
      </c>
      <c r="F84" s="116" t="str">
        <f ca="1">IFERROR(__xludf.DUMMYFUNCTION("""COMPUTED_VALUE"""),"17001021")</f>
        <v>17001021</v>
      </c>
      <c r="G84" s="114" t="str">
        <f ca="1">IFERROR(__xludf.DUMMYFUNCTION("""COMPUTED_VALUE"""),"01133695000142")</f>
        <v>01133695000142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IFERROR(__xludf.DUMMYFUNCTION("""COMPUTED_VALUE"""),"0019615")</f>
        <v>0019615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IFERROR(__xludf.DUMMYFUNCTION("""COMPUTED_VALUE"""),"Parcial")</f>
        <v>Parcial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IFERROR(__xludf.DUMMYFUNCTION("""COMPUTED_VALUE"""),0)</f>
        <v>0</v>
      </c>
      <c r="AK84" s="114"/>
      <c r="AL84" s="117"/>
    </row>
    <row r="85" spans="1:38" ht="12.75">
      <c r="A85" s="113" t="str">
        <f ca="1">IFERROR(__xludf.DUMMYFUNCTION("""COMPUTED_VALUE"""),"17001030")</f>
        <v>17001030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IFERROR(__xludf.DUMMYFUNCTION("""COMPUTED_VALUE"""),"A.A. DA ESCOLA EST. SANTA GENOVEVA")</f>
        <v>A.A. DA ESCOLA EST. SANTA GENOVEVA</v>
      </c>
      <c r="E85" s="114" t="str">
        <f ca="1">IFERROR(__xludf.DUMMYFUNCTION("""COMPUTED_VALUE"""),"Escola Estadual Santa Genoveva")</f>
        <v>Escola Estadual Santa Genoveva</v>
      </c>
      <c r="F85" s="116" t="str">
        <f ca="1">IFERROR(__xludf.DUMMYFUNCTION("""COMPUTED_VALUE"""),"17001030")</f>
        <v>17001030</v>
      </c>
      <c r="G85" s="114" t="str">
        <f ca="1">IFERROR(__xludf.DUMMYFUNCTION("""COMPUTED_VALUE"""),"01068357000174")</f>
        <v>01068357000174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IFERROR(__xludf.DUMMYFUNCTION("""COMPUTED_VALUE"""),"0019461")</f>
        <v>0019461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IFERROR(__xludf.DUMMYFUNCTION("""COMPUTED_VALUE"""),"Parcial/Integral")</f>
        <v>Parcial/Integral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IFERROR(__xludf.DUMMYFUNCTION("""COMPUTED_VALUE"""),"17001161")</f>
        <v>17001161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IFERROR(__xludf.DUMMYFUNCTION("""COMPUTED_VALUE"""),"Axixa do Tocantins")</f>
        <v>Axixa do Tocantins</v>
      </c>
      <c r="D86" s="115" t="str">
        <f ca="1">IFERROR(__xludf.DUMMYFUNCTION("""COMPUTED_VALUE"""),"ASSOC. DE APOIO COLÉGIO. EST. MAL. RIBAS JUNIOR")</f>
        <v>ASSOC. DE APOIO COLÉGIO. EST. MAL. RIBAS JUNIOR</v>
      </c>
      <c r="E86" s="114" t="str">
        <f ca="1">IFERROR(__xludf.DUMMYFUNCTION("""COMPUTED_VALUE"""),"Colégio Estadual Marechal Ribas Júnior")</f>
        <v>Colégio Estadual Marechal Ribas Júnior</v>
      </c>
      <c r="F86" s="116" t="str">
        <f ca="1">IFERROR(__xludf.DUMMYFUNCTION("""COMPUTED_VALUE"""),"17001161")</f>
        <v>17001161</v>
      </c>
      <c r="G86" s="114" t="str">
        <f ca="1">IFERROR(__xludf.DUMMYFUNCTION("""COMPUTED_VALUE"""),"01086979000125")</f>
        <v>01086979000125</v>
      </c>
      <c r="H86" s="116" t="str">
        <f ca="1">IFERROR(__xludf.DUMMYFUNCTION("""COMPUTED_VALUE"""),"001")</f>
        <v>001</v>
      </c>
      <c r="I86" s="116" t="str">
        <f ca="1">IFERROR(__xludf.DUMMYFUNCTION("""COMPUTED_VALUE"""),"1305")</f>
        <v>1305</v>
      </c>
      <c r="J86" s="116" t="str">
        <f ca="1">IFERROR(__xludf.DUMMYFUNCTION("""COMPUTED_VALUE"""),"209201")</f>
        <v>209201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IFERROR(__xludf.DUMMYFUNCTION("""COMPUTED_VALUE"""),"Parcial")</f>
        <v>Parcial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IFERROR(__xludf.DUMMYFUNCTION("""COMPUTED_VALUE"""),"17001188")</f>
        <v>17001188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IFERROR(__xludf.DUMMYFUNCTION("""COMPUTED_VALUE"""),"A.A. ESC. EST. SAO FRANCISCO DE ASSIS")</f>
        <v>A.A. ESC. EST. SAO FRANCISCO DE ASSIS</v>
      </c>
      <c r="E87" s="114" t="str">
        <f ca="1">IFERROR(__xludf.DUMMYFUNCTION("""COMPUTED_VALUE"""),"Escola Estadual Girassol de Tempo Integral São Francisco de Assis")</f>
        <v>Escola Estadual Girassol de Tempo Integral São Francisco de Assis</v>
      </c>
      <c r="F87" s="116" t="str">
        <f ca="1">IFERROR(__xludf.DUMMYFUNCTION("""COMPUTED_VALUE"""),"17001188")</f>
        <v>17001188</v>
      </c>
      <c r="G87" s="114" t="str">
        <f ca="1">IFERROR(__xludf.DUMMYFUNCTION("""COMPUTED_VALUE"""),"01086980000150")</f>
        <v>01086980000150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IFERROR(__xludf.DUMMYFUNCTION("""COMPUTED_VALUE"""),"19399")</f>
        <v>19399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IFERROR(__xludf.DUMMYFUNCTION("""COMPUTED_VALUE"""),"17001439")</f>
        <v>17001439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IFERROR(__xludf.DUMMYFUNCTION("""COMPUTED_VALUE"""),"Buriti do Tocantins")</f>
        <v>Buriti do Tocantins</v>
      </c>
      <c r="D88" s="115" t="str">
        <f ca="1">IFERROR(__xludf.DUMMYFUNCTION("""COMPUTED_VALUE"""),"A. DE APOIO DO COLEGIO EST. BURITI")</f>
        <v>A. DE APOIO DO COLEGIO EST. BURITI</v>
      </c>
      <c r="E88" s="114" t="str">
        <f ca="1">IFERROR(__xludf.DUMMYFUNCTION("""COMPUTED_VALUE"""),"Colégio Estadual Buriti")</f>
        <v>Colégio Estadual Buriti</v>
      </c>
      <c r="F88" s="116" t="str">
        <f ca="1">IFERROR(__xludf.DUMMYFUNCTION("""COMPUTED_VALUE"""),"17001439")</f>
        <v>17001439</v>
      </c>
      <c r="G88" s="114" t="str">
        <f ca="1">IFERROR(__xludf.DUMMYFUNCTION("""COMPUTED_VALUE"""),"01206217000115")</f>
        <v>01206217000115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IFERROR(__xludf.DUMMYFUNCTION("""COMPUTED_VALUE"""),"209406")</f>
        <v>209406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 t="str">
        <f ca="1">IFERROR(__xludf.DUMMYFUNCTION("""COMPUTED_VALUE"""),"E.M. INTEGRADO")</f>
        <v>E.M. INTEGRADO</v>
      </c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IFERROR(__xludf.DUMMYFUNCTION("""COMPUTED_VALUE"""),12)</f>
        <v>12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IFERROR(__xludf.DUMMYFUNCTION("""COMPUTED_VALUE"""),"17001455")</f>
        <v>17001455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IFERROR(__xludf.DUMMYFUNCTION("""COMPUTED_VALUE"""),"A.A. DA ESCOLA ESTADUAL DARCYNOPOLIS")</f>
        <v>A.A. DA ESCOLA ESTADUAL DARCYNOPOLIS</v>
      </c>
      <c r="E89" s="114" t="str">
        <f ca="1">IFERROR(__xludf.DUMMYFUNCTION("""COMPUTED_VALUE"""),"Escola Estadual darcinópolis")</f>
        <v>Escola Estadual darcinópolis</v>
      </c>
      <c r="F89" s="116" t="str">
        <f ca="1">IFERROR(__xludf.DUMMYFUNCTION("""COMPUTED_VALUE"""),"17001455")</f>
        <v>17001455</v>
      </c>
      <c r="G89" s="114" t="str">
        <f ca="1">IFERROR(__xludf.DUMMYFUNCTION("""COMPUTED_VALUE"""),"01190184000162")</f>
        <v>01190184000162</v>
      </c>
      <c r="H89" s="116" t="str">
        <f ca="1">IFERROR(__xludf.DUMMYFUNCTION("""COMPUTED_VALUE"""),"001")</f>
        <v>001</v>
      </c>
      <c r="I89" s="116" t="str">
        <f ca="1">IFERROR(__xludf.DUMMYFUNCTION("""COMPUTED_VALUE"""),"3975")</f>
        <v>3975</v>
      </c>
      <c r="J89" s="116" t="str">
        <f ca="1">IFERROR(__xludf.DUMMYFUNCTION("""COMPUTED_VALUE"""),"0019275")</f>
        <v>0019275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/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IFERROR(__xludf.DUMMYFUNCTION("""COMPUTED_VALUE"""),0)</f>
        <v>0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IFERROR(__xludf.DUMMYFUNCTION("""COMPUTED_VALUE"""),"17001579")</f>
        <v>17001579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ESC. ESTADUAL MINISTRO NEY BRAGA")</f>
        <v>A.A. ESC. ESTADUAL MINISTRO NEY BRAGA</v>
      </c>
      <c r="E90" s="114" t="str">
        <f ca="1">IFERROR(__xludf.DUMMYFUNCTION("""COMPUTED_VALUE"""),"Escola Estadual Ministro Ney Braga")</f>
        <v>Escola Estadual Ministro Ney Braga</v>
      </c>
      <c r="F90" s="116" t="str">
        <f ca="1">IFERROR(__xludf.DUMMYFUNCTION("""COMPUTED_VALUE"""),"17001579")</f>
        <v>17001579</v>
      </c>
      <c r="G90" s="114" t="str">
        <f ca="1">IFERROR(__xludf.DUMMYFUNCTION("""COMPUTED_VALUE"""),"01206220000139")</f>
        <v>01206220000139</v>
      </c>
      <c r="H90" s="116" t="str">
        <f ca="1">IFERROR(__xludf.DUMMYFUNCTION("""COMPUTED_VALUE"""),"001")</f>
        <v>001</v>
      </c>
      <c r="I90" s="116" t="str">
        <f ca="1">IFERROR(__xludf.DUMMYFUNCTION("""COMPUTED_VALUE"""),"1305")</f>
        <v>1305</v>
      </c>
      <c r="J90" s="116" t="str">
        <f ca="1">IFERROR(__xludf.DUMMYFUNCTION("""COMPUTED_VALUE"""),"10941X")</f>
        <v>10941X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IFERROR(__xludf.DUMMYFUNCTION("""COMPUTED_VALUE"""),"17001463")</f>
        <v>17001463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E.PRES.TANCREDO DE A.NEVES")</f>
        <v>A.A. ESC. E.PRES.TANCREDO DE A.NEVES</v>
      </c>
      <c r="E91" s="114" t="str">
        <f ca="1">IFERROR(__xludf.DUMMYFUNCTION("""COMPUTED_VALUE"""),"Escola Estadual Presidente Tancredo de Almeida Neves")</f>
        <v>Escola Estadual Presidente Tancredo de Almeida Neves</v>
      </c>
      <c r="F91" s="116" t="str">
        <f ca="1">IFERROR(__xludf.DUMMYFUNCTION("""COMPUTED_VALUE"""),"17001463")</f>
        <v>17001463</v>
      </c>
      <c r="G91" s="114" t="str">
        <f ca="1">IFERROR(__xludf.DUMMYFUNCTION("""COMPUTED_VALUE"""),"01112478000176")</f>
        <v>01112478000176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IFERROR(__xludf.DUMMYFUNCTION("""COMPUTED_VALUE"""),"10924X")</f>
        <v>10924X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IFERROR(__xludf.DUMMYFUNCTION("""COMPUTED_VALUE"""),"17001471")</f>
        <v>17001471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EST. VICENTE CARLOS DE SOUSA")</f>
        <v>A.A. ESC. EST. VICENTE CARLOS DE SOUSA</v>
      </c>
      <c r="E92" s="114" t="str">
        <f ca="1">IFERROR(__xludf.DUMMYFUNCTION("""COMPUTED_VALUE"""),"Escola Estadual Vicente Carlos de Sousa")</f>
        <v>Escola Estadual Vicente Carlos de Sousa</v>
      </c>
      <c r="F92" s="116" t="str">
        <f ca="1">IFERROR(__xludf.DUMMYFUNCTION("""COMPUTED_VALUE"""),"17001471")</f>
        <v>17001471</v>
      </c>
      <c r="G92" s="114" t="str">
        <f ca="1">IFERROR(__xludf.DUMMYFUNCTION("""COMPUTED_VALUE"""),"01206288000118")</f>
        <v>01206288000118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IFERROR(__xludf.DUMMYFUNCTION("""COMPUTED_VALUE"""),"0109614")</f>
        <v>0109614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IFERROR(__xludf.DUMMYFUNCTION("""COMPUTED_VALUE"""),"17001650")</f>
        <v>17001650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IFERROR(__xludf.DUMMYFUNCTION("""COMPUTED_VALUE"""),"Carrasco Bonito")</f>
        <v>Carrasco Bonito</v>
      </c>
      <c r="D93" s="115" t="str">
        <f ca="1">IFERROR(__xludf.DUMMYFUNCTION("""COMPUTED_VALUE"""),"A.A. DA ESC. EST. CICERO GOMES")</f>
        <v>A.A. DA ESC. EST. CICERO GOMES</v>
      </c>
      <c r="E93" s="114" t="str">
        <f ca="1">IFERROR(__xludf.DUMMYFUNCTION("""COMPUTED_VALUE"""),"Escola Estadual Cícero Gomes de Jesus")</f>
        <v>Escola Estadual Cícero Gomes de Jesus</v>
      </c>
      <c r="F93" s="116" t="str">
        <f ca="1">IFERROR(__xludf.DUMMYFUNCTION("""COMPUTED_VALUE"""),"17001650")</f>
        <v>17001650</v>
      </c>
      <c r="G93" s="114" t="str">
        <f ca="1">IFERROR(__xludf.DUMMYFUNCTION("""COMPUTED_VALUE"""),"01068377000145")</f>
        <v>01068377000145</v>
      </c>
      <c r="H93" s="116" t="str">
        <f ca="1">IFERROR(__xludf.DUMMYFUNCTION("""COMPUTED_VALUE"""),"001")</f>
        <v>001</v>
      </c>
      <c r="I93" s="116" t="str">
        <f ca="1">IFERROR(__xludf.DUMMYFUNCTION("""COMPUTED_VALUE"""),"3975")</f>
        <v>3975</v>
      </c>
      <c r="J93" s="116" t="str">
        <f ca="1">IFERROR(__xludf.DUMMYFUNCTION("""COMPUTED_VALUE"""),"19291")</f>
        <v>19291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IFERROR(__xludf.DUMMYFUNCTION("""COMPUTED_VALUE"""),"17001668")</f>
        <v>17001668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 DA ESCOLA ESTADUAL INES VIANA")</f>
        <v>A.A.  DA ESCOLA ESTADUAL INES VIANA</v>
      </c>
      <c r="E94" s="114" t="str">
        <f ca="1">IFERROR(__xludf.DUMMYFUNCTION("""COMPUTED_VALUE"""),"Escola Estadual Inês Viana Costa")</f>
        <v>Escola Estadual Inês Viana Costa</v>
      </c>
      <c r="F94" s="116" t="str">
        <f ca="1">IFERROR(__xludf.DUMMYFUNCTION("""COMPUTED_VALUE"""),"17001668")</f>
        <v>17001668</v>
      </c>
      <c r="G94" s="114" t="str">
        <f ca="1">IFERROR(__xludf.DUMMYFUNCTION("""COMPUTED_VALUE"""),"02508340000153")</f>
        <v>02508340000153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IFERROR(__xludf.DUMMYFUNCTION("""COMPUTED_VALUE"""),"51713")</f>
        <v>51713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IFERROR(__xludf.DUMMYFUNCTION("""COMPUTED_VALUE"""),"17039932")</f>
        <v>17039932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IFERROR(__xludf.DUMMYFUNCTION("""COMPUTED_VALUE"""),"Esperantina")</f>
        <v>Esperantina</v>
      </c>
      <c r="D95" s="115" t="str">
        <f ca="1">IFERROR(__xludf.DUMMYFUNCTION("""COMPUTED_VALUE"""),"A.A. ESC. EST. JOAQUINA MARIA DA SILVA")</f>
        <v>A.A. ESC. EST. JOAQUINA MARIA DA SILVA</v>
      </c>
      <c r="E95" s="114" t="str">
        <f ca="1">IFERROR(__xludf.DUMMYFUNCTION("""COMPUTED_VALUE"""),"Colégio Estadual Joaquina Maria da Silva")</f>
        <v>Colégio Estadual Joaquina Maria da Silva</v>
      </c>
      <c r="F95" s="116" t="str">
        <f ca="1">IFERROR(__xludf.DUMMYFUNCTION("""COMPUTED_VALUE"""),"17039932")</f>
        <v>17039932</v>
      </c>
      <c r="G95" s="114" t="str">
        <f ca="1">IFERROR(__xludf.DUMMYFUNCTION("""COMPUTED_VALUE"""),"01113183000114")</f>
        <v>01113183000114</v>
      </c>
      <c r="H95" s="116" t="str">
        <f ca="1">IFERROR(__xludf.DUMMYFUNCTION("""COMPUTED_VALUE"""),"001")</f>
        <v>001</v>
      </c>
      <c r="I95" s="116" t="str">
        <f ca="1">IFERROR(__xludf.DUMMYFUNCTION("""COMPUTED_VALUE"""),"1305")</f>
        <v>1305</v>
      </c>
      <c r="J95" s="116" t="str">
        <f ca="1">IFERROR(__xludf.DUMMYFUNCTION("""COMPUTED_VALUE"""),"109665")</f>
        <v>109665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 t="str">
        <f ca="1">IFERROR(__xludf.DUMMYFUNCTION("""COMPUTED_VALUE"""),"E.M. INTEGRADO")</f>
        <v>E.M. INTEGRADO</v>
      </c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IFERROR(__xludf.DUMMYFUNCTION("""COMPUTED_VALUE"""),"17001935")</f>
        <v>17001935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ESTADUAL ULISSES GUIMARAES")</f>
        <v>A.A. ESC. ESTADUAL ULISSES GUIMARAES</v>
      </c>
      <c r="E96" s="114" t="str">
        <f ca="1">IFERROR(__xludf.DUMMYFUNCTION("""COMPUTED_VALUE"""),"Escola Estadual Doutor Ulisses Guimarães")</f>
        <v>Escola Estadual Doutor Ulisses Guimarães</v>
      </c>
      <c r="F96" s="116" t="str">
        <f ca="1">IFERROR(__xludf.DUMMYFUNCTION("""COMPUTED_VALUE"""),"17001935")</f>
        <v>17001935</v>
      </c>
      <c r="G96" s="114" t="str">
        <f ca="1">IFERROR(__xludf.DUMMYFUNCTION("""COMPUTED_VALUE"""),"01190183000118")</f>
        <v>01190183000118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IFERROR(__xludf.DUMMYFUNCTION("""COMPUTED_VALUE"""),"109363")</f>
        <v>109363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IFERROR(__xludf.DUMMYFUNCTION("""COMPUTED_VALUE"""),"17054796")</f>
        <v>17054796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FAMÍLIA AGRÍCOLA DO BICO DO PAPAGAIO")</f>
        <v>A.A. ESC. FAMÍLIA AGRÍCOLA DO BICO DO PAPAGAIO</v>
      </c>
      <c r="E97" s="114" t="str">
        <f ca="1">IFERROR(__xludf.DUMMYFUNCTION("""COMPUTED_VALUE"""),"Escola Família Agricola do Bico do Papagaio Padre Josimo")</f>
        <v>Escola Família Agricola do Bico do Papagaio Padre Josimo</v>
      </c>
      <c r="F97" s="116" t="str">
        <f ca="1">IFERROR(__xludf.DUMMYFUNCTION("""COMPUTED_VALUE"""),"17054796")</f>
        <v>17054796</v>
      </c>
      <c r="G97" s="114" t="str">
        <f ca="1">IFERROR(__xludf.DUMMYFUNCTION("""COMPUTED_VALUE"""),"09500499000170")</f>
        <v>09500499000170</v>
      </c>
      <c r="H97" s="116" t="str">
        <f ca="1">IFERROR(__xludf.DUMMYFUNCTION("""COMPUTED_VALUE"""),"001")</f>
        <v>001</v>
      </c>
      <c r="I97" s="116" t="str">
        <f ca="1">IFERROR(__xludf.DUMMYFUNCTION("""COMPUTED_VALUE"""),"3975")</f>
        <v>3975</v>
      </c>
      <c r="J97" s="116" t="str">
        <f ca="1">IFERROR(__xludf.DUMMYFUNCTION("""COMPUTED_VALUE"""),"232653")</f>
        <v>232653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IFERROR(__xludf.DUMMYFUNCTION("""COMPUTED_VALUE"""),"AGRÍCOLA")</f>
        <v>AGRÍCOLA</v>
      </c>
      <c r="AE97" s="114" t="str">
        <f ca="1">IFERROR(__xludf.DUMMYFUNCTION("""COMPUTED_VALUE"""),"Integral")</f>
        <v>Integral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IFERROR(__xludf.DUMMYFUNCTION("""COMPUTED_VALUE"""),13)</f>
        <v>13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IFERROR(__xludf.DUMMYFUNCTION("""COMPUTED_VALUE"""),"17003075")</f>
        <v>17003075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IFERROR(__xludf.DUMMYFUNCTION("""COMPUTED_VALUE"""),"Praia Norte")</f>
        <v>Praia Norte</v>
      </c>
      <c r="D98" s="115" t="str">
        <f ca="1">IFERROR(__xludf.DUMMYFUNCTION("""COMPUTED_VALUE"""),"ASS. DE AP.ESCOLA EST. Iº DE JUNHO")</f>
        <v>ASS. DE AP.ESCOLA EST. Iº DE JUNHO</v>
      </c>
      <c r="E98" s="114" t="str">
        <f ca="1">IFERROR(__xludf.DUMMYFUNCTION("""COMPUTED_VALUE"""),"Escola Estadual 1º de Junho")</f>
        <v>Escola Estadual 1º de Junho</v>
      </c>
      <c r="F98" s="116" t="str">
        <f ca="1">IFERROR(__xludf.DUMMYFUNCTION("""COMPUTED_VALUE"""),"17003075")</f>
        <v>17003075</v>
      </c>
      <c r="G98" s="114" t="str">
        <f ca="1">IFERROR(__xludf.DUMMYFUNCTION("""COMPUTED_VALUE"""),"01392734000126")</f>
        <v>01392734000126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IFERROR(__xludf.DUMMYFUNCTION("""COMPUTED_VALUE"""),"19712")</f>
        <v>19712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/>
      <c r="AE98" s="114" t="str">
        <f ca="1">IFERROR(__xludf.DUMMYFUNCTION("""COMPUTED_VALUE"""),"Parcial")</f>
        <v>Parcial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IFERROR(__xludf.DUMMYFUNCTION("""COMPUTED_VALUE"""),0)</f>
        <v>0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IFERROR(__xludf.DUMMYFUNCTION("""COMPUTED_VALUE"""),"17003083")</f>
        <v>17003083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AP.ESC. ESTADUAL GENESIO GOMES")</f>
        <v>ASS. AP.ESC. ESTADUAL GENESIO GOMES</v>
      </c>
      <c r="E99" s="114" t="str">
        <f ca="1">IFERROR(__xludf.DUMMYFUNCTION("""COMPUTED_VALUE"""),"Escola Estadual Genésio Gomes")</f>
        <v>Escola Estadual Genésio Gomes</v>
      </c>
      <c r="F99" s="116" t="str">
        <f ca="1">IFERROR(__xludf.DUMMYFUNCTION("""COMPUTED_VALUE"""),"17003083")</f>
        <v>17003083</v>
      </c>
      <c r="G99" s="114" t="str">
        <f ca="1">IFERROR(__xludf.DUMMYFUNCTION("""COMPUTED_VALUE"""),"01192607000183")</f>
        <v>01192607000183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IFERROR(__xludf.DUMMYFUNCTION("""COMPUTED_VALUE"""),"19690")</f>
        <v>19690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IFERROR(__xludf.DUMMYFUNCTION("""COMPUTED_VALUE"""),"17003440")</f>
        <v>17003440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IFERROR(__xludf.DUMMYFUNCTION("""COMPUTED_VALUE"""),"Sampaio")</f>
        <v>Sampaio</v>
      </c>
      <c r="D100" s="115" t="str">
        <f ca="1">IFERROR(__xludf.DUMMYFUNCTION("""COMPUTED_VALUE"""),"A. DE AP. DA ESCOLA ESTADUAL SAMPAIO")</f>
        <v>A. DE AP. DA ESCOLA ESTADUAL SAMPAIO</v>
      </c>
      <c r="E100" s="114" t="str">
        <f ca="1">IFERROR(__xludf.DUMMYFUNCTION("""COMPUTED_VALUE"""),"Escola Estadual Sampaio")</f>
        <v>Escola Estadual Sampaio</v>
      </c>
      <c r="F100" s="116" t="str">
        <f ca="1">IFERROR(__xludf.DUMMYFUNCTION("""COMPUTED_VALUE"""),"17003440")</f>
        <v>17003440</v>
      </c>
      <c r="G100" s="114" t="str">
        <f ca="1">IFERROR(__xludf.DUMMYFUNCTION("""COMPUTED_VALUE"""),"01190179000150")</f>
        <v>01190179000150</v>
      </c>
      <c r="H100" s="116" t="str">
        <f ca="1">IFERROR(__xludf.DUMMYFUNCTION("""COMPUTED_VALUE"""),"001")</f>
        <v>001</v>
      </c>
      <c r="I100" s="116" t="str">
        <f ca="1">IFERROR(__xludf.DUMMYFUNCTION("""COMPUTED_VALUE"""),"1305")</f>
        <v>1305</v>
      </c>
      <c r="J100" s="116" t="str">
        <f ca="1">IFERROR(__xludf.DUMMYFUNCTION("""COMPUTED_VALUE"""),"0019178")</f>
        <v>0019178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IFERROR(__xludf.DUMMYFUNCTION("""COMPUTED_VALUE"""),"17003512")</f>
        <v>17003512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IFERROR(__xludf.DUMMYFUNCTION("""COMPUTED_VALUE"""),"Sao Bento do Tocantins")</f>
        <v>Sao Bento do Tocantins</v>
      </c>
      <c r="D101" s="115" t="str">
        <f ca="1">IFERROR(__xludf.DUMMYFUNCTION("""COMPUTED_VALUE"""),"A.A. COLEGIO EST. IRMAOS FILGUEIRAS")</f>
        <v>A.A. COLEGIO EST. IRMAOS FILGUEIRAS</v>
      </c>
      <c r="E101" s="114" t="str">
        <f ca="1">IFERROR(__xludf.DUMMYFUNCTION("""COMPUTED_VALUE"""),"Colégio Estadual Irmãos Filgueiras")</f>
        <v>Colégio Estadual Irmãos Filgueiras</v>
      </c>
      <c r="F101" s="116" t="str">
        <f ca="1">IFERROR(__xludf.DUMMYFUNCTION("""COMPUTED_VALUE"""),"17003512")</f>
        <v>17003512</v>
      </c>
      <c r="G101" s="114" t="str">
        <f ca="1">IFERROR(__xludf.DUMMYFUNCTION("""COMPUTED_VALUE"""),"01068348000183")</f>
        <v>01068348000183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IFERROR(__xludf.DUMMYFUNCTION("""COMPUTED_VALUE"""),"109134")</f>
        <v>109134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IFERROR(__xludf.DUMMYFUNCTION("""COMPUTED_VALUE"""),"17040000")</f>
        <v>17040000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ESC. EST. ANAIDES BRITO MIRANDA")</f>
        <v>A.A. ESC. EST. ANAIDES BRITO MIRANDA</v>
      </c>
      <c r="E102" s="114" t="str">
        <f ca="1">IFERROR(__xludf.DUMMYFUNCTION("""COMPUTED_VALUE"""),"Escola Estadual Anaides Brito Miranda")</f>
        <v>Escola Estadual Anaides Brito Miranda</v>
      </c>
      <c r="F102" s="116" t="str">
        <f ca="1">IFERROR(__xludf.DUMMYFUNCTION("""COMPUTED_VALUE"""),"17040000")</f>
        <v>17040000</v>
      </c>
      <c r="G102" s="114" t="str">
        <f ca="1">IFERROR(__xludf.DUMMYFUNCTION("""COMPUTED_VALUE"""),"01181993000108")</f>
        <v>01181993000108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IFERROR(__xludf.DUMMYFUNCTION("""COMPUTED_VALUE"""),"10938x")</f>
        <v>10938x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IFERROR(__xludf.DUMMYFUNCTION("""COMPUTED_VALUE"""),"17003644")</f>
        <v>17003644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Miguel do Tocantins")</f>
        <v>Sao Miguel do Tocantins</v>
      </c>
      <c r="D103" s="115" t="str">
        <f ca="1">IFERROR(__xludf.DUMMYFUNCTION("""COMPUTED_VALUE"""),"A.A.  DA ESCOLA ESTADUAL BELA VISTA")</f>
        <v>A.A.  DA ESCOLA ESTADUAL BELA VISTA</v>
      </c>
      <c r="E103" s="114" t="str">
        <f ca="1">IFERROR(__xludf.DUMMYFUNCTION("""COMPUTED_VALUE"""),"Escola Estadual Bela Vista")</f>
        <v>Escola Estadual Bela Vista</v>
      </c>
      <c r="F103" s="116" t="str">
        <f ca="1">IFERROR(__xludf.DUMMYFUNCTION("""COMPUTED_VALUE"""),"17003644")</f>
        <v>17003644</v>
      </c>
      <c r="G103" s="114" t="str">
        <f ca="1">IFERROR(__xludf.DUMMYFUNCTION("""COMPUTED_VALUE"""),"01230238000176")</f>
        <v>01230238000176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IFERROR(__xludf.DUMMYFUNCTION("""COMPUTED_VALUE"""),"0217948")</f>
        <v>0217948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IFERROR(__xludf.DUMMYFUNCTION("""COMPUTED_VALUE"""),"17003652")</f>
        <v>17003652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ESCOLA ESTADUAL SAO MIGUEL")</f>
        <v>A.A.  ESCOLA ESTADUAL SAO MIGUEL</v>
      </c>
      <c r="E104" s="114" t="str">
        <f ca="1">IFERROR(__xludf.DUMMYFUNCTION("""COMPUTED_VALUE"""),"Escola Estadual São Miguel")</f>
        <v>Escola Estadual São Miguel</v>
      </c>
      <c r="F104" s="116" t="str">
        <f ca="1">IFERROR(__xludf.DUMMYFUNCTION("""COMPUTED_VALUE"""),"17003652")</f>
        <v>17003652</v>
      </c>
      <c r="G104" s="114" t="str">
        <f ca="1">IFERROR(__xludf.DUMMYFUNCTION("""COMPUTED_VALUE"""),"01213523000189")</f>
        <v>01213523000189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IFERROR(__xludf.DUMMYFUNCTION("""COMPUTED_VALUE"""),"173576")</f>
        <v>173576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IFERROR(__xludf.DUMMYFUNCTION("""COMPUTED_VALUE"""),"17003849")</f>
        <v>17003849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Sebastiao do Tocantins")</f>
        <v>Sao Sebastiao do Tocantins</v>
      </c>
      <c r="D105" s="115" t="str">
        <f ca="1">IFERROR(__xludf.DUMMYFUNCTION("""COMPUTED_VALUE"""),"A.A.  DO COL. EST.IRIO OLIVEIRA SOUZA")</f>
        <v>A.A.  DO COL. EST.IRIO OLIVEIRA SOUZA</v>
      </c>
      <c r="E105" s="114" t="str">
        <f ca="1">IFERROR(__xludf.DUMMYFUNCTION("""COMPUTED_VALUE"""),"Colégio Estadual Írio Oliveira Souza")</f>
        <v>Colégio Estadual Írio Oliveira Souza</v>
      </c>
      <c r="F105" s="116" t="str">
        <f ca="1">IFERROR(__xludf.DUMMYFUNCTION("""COMPUTED_VALUE"""),"17003849")</f>
        <v>17003849</v>
      </c>
      <c r="G105" s="114" t="str">
        <f ca="1">IFERROR(__xludf.DUMMYFUNCTION("""COMPUTED_VALUE"""),"01112477000121")</f>
        <v>01112477000121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IFERROR(__xludf.DUMMYFUNCTION("""COMPUTED_VALUE"""),"0109282")</f>
        <v>0109282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IFERROR(__xludf.DUMMYFUNCTION("""COMPUTED_VALUE"""),"17003857")</f>
        <v>17003857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E. E. DR.PEDRO LUDOVICO TEIXEIRA")</f>
        <v>A.A. E. E. DR.PEDRO LUDOVICO TEIXEIRA</v>
      </c>
      <c r="E106" s="114" t="str">
        <f ca="1">IFERROR(__xludf.DUMMYFUNCTION("""COMPUTED_VALUE"""),"Escola Estadual Doutor Pedro Ludovico Teixeira")</f>
        <v>Escola Estadual Doutor Pedro Ludovico Teixeira</v>
      </c>
      <c r="F106" s="116" t="str">
        <f ca="1">IFERROR(__xludf.DUMMYFUNCTION("""COMPUTED_VALUE"""),"17003857")</f>
        <v>17003857</v>
      </c>
      <c r="G106" s="114" t="str">
        <f ca="1">IFERROR(__xludf.DUMMYFUNCTION("""COMPUTED_VALUE"""),"01186462000108")</f>
        <v>01186462000108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IFERROR(__xludf.DUMMYFUNCTION("""COMPUTED_VALUE"""),"109711")</f>
        <v>109711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IFERROR(__xludf.DUMMYFUNCTION("""COMPUTED_VALUE"""),"17003970")</f>
        <v>17003970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IFERROR(__xludf.DUMMYFUNCTION("""COMPUTED_VALUE"""),"Sitio Novo do Tocantins")</f>
        <v>Sitio Novo do Tocantins</v>
      </c>
      <c r="D107" s="115" t="str">
        <f ca="1">IFERROR(__xludf.DUMMYFUNCTION("""COMPUTED_VALUE"""),"A.A. COL. EST. MARECHAEL RIBAS JUNIOR")</f>
        <v>A.A. COL. EST. MARECHAEL RIBAS JUNIOR</v>
      </c>
      <c r="E107" s="114" t="str">
        <f ca="1">IFERROR(__xludf.DUMMYFUNCTION("""COMPUTED_VALUE"""),"Colegio Estadual Marechal Ribas Júnior")</f>
        <v>Colegio Estadual Marechal Ribas Júnior</v>
      </c>
      <c r="F107" s="116" t="str">
        <f ca="1">IFERROR(__xludf.DUMMYFUNCTION("""COMPUTED_VALUE"""),"17003970")</f>
        <v>17003970</v>
      </c>
      <c r="G107" s="114" t="str">
        <f ca="1">IFERROR(__xludf.DUMMYFUNCTION("""COMPUTED_VALUE"""),"01230241000190")</f>
        <v>01230241000190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IFERROR(__xludf.DUMMYFUNCTION("""COMPUTED_VALUE"""),"217964")</f>
        <v>217964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IFERROR(__xludf.DUMMYFUNCTION("""COMPUTED_VALUE"""),"17038820")</f>
        <v>17038820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E. EST. JOAQUIM TEOTONIO SEGURADO")</f>
        <v>A.A. E. EST. JOAQUIM TEOTONIO SEGURADO</v>
      </c>
      <c r="E108" s="114" t="str">
        <f ca="1">IFERROR(__xludf.DUMMYFUNCTION("""COMPUTED_VALUE"""),"Escola Estadual Joaquim Theotônio Segurado")</f>
        <v>Escola Estadual Joaquim Theotônio Segurado</v>
      </c>
      <c r="F108" s="116" t="str">
        <f ca="1">IFERROR(__xludf.DUMMYFUNCTION("""COMPUTED_VALUE"""),"17038820")</f>
        <v>17038820</v>
      </c>
      <c r="G108" s="114" t="str">
        <f ca="1">IFERROR(__xludf.DUMMYFUNCTION("""COMPUTED_VALUE"""),"01230240000145")</f>
        <v>01230240000145</v>
      </c>
      <c r="H108" s="116" t="str">
        <f ca="1">IFERROR(__xludf.DUMMYFUNCTION("""COMPUTED_VALUE"""),"001")</f>
        <v>001</v>
      </c>
      <c r="I108" s="116" t="str">
        <f ca="1">IFERROR(__xludf.DUMMYFUNCTION("""COMPUTED_VALUE"""),"0810")</f>
        <v>0810</v>
      </c>
      <c r="J108" s="116" t="str">
        <f ca="1">IFERROR(__xludf.DUMMYFUNCTION("""COMPUTED_VALUE"""),"217972")</f>
        <v>217972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IFERROR(__xludf.DUMMYFUNCTION("""COMPUTED_VALUE"""),"17003997")</f>
        <v>17003997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ESC. EST. MANOEL ESTEVAO DE SOUZA")</f>
        <v>A.A. ESC. EST. MANOEL ESTEVAO DE SOUZA</v>
      </c>
      <c r="E109" s="114" t="str">
        <f ca="1">IFERROR(__xludf.DUMMYFUNCTION("""COMPUTED_VALUE"""),"Escola Estadual Manoel Estevão de Souza")</f>
        <v>Escola Estadual Manoel Estevão de Souza</v>
      </c>
      <c r="F109" s="116" t="str">
        <f ca="1">IFERROR(__xludf.DUMMYFUNCTION("""COMPUTED_VALUE"""),"17003997")</f>
        <v>17003997</v>
      </c>
      <c r="G109" s="114" t="str">
        <f ca="1">IFERROR(__xludf.DUMMYFUNCTION("""COMPUTED_VALUE"""),"01213534000169")</f>
        <v>01213534000169</v>
      </c>
      <c r="H109" s="116" t="str">
        <f ca="1">IFERROR(__xludf.DUMMYFUNCTION("""COMPUTED_VALUE"""),"001")</f>
        <v>001</v>
      </c>
      <c r="I109" s="116" t="str">
        <f ca="1">IFERROR(__xludf.DUMMYFUNCTION("""COMPUTED_VALUE"""),"1305")</f>
        <v>1305</v>
      </c>
      <c r="J109" s="116" t="str">
        <f ca="1">IFERROR(__xludf.DUMMYFUNCTION("""COMPUTED_VALUE"""),"181048")</f>
        <v>181048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IFERROR(__xludf.DUMMYFUNCTION("""COMPUTED_VALUE"""),"17039894")</f>
        <v>17039894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RAIMUNDO NONATO LEITE")</f>
        <v>A.A. ESC. EST. RAIMUNDO NONATO LEITE</v>
      </c>
      <c r="E110" s="114" t="str">
        <f ca="1">IFERROR(__xludf.DUMMYFUNCTION("""COMPUTED_VALUE"""),"Escola Estadual Raimundo Nonato Leite")</f>
        <v>Escola Estadual Raimundo Nonato Leite</v>
      </c>
      <c r="F110" s="116" t="str">
        <f ca="1">IFERROR(__xludf.DUMMYFUNCTION("""COMPUTED_VALUE"""),"17039894")</f>
        <v>17039894</v>
      </c>
      <c r="G110" s="114" t="str">
        <f ca="1">IFERROR(__xludf.DUMMYFUNCTION("""COMPUTED_VALUE"""),"01230237000121")</f>
        <v>01230237000121</v>
      </c>
      <c r="H110" s="116" t="str">
        <f ca="1">IFERROR(__xludf.DUMMYFUNCTION("""COMPUTED_VALUE"""),"001")</f>
        <v>001</v>
      </c>
      <c r="I110" s="116" t="str">
        <f ca="1">IFERROR(__xludf.DUMMYFUNCTION("""COMPUTED_VALUE"""),"0810")</f>
        <v>0810</v>
      </c>
      <c r="J110" s="116" t="str">
        <f ca="1">IFERROR(__xludf.DUMMYFUNCTION("""COMPUTED_VALUE"""),"217980")</f>
        <v>217980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IFERROR(__xludf.DUMMYFUNCTION("""COMPUTED_VALUE"""),"17032695")</f>
        <v>17032695</v>
      </c>
      <c r="B111" s="114" t="str">
        <f ca="1">IFERROR(__xludf.DUMMYFUNCTION("""COMPUTED_VALUE"""),"Arraias")</f>
        <v>Arraias</v>
      </c>
      <c r="C111" s="114" t="str">
        <f ca="1">IFERROR(__xludf.DUMMYFUNCTION("""COMPUTED_VALUE"""),"Arraias")</f>
        <v>Arraias</v>
      </c>
      <c r="D111" s="115" t="str">
        <f ca="1">IFERROR(__xludf.DUMMYFUNCTION("""COMPUTED_VALUE"""),"A. E. COM.COL EST PROFA. JOANA B. CORDEIRO")</f>
        <v>A. E. COM.COL EST PROFA. JOANA B. CORDEIRO</v>
      </c>
      <c r="E111" s="114" t="str">
        <f ca="1">IFERROR(__xludf.DUMMYFUNCTION("""COMPUTED_VALUE"""),"Colégio Estadual Professora Joana Batista Cordeiro")</f>
        <v>Colégio Estadual Professora Joana Batista Cordeiro</v>
      </c>
      <c r="F111" s="116" t="str">
        <f ca="1">IFERROR(__xludf.DUMMYFUNCTION("""COMPUTED_VALUE"""),"17032695")</f>
        <v>17032695</v>
      </c>
      <c r="G111" s="114" t="str">
        <f ca="1">IFERROR(__xludf.DUMMYFUNCTION("""COMPUTED_VALUE"""),"00922190000102")</f>
        <v>00922190000102</v>
      </c>
      <c r="H111" s="116" t="str">
        <f ca="1">IFERROR(__xludf.DUMMYFUNCTION("""COMPUTED_VALUE"""),"001")</f>
        <v>001</v>
      </c>
      <c r="I111" s="116" t="str">
        <f ca="1">IFERROR(__xludf.DUMMYFUNCTION("""COMPUTED_VALUE"""),"0541")</f>
        <v>0541</v>
      </c>
      <c r="J111" s="116" t="str">
        <f ca="1">IFERROR(__xludf.DUMMYFUNCTION("""COMPUTED_VALUE"""),"231770")</f>
        <v>231770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IFERROR(__xludf.DUMMYFUNCTION("""COMPUTED_VALUE"""),"Integral")</f>
        <v>Integral</v>
      </c>
      <c r="AF111" s="114" t="str">
        <f ca="1">IFERROR(__xludf.DUMMYFUNCTION("""COMPUTED_VALUE"""),"FE")</f>
        <v>FE</v>
      </c>
      <c r="AG111" s="114">
        <f ca="1">IFERROR(__xludf.DUMMYFUNCTION("""COMPUTED_VALUE"""),4)</f>
        <v>4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IFERROR(__xludf.DUMMYFUNCTION("""COMPUTED_VALUE"""),"17032717")</f>
        <v>17032717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IFERROR(__xludf.DUMMYFUNCTION("""COMPUTED_VALUE"""),"A.A. ESC. AGRÍCOLA DAVID AIRES FRANÇA")</f>
        <v>A.A. ESC. AGRÍCOLA DAVID AIRES FRANÇA</v>
      </c>
      <c r="E112" s="114" t="str">
        <f ca="1">IFERROR(__xludf.DUMMYFUNCTION("""COMPUTED_VALUE"""),"Escola Estadual Agrícola David Aires França")</f>
        <v>Escola Estadual Agrícola David Aires França</v>
      </c>
      <c r="F112" s="116" t="str">
        <f ca="1">IFERROR(__xludf.DUMMYFUNCTION("""COMPUTED_VALUE"""),"17032717")</f>
        <v>17032717</v>
      </c>
      <c r="G112" s="114" t="str">
        <f ca="1">IFERROR(__xludf.DUMMYFUNCTION("""COMPUTED_VALUE"""),"04302970000100")</f>
        <v>04302970000100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IFERROR(__xludf.DUMMYFUNCTION("""COMPUTED_VALUE"""),"94811")</f>
        <v>94811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 t="str">
        <f ca="1">IFERROR(__xludf.DUMMYFUNCTION("""COMPUTED_VALUE"""),"INTERNATO/AGRÍCOLA")</f>
        <v>INTERNATO/AGRÍCOLA</v>
      </c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IFERROR(__xludf.DUMMYFUNCTION("""COMPUTED_VALUE"""),0)</f>
        <v>0</v>
      </c>
      <c r="AH112" s="114">
        <f ca="1">IFERROR(__xludf.DUMMYFUNCTION("""COMPUTED_VALUE"""),8)</f>
        <v>8</v>
      </c>
      <c r="AI112" s="114">
        <f ca="1">IFERROR(__xludf.DUMMYFUNCTION("""COMPUTED_VALUE"""),5)</f>
        <v>5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IFERROR(__xludf.DUMMYFUNCTION("""COMPUTED_VALUE"""),"17032750")</f>
        <v>17032750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ESCOL. DA ESC. EST. BRIGADEIRO FELIPE")</f>
        <v>A.A. ESCOL. DA ESC. EST. BRIGADEIRO FELIPE</v>
      </c>
      <c r="E113" s="114" t="str">
        <f ca="1">IFERROR(__xludf.DUMMYFUNCTION("""COMPUTED_VALUE"""),"Escola Estadual Brigadeiro Felipe")</f>
        <v>Escola Estadual Brigadeiro Felipe</v>
      </c>
      <c r="F113" s="116" t="str">
        <f ca="1">IFERROR(__xludf.DUMMYFUNCTION("""COMPUTED_VALUE"""),"17032750")</f>
        <v>17032750</v>
      </c>
      <c r="G113" s="114" t="str">
        <f ca="1">IFERROR(__xludf.DUMMYFUNCTION("""COMPUTED_VALUE"""),"01221149000163")</f>
        <v>01221149000163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IFERROR(__xludf.DUMMYFUNCTION("""COMPUTED_VALUE"""),"232165")</f>
        <v>232165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/>
      <c r="AE113" s="114" t="str">
        <f ca="1">IFERROR(__xludf.DUMMYFUNCTION("""COMPUTED_VALUE"""),"Parcial")</f>
        <v>Parcial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IFERROR(__xludf.DUMMYFUNCTION("""COMPUTED_VALUE"""),0)</f>
        <v>0</v>
      </c>
      <c r="AI113" s="114">
        <f ca="1">IFERROR(__xludf.DUMMYFUNCTION("""COMPUTED_VALUE"""),0)</f>
        <v>0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IFERROR(__xludf.DUMMYFUNCTION("""COMPUTED_VALUE"""),"17032814")</f>
        <v>17032814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IFERROR(__xludf.DUMMYFUNCTION("""COMPUTED_VALUE"""),"ASS. APOIO ESC. EST. JACY ALVES DE BARROS")</f>
        <v>ASS. APOIO ESC. EST. JACY ALVES DE BARROS</v>
      </c>
      <c r="E114" s="114" t="str">
        <f ca="1">IFERROR(__xludf.DUMMYFUNCTION("""COMPUTED_VALUE"""),"Escola Estadual Jacy Alves de Barros")</f>
        <v>Escola Estadual Jacy Alves de Barros</v>
      </c>
      <c r="F114" s="116" t="str">
        <f ca="1">IFERROR(__xludf.DUMMYFUNCTION("""COMPUTED_VALUE"""),"17032814")</f>
        <v>17032814</v>
      </c>
      <c r="G114" s="114" t="str">
        <f ca="1">IFERROR(__xludf.DUMMYFUNCTION("""COMPUTED_VALUE"""),"01284634000186")</f>
        <v>01284634000186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IFERROR(__xludf.DUMMYFUNCTION("""COMPUTED_VALUE"""),"232246")</f>
        <v>232246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IFERROR(__xludf.DUMMYFUNCTION("""COMPUTED_VALUE"""),"17032784")</f>
        <v>17032784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IFERROR(__xludf.DUMMYFUNCTION("""COMPUTED_VALUE"""),"A.A. ESCOLA ESTADUAL CANABRAVA/ZULMIRA MAGALHÃES")</f>
        <v>A.A. ESCOLA ESTADUAL CANABRAVA/ZULMIRA MAGALHÃES</v>
      </c>
      <c r="E115" s="114" t="str">
        <f ca="1">IFERROR(__xludf.DUMMYFUNCTION("""COMPUTED_VALUE"""),"Escola Estadual Professora Zulmira Magalhães")</f>
        <v>Escola Estadual Professora Zulmira Magalhães</v>
      </c>
      <c r="F115" s="116" t="str">
        <f ca="1">IFERROR(__xludf.DUMMYFUNCTION("""COMPUTED_VALUE"""),"17032784")</f>
        <v>17032784</v>
      </c>
      <c r="G115" s="114" t="str">
        <f ca="1">IFERROR(__xludf.DUMMYFUNCTION("""COMPUTED_VALUE"""),"01284633000131")</f>
        <v>01284633000131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IFERROR(__xludf.DUMMYFUNCTION("""COMPUTED_VALUE"""),"23219X")</f>
        <v>23219X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 t="str">
        <f ca="1">IFERROR(__xludf.DUMMYFUNCTION("""COMPUTED_VALUE"""),"E.M. INTEGRADO")</f>
        <v>E.M. INTEGRADO</v>
      </c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IFERROR(__xludf.DUMMYFUNCTION("""COMPUTED_VALUE"""),"17032873")</f>
        <v>17032873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ESCOLAR DA ESC. EST. SILVA DOURADO")</f>
        <v>A.A. ESCOLAR DA ESC. EST. SILVA DOURADO</v>
      </c>
      <c r="E116" s="114" t="str">
        <f ca="1">IFERROR(__xludf.DUMMYFUNCTION("""COMPUTED_VALUE"""),"Escola Estadual Silva dourado")</f>
        <v>Escola Estadual Silva dourado</v>
      </c>
      <c r="F116" s="116" t="str">
        <f ca="1">IFERROR(__xludf.DUMMYFUNCTION("""COMPUTED_VALUE"""),"17032873")</f>
        <v>17032873</v>
      </c>
      <c r="G116" s="114" t="str">
        <f ca="1">IFERROR(__xludf.DUMMYFUNCTION("""COMPUTED_VALUE"""),"01301519000172")</f>
        <v>01301519000172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IFERROR(__xludf.DUMMYFUNCTION("""COMPUTED_VALUE"""),"232297")</f>
        <v>232297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/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IFERROR(__xludf.DUMMYFUNCTION("""COMPUTED_VALUE"""),"17033276")</f>
        <v>17033276</v>
      </c>
      <c r="B117" s="114" t="str">
        <f ca="1">IFERROR(__xludf.DUMMYFUNCTION("""COMPUTED_VALUE"""),"Arraias")</f>
        <v>Arraias</v>
      </c>
      <c r="C117" s="114" t="str">
        <f ca="1">IFERROR(__xludf.DUMMYFUNCTION("""COMPUTED_VALUE"""),"Aurora do Tocantins")</f>
        <v>Aurora do Tocantins</v>
      </c>
      <c r="D117" s="115" t="str">
        <f ca="1">IFERROR(__xludf.DUMMYFUNCTION("""COMPUTED_VALUE"""),"A.A. A ESCOLA/COL. EST.PROF. RANULFA")</f>
        <v>A.A. A ESCOLA/COL. EST.PROF. RANULFA</v>
      </c>
      <c r="E117" s="114" t="str">
        <f ca="1">IFERROR(__xludf.DUMMYFUNCTION("""COMPUTED_VALUE"""),"Colégio Estadual Professora Ranulfa")</f>
        <v>Colégio Estadual Professora Ranulfa</v>
      </c>
      <c r="F117" s="116" t="str">
        <f ca="1">IFERROR(__xludf.DUMMYFUNCTION("""COMPUTED_VALUE"""),"17033276")</f>
        <v>17033276</v>
      </c>
      <c r="G117" s="114" t="str">
        <f ca="1">IFERROR(__xludf.DUMMYFUNCTION("""COMPUTED_VALUE"""),"01133691000164")</f>
        <v>01133691000164</v>
      </c>
      <c r="H117" s="116" t="str">
        <f ca="1">IFERROR(__xludf.DUMMYFUNCTION("""COMPUTED_VALUE"""),"001")</f>
        <v>001</v>
      </c>
      <c r="I117" s="116" t="str">
        <f ca="1">IFERROR(__xludf.DUMMYFUNCTION("""COMPUTED_VALUE"""),"3977")</f>
        <v>3977</v>
      </c>
      <c r="J117" s="116" t="str">
        <f ca="1">IFERROR(__xludf.DUMMYFUNCTION("""COMPUTED_VALUE"""),"102725")</f>
        <v>102725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IFERROR(__xludf.DUMMYFUNCTION("""COMPUTED_VALUE"""),"17033284")</f>
        <v>17033284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IFERROR(__xludf.DUMMYFUNCTION("""COMPUTED_VALUE"""),"ASS. APOIO ESCOLA ESTADUAL DONA INES")</f>
        <v>ASS. APOIO ESCOLA ESTADUAL DONA INES</v>
      </c>
      <c r="E118" s="114" t="str">
        <f ca="1">IFERROR(__xludf.DUMMYFUNCTION("""COMPUTED_VALUE"""),"Escola Estadual dona Inês")</f>
        <v>Escola Estadual dona Inês</v>
      </c>
      <c r="F118" s="116" t="str">
        <f ca="1">IFERROR(__xludf.DUMMYFUNCTION("""COMPUTED_VALUE"""),"17033284")</f>
        <v>17033284</v>
      </c>
      <c r="G118" s="114" t="str">
        <f ca="1">IFERROR(__xludf.DUMMYFUNCTION("""COMPUTED_VALUE"""),"01190419000116")</f>
        <v>01190419000116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IFERROR(__xludf.DUMMYFUNCTION("""COMPUTED_VALUE"""),"109703")</f>
        <v>109703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IFERROR(__xludf.DUMMYFUNCTION("""COMPUTED_VALUE"""),"17033624")</f>
        <v>17033624</v>
      </c>
      <c r="B119" s="114" t="str">
        <f ca="1">IFERROR(__xludf.DUMMYFUNCTION("""COMPUTED_VALUE"""),"Arraias")</f>
        <v>Arraias</v>
      </c>
      <c r="C119" s="114" t="str">
        <f ca="1">IFERROR(__xludf.DUMMYFUNCTION("""COMPUTED_VALUE"""),"Combinado")</f>
        <v>Combinado</v>
      </c>
      <c r="D119" s="115" t="str">
        <f ca="1">IFERROR(__xludf.DUMMYFUNCTION("""COMPUTED_VALUE"""),"A.A. DO COL. E.JOAQUIM DE SENA E SILVA")</f>
        <v>A.A. DO COL. E.JOAQUIM DE SENA E SILVA</v>
      </c>
      <c r="E119" s="114" t="str">
        <f ca="1">IFERROR(__xludf.DUMMYFUNCTION("""COMPUTED_VALUE"""),"Colégio Estadual Joaquim de Sena E Silva")</f>
        <v>Colégio Estadual Joaquim de Sena E Silva</v>
      </c>
      <c r="F119" s="116" t="str">
        <f ca="1">IFERROR(__xludf.DUMMYFUNCTION("""COMPUTED_VALUE"""),"17033624")</f>
        <v>17033624</v>
      </c>
      <c r="G119" s="114" t="str">
        <f ca="1">IFERROR(__xludf.DUMMYFUNCTION("""COMPUTED_VALUE"""),"01230223000108")</f>
        <v>01230223000108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IFERROR(__xludf.DUMMYFUNCTION("""COMPUTED_VALUE"""),"232106")</f>
        <v>232106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IFERROR(__xludf.DUMMYFUNCTION("""COMPUTED_VALUE"""),"Integral")</f>
        <v>Integral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IFERROR(__xludf.DUMMYFUNCTION("""COMPUTED_VALUE"""),"17033594")</f>
        <v>17033594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DA ESCOLA ESTADUAL COMBINADO")</f>
        <v>A.A. DA ESCOLA ESTADUAL COMBINADO</v>
      </c>
      <c r="E120" s="114" t="str">
        <f ca="1">IFERROR(__xludf.DUMMYFUNCTION("""COMPUTED_VALUE"""),"Escola Estadual Girassol de Tempo Integral Combinado")</f>
        <v>Escola Estadual Girassol de Tempo Integral Combinado</v>
      </c>
      <c r="F120" s="116" t="str">
        <f ca="1">IFERROR(__xludf.DUMMYFUNCTION("""COMPUTED_VALUE"""),"17033594")</f>
        <v>17033594</v>
      </c>
      <c r="G120" s="114" t="str">
        <f ca="1">IFERROR(__xludf.DUMMYFUNCTION("""COMPUTED_VALUE"""),"01136003000110")</f>
        <v>01136003000110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IFERROR(__xludf.DUMMYFUNCTION("""COMPUTED_VALUE"""),"231940")</f>
        <v>231940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 t="str">
        <f ca="1">IFERROR(__xludf.DUMMYFUNCTION("""COMPUTED_VALUE"""),"E.M. INTEGRADO")</f>
        <v>E.M. INTEGRADO</v>
      </c>
      <c r="AE120" s="114" t="str">
        <f ca="1">IFERROR(__xludf.DUMMYFUNCTION("""COMPUTED_VALUE"""),"Parcial")</f>
        <v>Parcial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IFERROR(__xludf.DUMMYFUNCTION("""COMPUTED_VALUE"""),13)</f>
        <v>13</v>
      </c>
      <c r="AK120" s="114"/>
      <c r="AL120" s="117"/>
    </row>
    <row r="121" spans="1:38" ht="12.75">
      <c r="A121" s="113" t="str">
        <f ca="1">IFERROR(__xludf.DUMMYFUNCTION("""COMPUTED_VALUE"""),"17033632")</f>
        <v>17033632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ESC. EST. AUGUSTA VAZ DOS S.TEIXEIRA")</f>
        <v>A.A. ESC. EST. AUGUSTA VAZ DOS S.TEIXEIRA</v>
      </c>
      <c r="E121" s="114" t="str">
        <f ca="1">IFERROR(__xludf.DUMMYFUNCTION("""COMPUTED_VALUE"""),"Escola Estadual Professora Augusta Vaz dos Santos Teixeira")</f>
        <v>Escola Estadual Professora Augusta Vaz dos Santos Teixeira</v>
      </c>
      <c r="F121" s="116" t="str">
        <f ca="1">IFERROR(__xludf.DUMMYFUNCTION("""COMPUTED_VALUE"""),"17033632")</f>
        <v>17033632</v>
      </c>
      <c r="G121" s="114" t="str">
        <f ca="1">IFERROR(__xludf.DUMMYFUNCTION("""COMPUTED_VALUE"""),"01186458000140")</f>
        <v>01186458000140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IFERROR(__xludf.DUMMYFUNCTION("""COMPUTED_VALUE"""),"56855")</f>
        <v>56855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/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IFERROR(__xludf.DUMMYFUNCTION("""COMPUTED_VALUE"""),0)</f>
        <v>0</v>
      </c>
      <c r="AK121" s="114"/>
      <c r="AL121" s="117"/>
    </row>
    <row r="122" spans="1:38" ht="12.75">
      <c r="A122" s="113" t="str">
        <f ca="1">IFERROR(__xludf.DUMMYFUNCTION("""COMPUTED_VALUE"""),"17033292")</f>
        <v>17033292</v>
      </c>
      <c r="B122" s="114" t="str">
        <f ca="1">IFERROR(__xludf.DUMMYFUNCTION("""COMPUTED_VALUE"""),"Arraias")</f>
        <v>Arraias</v>
      </c>
      <c r="C122" s="114" t="str">
        <f ca="1">IFERROR(__xludf.DUMMYFUNCTION("""COMPUTED_VALUE"""),"Lavandeira")</f>
        <v>Lavandeira</v>
      </c>
      <c r="D122" s="115" t="str">
        <f ca="1">IFERROR(__xludf.DUMMYFUNCTION("""COMPUTED_VALUE"""),"ASSOC. DE APOIO ESC. EST. LAVANDEIRA")</f>
        <v>ASSOC. DE APOIO ESC. EST. LAVANDEIRA</v>
      </c>
      <c r="E122" s="114" t="str">
        <f ca="1">IFERROR(__xludf.DUMMYFUNCTION("""COMPUTED_VALUE"""),"Colégio Estadual Lavandeira")</f>
        <v>Colégio Estadual Lavandeira</v>
      </c>
      <c r="F122" s="116" t="str">
        <f ca="1">IFERROR(__xludf.DUMMYFUNCTION("""COMPUTED_VALUE"""),"17033292")</f>
        <v>17033292</v>
      </c>
      <c r="G122" s="114" t="str">
        <f ca="1">IFERROR(__xludf.DUMMYFUNCTION("""COMPUTED_VALUE"""),"01136024000135")</f>
        <v>01136024000135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IFERROR(__xludf.DUMMYFUNCTION("""COMPUTED_VALUE"""),"231916")</f>
        <v>231916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IFERROR(__xludf.DUMMYFUNCTION("""COMPUTED_VALUE"""),"17035180")</f>
        <v>17035180</v>
      </c>
      <c r="B123" s="114" t="str">
        <f ca="1">IFERROR(__xludf.DUMMYFUNCTION("""COMPUTED_VALUE"""),"Arraias")</f>
        <v>Arraias</v>
      </c>
      <c r="C123" s="114" t="str">
        <f ca="1">IFERROR(__xludf.DUMMYFUNCTION("""COMPUTED_VALUE"""),"Novo Alegre")</f>
        <v>Novo Alegre</v>
      </c>
      <c r="D123" s="115" t="str">
        <f ca="1">IFERROR(__xludf.DUMMYFUNCTION("""COMPUTED_VALUE"""),"ASSOC. DE APOIO COL. EST. DR.JOAO D`ABREU")</f>
        <v>ASSOC. DE APOIO COL. EST. DR.JOAO D`ABREU</v>
      </c>
      <c r="E123" s="114" t="str">
        <f ca="1">IFERROR(__xludf.DUMMYFUNCTION("""COMPUTED_VALUE"""),"Colégio Estadual Doutor João D Abreu")</f>
        <v>Colégio Estadual Doutor João D Abreu</v>
      </c>
      <c r="F123" s="116" t="str">
        <f ca="1">IFERROR(__xludf.DUMMYFUNCTION("""COMPUTED_VALUE"""),"17035180")</f>
        <v>17035180</v>
      </c>
      <c r="G123" s="114" t="str">
        <f ca="1">IFERROR(__xludf.DUMMYFUNCTION("""COMPUTED_VALUE"""),"01146115000151")</f>
        <v>01146115000151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IFERROR(__xludf.DUMMYFUNCTION("""COMPUTED_VALUE"""),"178845")</f>
        <v>178845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IFERROR(__xludf.DUMMYFUNCTION("""COMPUTED_VALUE"""),"17035287")</f>
        <v>17035287</v>
      </c>
      <c r="B124" s="114" t="str">
        <f ca="1">IFERROR(__xludf.DUMMYFUNCTION("""COMPUTED_VALUE"""),"Arraias")</f>
        <v>Arraias</v>
      </c>
      <c r="C124" s="114" t="str">
        <f ca="1">IFERROR(__xludf.DUMMYFUNCTION("""COMPUTED_VALUE"""),"Parana")</f>
        <v>Parana</v>
      </c>
      <c r="D124" s="115" t="str">
        <f ca="1">IFERROR(__xludf.DUMMYFUNCTION("""COMPUTED_VALUE"""),"A.A. DO COL. EST. DES.VIRGILIO DE M.FRANCO")</f>
        <v>A.A. DO COL. EST. DES.VIRGILIO DE M.FRANCO</v>
      </c>
      <c r="E124" s="114" t="str">
        <f ca="1">IFERROR(__xludf.DUMMYFUNCTION("""COMPUTED_VALUE"""),"Colégio Estadual desembargador Vírgilio Melo Franco")</f>
        <v>Colégio Estadual desembargador Vírgilio Melo Franco</v>
      </c>
      <c r="F124" s="116" t="str">
        <f ca="1">IFERROR(__xludf.DUMMYFUNCTION("""COMPUTED_VALUE"""),"17035287")</f>
        <v>17035287</v>
      </c>
      <c r="G124" s="114" t="str">
        <f ca="1">IFERROR(__xludf.DUMMYFUNCTION("""COMPUTED_VALUE"""),"01284635000120")</f>
        <v>01284635000120</v>
      </c>
      <c r="H124" s="116" t="str">
        <f ca="1">IFERROR(__xludf.DUMMYFUNCTION("""COMPUTED_VALUE"""),"001")</f>
        <v>001</v>
      </c>
      <c r="I124" s="116" t="str">
        <f ca="1">IFERROR(__xludf.DUMMYFUNCTION("""COMPUTED_VALUE"""),"4790")</f>
        <v>4790</v>
      </c>
      <c r="J124" s="116" t="str">
        <f ca="1">IFERROR(__xludf.DUMMYFUNCTION("""COMPUTED_VALUE"""),"232327")</f>
        <v>232327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IFERROR(__xludf.DUMMYFUNCTION("""COMPUTED_VALUE"""),"17038952")</f>
        <v>17038952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DA ESC. EST.EUCLIDES BEZERRA GERAIS")</f>
        <v>A.A. DA ESC. EST.EUCLIDES BEZERRA GERAIS</v>
      </c>
      <c r="E125" s="114" t="str">
        <f ca="1">IFERROR(__xludf.DUMMYFUNCTION("""COMPUTED_VALUE"""),"Escola Estadual Euclides Bezerra Gerais")</f>
        <v>Escola Estadual Euclides Bezerra Gerais</v>
      </c>
      <c r="F125" s="116" t="str">
        <f ca="1">IFERROR(__xludf.DUMMYFUNCTION("""COMPUTED_VALUE"""),"17038952")</f>
        <v>17038952</v>
      </c>
      <c r="G125" s="114" t="str">
        <f ca="1">IFERROR(__xludf.DUMMYFUNCTION("""COMPUTED_VALUE"""),"01401950000190")</f>
        <v>01401950000190</v>
      </c>
      <c r="H125" s="116" t="str">
        <f ca="1">IFERROR(__xludf.DUMMYFUNCTION("""COMPUTED_VALUE"""),"001")</f>
        <v>001</v>
      </c>
      <c r="I125" s="116" t="str">
        <f ca="1">IFERROR(__xludf.DUMMYFUNCTION("""COMPUTED_VALUE"""),"0541")</f>
        <v>0541</v>
      </c>
      <c r="J125" s="116" t="str">
        <f ca="1">IFERROR(__xludf.DUMMYFUNCTION("""COMPUTED_VALUE"""),"232483")</f>
        <v>232483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IFERROR(__xludf.DUMMYFUNCTION("""COMPUTED_VALUE"""),"17035333")</f>
        <v>17035333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IFERROR(__xludf.DUMMYFUNCTION("""COMPUTED_VALUE"""),"ASSOC. DE APOIO A ESC. EST. REUNIDA FLORESTA")</f>
        <v>ASSOC. DE APOIO A ESC. EST. REUNIDA FLORESTA</v>
      </c>
      <c r="E126" s="114" t="str">
        <f ca="1">IFERROR(__xludf.DUMMYFUNCTION("""COMPUTED_VALUE"""),"Escola Estadual Floresta")</f>
        <v>Escola Estadual Floresta</v>
      </c>
      <c r="F126" s="116" t="str">
        <f ca="1">IFERROR(__xludf.DUMMYFUNCTION("""COMPUTED_VALUE"""),"17035333")</f>
        <v>17035333</v>
      </c>
      <c r="G126" s="114" t="str">
        <f ca="1">IFERROR(__xludf.DUMMYFUNCTION("""COMPUTED_VALUE"""),"03834797000110")</f>
        <v>03834797000110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IFERROR(__xludf.DUMMYFUNCTION("""COMPUTED_VALUE"""),"113247")</f>
        <v>113247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 t="str">
        <f ca="1">IFERROR(__xludf.DUMMYFUNCTION("""COMPUTED_VALUE"""),"E.M. INTEGRADO")</f>
        <v>E.M. INTEGRADO</v>
      </c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IFERROR(__xludf.DUMMYFUNCTION("""COMPUTED_VALUE"""),"17035465")</f>
        <v>17035465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IFERROR(__xludf.DUMMYFUNCTION("""COMPUTED_VALUE"""),"A.A. A ESC. EST. REUNIDA SANTA RITA DO RIO PALMA")</f>
        <v>A.A. A ESC. EST. REUNIDA SANTA RITA DO RIO PALMA</v>
      </c>
      <c r="E127" s="114" t="str">
        <f ca="1">IFERROR(__xludf.DUMMYFUNCTION("""COMPUTED_VALUE"""),"Escola Estadual Santa Rita do Rio Palma")</f>
        <v>Escola Estadual Santa Rita do Rio Palma</v>
      </c>
      <c r="F127" s="116" t="str">
        <f ca="1">IFERROR(__xludf.DUMMYFUNCTION("""COMPUTED_VALUE"""),"17035465")</f>
        <v>17035465</v>
      </c>
      <c r="G127" s="114" t="str">
        <f ca="1">IFERROR(__xludf.DUMMYFUNCTION("""COMPUTED_VALUE"""),"03834784000141")</f>
        <v>03834784000141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IFERROR(__xludf.DUMMYFUNCTION("""COMPUTED_VALUE"""),"113638")</f>
        <v>113638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/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IFERROR(__xludf.DUMMYFUNCTION("""COMPUTED_VALUE"""),"17006481")</f>
        <v>17006481</v>
      </c>
      <c r="B128" s="114" t="str">
        <f ca="1">IFERROR(__xludf.DUMMYFUNCTION("""COMPUTED_VALUE"""),"Colinas")</f>
        <v>Colinas</v>
      </c>
      <c r="C128" s="114" t="str">
        <f ca="1">IFERROR(__xludf.DUMMYFUNCTION("""COMPUTED_VALUE"""),"Arapoema")</f>
        <v>Arapoema</v>
      </c>
      <c r="D128" s="115" t="str">
        <f ca="1">IFERROR(__xludf.DUMMYFUNCTION("""COMPUTED_VALUE"""),"A.AP. COL. EST.RUILON DIAS CARNEIRO")</f>
        <v>A.AP. COL. EST.RUILON DIAS CARNEIRO</v>
      </c>
      <c r="E128" s="114" t="str">
        <f ca="1">IFERROR(__xludf.DUMMYFUNCTION("""COMPUTED_VALUE"""),"Colégio Estadual Ruilon Dias Carneiro")</f>
        <v>Colégio Estadual Ruilon Dias Carneiro</v>
      </c>
      <c r="F128" s="116" t="str">
        <f ca="1">IFERROR(__xludf.DUMMYFUNCTION("""COMPUTED_VALUE"""),"17006481")</f>
        <v>17006481</v>
      </c>
      <c r="G128" s="114" t="str">
        <f ca="1">IFERROR(__xludf.DUMMYFUNCTION("""COMPUTED_VALUE"""),"01133714000130")</f>
        <v>01133714000130</v>
      </c>
      <c r="H128" s="116" t="str">
        <f ca="1">IFERROR(__xludf.DUMMYFUNCTION("""COMPUTED_VALUE"""),"001")</f>
        <v>001</v>
      </c>
      <c r="I128" s="116" t="str">
        <f ca="1">IFERROR(__xludf.DUMMYFUNCTION("""COMPUTED_VALUE"""),"3974")</f>
        <v>3974</v>
      </c>
      <c r="J128" s="116" t="str">
        <f ca="1">IFERROR(__xludf.DUMMYFUNCTION("""COMPUTED_VALUE"""),"2290X")</f>
        <v>2290X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IFERROR(__xludf.DUMMYFUNCTION("""COMPUTED_VALUE"""),"17006503")</f>
        <v>17006503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IFERROR(__xludf.DUMMYFUNCTION("""COMPUTED_VALUE"""),"A.A. E. EST. ANTONIO DELFINO GUIMARAES")</f>
        <v>A.A. E. EST. ANTONIO DELFINO GUIMARAES</v>
      </c>
      <c r="E129" s="114" t="str">
        <f ca="1">IFERROR(__xludf.DUMMYFUNCTION("""COMPUTED_VALUE"""),"Escola Estadual Antonio delfino Guimaraes")</f>
        <v>Escola Estadual Antonio delfino Guimaraes</v>
      </c>
      <c r="F129" s="116" t="str">
        <f ca="1">IFERROR(__xludf.DUMMYFUNCTION("""COMPUTED_VALUE"""),"17006503")</f>
        <v>17006503</v>
      </c>
      <c r="G129" s="114" t="str">
        <f ca="1">IFERROR(__xludf.DUMMYFUNCTION("""COMPUTED_VALUE"""),"01135998000102")</f>
        <v>01135998000102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IFERROR(__xludf.DUMMYFUNCTION("""COMPUTED_VALUE"""),"2287X")</f>
        <v>2287X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IFERROR(__xludf.DUMMYFUNCTION("""COMPUTED_VALUE"""),"17006511")</f>
        <v>17006511</v>
      </c>
      <c r="B130" s="114" t="str">
        <f ca="1">IFERROR(__xludf.DUMMYFUNCTION("""COMPUTED_VALUE"""),"Colinas")</f>
        <v>Colinas</v>
      </c>
      <c r="C130" s="114" t="str">
        <f ca="1">IFERROR(__xludf.DUMMYFUNCTION("""COMPUTED_VALUE"""),"Bandeirantes do Tocantins")</f>
        <v>Bandeirantes do Tocantins</v>
      </c>
      <c r="D130" s="115" t="str">
        <f ca="1">IFERROR(__xludf.DUMMYFUNCTION("""COMPUTED_VALUE"""),"A.A. E. E. ARCELINO F. DO NASCIMENTO")</f>
        <v>A.A. E. E. ARCELINO F. DO NASCIMENTO</v>
      </c>
      <c r="E130" s="114" t="str">
        <f ca="1">IFERROR(__xludf.DUMMYFUNCTION("""COMPUTED_VALUE"""),"Escola Estadual Arcelino Francisco do Nascimento")</f>
        <v>Escola Estadual Arcelino Francisco do Nascimento</v>
      </c>
      <c r="F130" s="116" t="str">
        <f ca="1">IFERROR(__xludf.DUMMYFUNCTION("""COMPUTED_VALUE"""),"17006511")</f>
        <v>17006511</v>
      </c>
      <c r="G130" s="114" t="str">
        <f ca="1">IFERROR(__xludf.DUMMYFUNCTION("""COMPUTED_VALUE"""),"01181179000193")</f>
        <v>01181179000193</v>
      </c>
      <c r="H130" s="116" t="str">
        <f ca="1">IFERROR(__xludf.DUMMYFUNCTION("""COMPUTED_VALUE"""),"001")</f>
        <v>001</v>
      </c>
      <c r="I130" s="116" t="str">
        <f ca="1">IFERROR(__xludf.DUMMYFUNCTION("""COMPUTED_VALUE"""),"0911")</f>
        <v>0911</v>
      </c>
      <c r="J130" s="116" t="str">
        <f ca="1">IFERROR(__xludf.DUMMYFUNCTION("""COMPUTED_VALUE"""),"46578X")</f>
        <v>46578X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IFERROR(__xludf.DUMMYFUNCTION("""COMPUTED_VALUE"""),"17011396")</f>
        <v>17011396</v>
      </c>
      <c r="B131" s="114" t="str">
        <f ca="1">IFERROR(__xludf.DUMMYFUNCTION("""COMPUTED_VALUE"""),"Colinas")</f>
        <v>Colinas</v>
      </c>
      <c r="C131" s="114" t="str">
        <f ca="1">IFERROR(__xludf.DUMMYFUNCTION("""COMPUTED_VALUE"""),"Bernardo Sayao")</f>
        <v>Bernardo Sayao</v>
      </c>
      <c r="D131" s="115" t="str">
        <f ca="1">IFERROR(__xludf.DUMMYFUNCTION("""COMPUTED_VALUE"""),"A.A. COL. EST. BERNARDO SAYAO")</f>
        <v>A.A. COL. EST. BERNARDO SAYAO</v>
      </c>
      <c r="E131" s="114" t="str">
        <f ca="1">IFERROR(__xludf.DUMMYFUNCTION("""COMPUTED_VALUE"""),"Escola Estadual Bernardo Sayão")</f>
        <v>Escola Estadual Bernardo Sayão</v>
      </c>
      <c r="F131" s="116" t="str">
        <f ca="1">IFERROR(__xludf.DUMMYFUNCTION("""COMPUTED_VALUE"""),"17011396")</f>
        <v>17011396</v>
      </c>
      <c r="G131" s="114" t="str">
        <f ca="1">IFERROR(__xludf.DUMMYFUNCTION("""COMPUTED_VALUE"""),"01190188000140")</f>
        <v>01190188000140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IFERROR(__xludf.DUMMYFUNCTION("""COMPUTED_VALUE"""),"369403")</f>
        <v>369403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IFERROR(__xludf.DUMMYFUNCTION("""COMPUTED_VALUE"""),"17011590")</f>
        <v>17011590</v>
      </c>
      <c r="B132" s="114" t="str">
        <f ca="1">IFERROR(__xludf.DUMMYFUNCTION("""COMPUTED_VALUE"""),"Colinas")</f>
        <v>Colinas</v>
      </c>
      <c r="C132" s="114" t="str">
        <f ca="1">IFERROR(__xludf.DUMMYFUNCTION("""COMPUTED_VALUE"""),"Brasilandia do Tocantins")</f>
        <v>Brasilandia do Tocantins</v>
      </c>
      <c r="D132" s="115" t="str">
        <f ca="1">IFERROR(__xludf.DUMMYFUNCTION("""COMPUTED_VALUE"""),"A.A. COL. EST. SEBASTIAO RODRIGUES SALES")</f>
        <v>A.A. COL. EST. SEBASTIAO RODRIGUES SALES</v>
      </c>
      <c r="E132" s="114" t="str">
        <f ca="1">IFERROR(__xludf.DUMMYFUNCTION("""COMPUTED_VALUE"""),"Colégio Estadual Sebastião Rodrigues Sales")</f>
        <v>Colégio Estadual Sebastião Rodrigues Sales</v>
      </c>
      <c r="F132" s="116" t="str">
        <f ca="1">IFERROR(__xludf.DUMMYFUNCTION("""COMPUTED_VALUE"""),"17011590")</f>
        <v>17011590</v>
      </c>
      <c r="G132" s="114" t="str">
        <f ca="1">IFERROR(__xludf.DUMMYFUNCTION("""COMPUTED_VALUE"""),"01138333000144")</f>
        <v>01138333000144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IFERROR(__xludf.DUMMYFUNCTION("""COMPUTED_VALUE"""),"369365")</f>
        <v>369365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IFERROR(__xludf.DUMMYFUNCTION("""COMPUTED_VALUE"""),"17007496")</f>
        <v>17007496</v>
      </c>
      <c r="B133" s="114" t="str">
        <f ca="1">IFERROR(__xludf.DUMMYFUNCTION("""COMPUTED_VALUE"""),"Colinas")</f>
        <v>Colinas</v>
      </c>
      <c r="C133" s="114" t="str">
        <f ca="1">IFERROR(__xludf.DUMMYFUNCTION("""COMPUTED_VALUE"""),"Colinas do Tocantins")</f>
        <v>Colinas do Tocantins</v>
      </c>
      <c r="D133" s="115" t="str">
        <f ca="1">IFERROR(__xludf.DUMMYFUNCTION("""COMPUTED_VALUE"""),"ASSOC. DE APOIO DO COL. EST. CASTELO BRANCO")</f>
        <v>ASSOC. DE APOIO DO COL. EST. CASTELO BRANCO</v>
      </c>
      <c r="E133" s="114" t="str">
        <f ca="1">IFERROR(__xludf.DUMMYFUNCTION("""COMPUTED_VALUE"""),"Centro de Ensino Médio Presidente Castelo Branco")</f>
        <v>Centro de Ensino Médio Presidente Castelo Branco</v>
      </c>
      <c r="F133" s="116" t="str">
        <f ca="1">IFERROR(__xludf.DUMMYFUNCTION("""COMPUTED_VALUE"""),"17007496")</f>
        <v>17007496</v>
      </c>
      <c r="G133" s="114" t="str">
        <f ca="1">IFERROR(__xludf.DUMMYFUNCTION("""COMPUTED_VALUE"""),"01071413000120")</f>
        <v>01071413000120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IFERROR(__xludf.DUMMYFUNCTION("""COMPUTED_VALUE"""),"187275")</f>
        <v>187275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IFERROR(__xludf.DUMMYFUNCTION("""COMPUTED_VALUE"""),13)</f>
        <v>13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IFERROR(__xludf.DUMMYFUNCTION("""COMPUTED_VALUE"""),"17007518")</f>
        <v>17007518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IFERROR(__xludf.DUMMYFUNCTION("""COMPUTED_VALUE"""),"A.A. ESCOLA ESTADUAL ERNESTO BARROS")</f>
        <v>A.A. ESCOLA ESTADUAL ERNESTO BARROS</v>
      </c>
      <c r="E134" s="114" t="str">
        <f ca="1">IFERROR(__xludf.DUMMYFUNCTION("""COMPUTED_VALUE"""),"Colégio Estadual Girassol de Tempo Integral Ernesto Barros")</f>
        <v>Colégio Estadual Girassol de Tempo Integral Ernesto Barros</v>
      </c>
      <c r="F134" s="116" t="str">
        <f ca="1">IFERROR(__xludf.DUMMYFUNCTION("""COMPUTED_VALUE"""),"17007518")</f>
        <v>17007518</v>
      </c>
      <c r="G134" s="114" t="str">
        <f ca="1">IFERROR(__xludf.DUMMYFUNCTION("""COMPUTED_VALUE"""),"01064857000138")</f>
        <v>01064857000138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IFERROR(__xludf.DUMMYFUNCTION("""COMPUTED_VALUE"""),"0368571")</f>
        <v>0368571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IFERROR(__xludf.DUMMYFUNCTION("""COMPUTED_VALUE"""),0)</f>
        <v>0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IFERROR(__xludf.DUMMYFUNCTION("""COMPUTED_VALUE"""),20)</f>
        <v>20</v>
      </c>
      <c r="AK134" s="114"/>
      <c r="AL134" s="117"/>
    </row>
    <row r="135" spans="1:38" ht="12.75">
      <c r="A135" s="113" t="str">
        <f ca="1">IFERROR(__xludf.DUMMYFUNCTION("""COMPUTED_VALUE"""),"17007500")</f>
        <v>17007500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 COLEGIO JOAO XXIII")</f>
        <v>A.A.  COLEGIO JOAO XXIII</v>
      </c>
      <c r="E135" s="114" t="str">
        <f ca="1">IFERROR(__xludf.DUMMYFUNCTION("""COMPUTED_VALUE"""),"Colégio João XXIII")</f>
        <v>Colégio João XXIII</v>
      </c>
      <c r="F135" s="116" t="str">
        <f ca="1">IFERROR(__xludf.DUMMYFUNCTION("""COMPUTED_VALUE"""),"17007500")</f>
        <v>17007500</v>
      </c>
      <c r="G135" s="114" t="str">
        <f ca="1">IFERROR(__xludf.DUMMYFUNCTION("""COMPUTED_VALUE"""),"01064859000127")</f>
        <v>01064859000127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IFERROR(__xludf.DUMMYFUNCTION("""COMPUTED_VALUE"""),"368555")</f>
        <v>368555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IFERROR(__xludf.DUMMYFUNCTION("""COMPUTED_VALUE"""),0)</f>
        <v>0</v>
      </c>
      <c r="AK135" s="114"/>
      <c r="AL135" s="117"/>
    </row>
    <row r="136" spans="1:38" ht="12.75">
      <c r="A136" s="113" t="str">
        <f ca="1">IFERROR(__xludf.DUMMYFUNCTION("""COMPUTED_VALUE"""),"17039860")</f>
        <v>17039860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IFERROR(__xludf.DUMMYFUNCTION("""COMPUTED_VALUE"""),"AAE ESPECIAL GOTA DE ESPERANÇA")</f>
        <v>AAE ESPECIAL GOTA DE ESPERANÇA</v>
      </c>
      <c r="E136" s="114" t="str">
        <f ca="1">IFERROR(__xludf.DUMMYFUNCTION("""COMPUTED_VALUE"""),"Escola Especial Gotas de Esperança")</f>
        <v>Escola Especial Gotas de Esperança</v>
      </c>
      <c r="F136" s="116" t="str">
        <f ca="1">IFERROR(__xludf.DUMMYFUNCTION("""COMPUTED_VALUE"""),"17039860")</f>
        <v>17039860</v>
      </c>
      <c r="G136" s="114" t="str">
        <f ca="1">IFERROR(__xludf.DUMMYFUNCTION("""COMPUTED_VALUE"""),"07944635000196")</f>
        <v>07944635000196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IFERROR(__xludf.DUMMYFUNCTION("""COMPUTED_VALUE"""),"184861")</f>
        <v>184861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IFERROR(__xludf.DUMMYFUNCTION("""COMPUTED_VALUE"""),"17007488")</f>
        <v>17007488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IFERROR(__xludf.DUMMYFUNCTION("""COMPUTED_VALUE"""),"A.A. E. E. FRANCISCO PEREIRA FELICIO")</f>
        <v>A.A. E. E. FRANCISCO PEREIRA FELICIO</v>
      </c>
      <c r="E137" s="114" t="str">
        <f ca="1">IFERROR(__xludf.DUMMYFUNCTION("""COMPUTED_VALUE"""),"Escola Estadual Francisco Pereira Felício")</f>
        <v>Escola Estadual Francisco Pereira Felício</v>
      </c>
      <c r="F137" s="116" t="str">
        <f ca="1">IFERROR(__xludf.DUMMYFUNCTION("""COMPUTED_VALUE"""),"17007488")</f>
        <v>17007488</v>
      </c>
      <c r="G137" s="114" t="str">
        <f ca="1">IFERROR(__xludf.DUMMYFUNCTION("""COMPUTED_VALUE"""),"01086969000190")</f>
        <v>01086969000190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IFERROR(__xludf.DUMMYFUNCTION("""COMPUTED_VALUE"""),"368814")</f>
        <v>368814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IFERROR(__xludf.DUMMYFUNCTION("""COMPUTED_VALUE"""),"Integral")</f>
        <v>Integral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IFERROR(__xludf.DUMMYFUNCTION("""COMPUTED_VALUE"""),"17007526")</f>
        <v>17007526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LACERDINO OLIVEIRA CAMPOS")</f>
        <v>A.A. E. E. LACERDINO OLIVEIRA CAMPOS</v>
      </c>
      <c r="E138" s="114" t="str">
        <f ca="1">IFERROR(__xludf.DUMMYFUNCTION("""COMPUTED_VALUE"""),"Escola Estadual Lacerdino Oliveira Campos")</f>
        <v>Escola Estadual Lacerdino Oliveira Campos</v>
      </c>
      <c r="F138" s="116" t="str">
        <f ca="1">IFERROR(__xludf.DUMMYFUNCTION("""COMPUTED_VALUE"""),"17007526")</f>
        <v>17007526</v>
      </c>
      <c r="G138" s="114" t="str">
        <f ca="1">IFERROR(__xludf.DUMMYFUNCTION("""COMPUTED_VALUE"""),"01077439000185")</f>
        <v>01077439000185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IFERROR(__xludf.DUMMYFUNCTION("""COMPUTED_VALUE"""),"368741")</f>
        <v>368741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IFERROR(__xludf.DUMMYFUNCTION("""COMPUTED_VALUE"""),"Parcial")</f>
        <v>Parcial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IFERROR(__xludf.DUMMYFUNCTION("""COMPUTED_VALUE"""),15)</f>
        <v>15</v>
      </c>
      <c r="AK138" s="114"/>
      <c r="AL138" s="117"/>
    </row>
    <row r="139" spans="1:38" ht="12.75">
      <c r="A139" s="113" t="str">
        <f ca="1">IFERROR(__xludf.DUMMYFUNCTION("""COMPUTED_VALUE"""),"17007828")</f>
        <v>17007828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39" s="114" t="str">
        <f ca="1">IFERROR(__xludf.DUMMYFUNCTION("""COMPUTED_VALUE"""),"Escola Família Agrícola Zé de Deus")</f>
        <v>Escola Família Agrícola Zé de Deus</v>
      </c>
      <c r="F139" s="116" t="str">
        <f ca="1">IFERROR(__xludf.DUMMYFUNCTION("""COMPUTED_VALUE"""),"17007828")</f>
        <v>17007828</v>
      </c>
      <c r="G139" s="114" t="str">
        <f ca="1">IFERROR(__xludf.DUMMYFUNCTION("""COMPUTED_VALUE"""),"03421784000110")</f>
        <v>03421784000110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IFERROR(__xludf.DUMMYFUNCTION("""COMPUTED_VALUE"""),"199672")</f>
        <v>199672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 t="str">
        <f ca="1">IFERROR(__xludf.DUMMYFUNCTION("""COMPUTED_VALUE"""),"AGRÍCOLA")</f>
        <v>AGRÍCOLA</v>
      </c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IFERROR(__xludf.DUMMYFUNCTION("""COMPUTED_VALUE"""),14)</f>
        <v>14</v>
      </c>
      <c r="AJ139" s="114">
        <f ca="1">IFERROR(__xludf.DUMMYFUNCTION("""COMPUTED_VALUE"""),0)</f>
        <v>0</v>
      </c>
      <c r="AK139" s="114"/>
      <c r="AL139" s="117"/>
    </row>
    <row r="140" spans="1:38" ht="12.75">
      <c r="A140" s="113" t="str">
        <f ca="1">IFERROR(__xludf.DUMMYFUNCTION("""COMPUTED_VALUE"""),"17007852")</f>
        <v>17007852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IFERROR(__xludf.DUMMYFUNCTION("""COMPUTED_VALUE"""),"A.A. E. PRESBITERIANA DE COLINAS")</f>
        <v>A.A. E. PRESBITERIANA DE COLINAS</v>
      </c>
      <c r="E140" s="114" t="str">
        <f ca="1">IFERROR(__xludf.DUMMYFUNCTION("""COMPUTED_VALUE"""),"Escola Presbiteriana de Colinas do Tocantins")</f>
        <v>Escola Presbiteriana de Colinas do Tocantins</v>
      </c>
      <c r="F140" s="116" t="str">
        <f ca="1">IFERROR(__xludf.DUMMYFUNCTION("""COMPUTED_VALUE"""),"17007852")</f>
        <v>17007852</v>
      </c>
      <c r="G140" s="114" t="str">
        <f ca="1">IFERROR(__xludf.DUMMYFUNCTION("""COMPUTED_VALUE"""),"01071410000196")</f>
        <v>01071410000196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IFERROR(__xludf.DUMMYFUNCTION("""COMPUTED_VALUE"""),"368695")</f>
        <v>368695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/>
      <c r="AE140" s="114" t="str">
        <f ca="1">IFERROR(__xludf.DUMMYFUNCTION("""COMPUTED_VALUE"""),"Parcial/Integral")</f>
        <v>Parcial/Integral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IFERROR(__xludf.DUMMYFUNCTION("""COMPUTED_VALUE"""),0)</f>
        <v>0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IFERROR(__xludf.DUMMYFUNCTION("""COMPUTED_VALUE"""),"17051690")</f>
        <v>17051690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IFERROR(__xludf.DUMMYFUNCTION("""COMPUTED_VALUE"""),"ASSOC. APOIO AO INSTITUTO EDUC. GUNNAR VINGREN")</f>
        <v>ASSOC. APOIO AO INSTITUTO EDUC. GUNNAR VINGREN</v>
      </c>
      <c r="E141" s="114" t="str">
        <f ca="1">IFERROR(__xludf.DUMMYFUNCTION("""COMPUTED_VALUE"""),"Instituto Educacional Gunnar Vingren")</f>
        <v>Instituto Educacional Gunnar Vingren</v>
      </c>
      <c r="F141" s="116" t="str">
        <f ca="1">IFERROR(__xludf.DUMMYFUNCTION("""COMPUTED_VALUE"""),"17051690")</f>
        <v>17051690</v>
      </c>
      <c r="G141" s="114" t="str">
        <f ca="1">IFERROR(__xludf.DUMMYFUNCTION("""COMPUTED_VALUE"""),"05537107000197")</f>
        <v>05537107000197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IFERROR(__xludf.DUMMYFUNCTION("""COMPUTED_VALUE"""),"172286")</f>
        <v>172286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IFERROR(__xludf.DUMMYFUNCTION("""COMPUTED_VALUE"""),"Integral")</f>
        <v>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IFERROR(__xludf.DUMMYFUNCTION("""COMPUTED_VALUE"""),"17029449")</f>
        <v>17029449</v>
      </c>
      <c r="B142" s="114" t="str">
        <f ca="1">IFERROR(__xludf.DUMMYFUNCTION("""COMPUTED_VALUE"""),"Colinas")</f>
        <v>Colinas</v>
      </c>
      <c r="C142" s="114" t="str">
        <f ca="1">IFERROR(__xludf.DUMMYFUNCTION("""COMPUTED_VALUE"""),"Itapiratins")</f>
        <v>Itapiratins</v>
      </c>
      <c r="D142" s="115" t="str">
        <f ca="1">IFERROR(__xludf.DUMMYFUNCTION("""COMPUTED_VALUE"""),"A.A. ESCOLA ESTADUAL REZENDE DE ALMEIDA")</f>
        <v>A.A. ESCOLA ESTADUAL REZENDE DE ALMEIDA</v>
      </c>
      <c r="E142" s="114" t="str">
        <f ca="1">IFERROR(__xludf.DUMMYFUNCTION("""COMPUTED_VALUE"""),"Escola Estadual Rezende de Almeida")</f>
        <v>Escola Estadual Rezende de Almeida</v>
      </c>
      <c r="F142" s="116" t="str">
        <f ca="1">IFERROR(__xludf.DUMMYFUNCTION("""COMPUTED_VALUE"""),"17029449")</f>
        <v>17029449</v>
      </c>
      <c r="G142" s="114" t="str">
        <f ca="1">IFERROR(__xludf.DUMMYFUNCTION("""COMPUTED_VALUE"""),"01643863000140")</f>
        <v>01643863000140</v>
      </c>
      <c r="H142" s="116" t="str">
        <f ca="1">IFERROR(__xludf.DUMMYFUNCTION("""COMPUTED_VALUE"""),"001")</f>
        <v>001</v>
      </c>
      <c r="I142" s="116" t="str">
        <f ca="1">IFERROR(__xludf.DUMMYFUNCTION("""COMPUTED_VALUE"""),"2094")</f>
        <v>2094</v>
      </c>
      <c r="J142" s="116" t="str">
        <f ca="1">IFERROR(__xludf.DUMMYFUNCTION("""COMPUTED_VALUE"""),"27278")</f>
        <v>27278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IFERROR(__xludf.DUMMYFUNCTION("""COMPUTED_VALUE"""),"Parcial")</f>
        <v>Parcial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IFERROR(__xludf.DUMMYFUNCTION("""COMPUTED_VALUE"""),"17014298")</f>
        <v>17014298</v>
      </c>
      <c r="B143" s="114" t="str">
        <f ca="1">IFERROR(__xludf.DUMMYFUNCTION("""COMPUTED_VALUE"""),"Colinas")</f>
        <v>Colinas</v>
      </c>
      <c r="C143" s="114" t="str">
        <f ca="1">IFERROR(__xludf.DUMMYFUNCTION("""COMPUTED_VALUE"""),"Juarina")</f>
        <v>Juarina</v>
      </c>
      <c r="D143" s="115" t="str">
        <f ca="1">IFERROR(__xludf.DUMMYFUNCTION("""COMPUTED_VALUE"""),"A.A. ESCOLA ESTADUAL ZICO DORNELAS")</f>
        <v>A.A. ESCOLA ESTADUAL ZICO DORNELAS</v>
      </c>
      <c r="E143" s="114" t="str">
        <f ca="1">IFERROR(__xludf.DUMMYFUNCTION("""COMPUTED_VALUE"""),"Colégio Estadual Zico dorneles")</f>
        <v>Colégio Estadual Zico dorneles</v>
      </c>
      <c r="F143" s="116" t="str">
        <f ca="1">IFERROR(__xludf.DUMMYFUNCTION("""COMPUTED_VALUE"""),"17014298")</f>
        <v>17014298</v>
      </c>
      <c r="G143" s="114" t="str">
        <f ca="1">IFERROR(__xludf.DUMMYFUNCTION("""COMPUTED_VALUE"""),"01136018000188")</f>
        <v>01136018000188</v>
      </c>
      <c r="H143" s="116" t="str">
        <f ca="1">IFERROR(__xludf.DUMMYFUNCTION("""COMPUTED_VALUE"""),"001")</f>
        <v>001</v>
      </c>
      <c r="I143" s="116" t="str">
        <f ca="1">IFERROR(__xludf.DUMMYFUNCTION("""COMPUTED_VALUE"""),"0911")</f>
        <v>0911</v>
      </c>
      <c r="J143" s="116" t="str">
        <f ca="1">IFERROR(__xludf.DUMMYFUNCTION("""COMPUTED_VALUE"""),"369349")</f>
        <v>369349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IFERROR(__xludf.DUMMYFUNCTION("""COMPUTED_VALUE"""),"17009316")</f>
        <v>17009316</v>
      </c>
      <c r="B144" s="114" t="str">
        <f ca="1">IFERROR(__xludf.DUMMYFUNCTION("""COMPUTED_VALUE"""),"Colinas")</f>
        <v>Colinas</v>
      </c>
      <c r="C144" s="114" t="str">
        <f ca="1">IFERROR(__xludf.DUMMYFUNCTION("""COMPUTED_VALUE"""),"Palmeirante")</f>
        <v>Palmeirante</v>
      </c>
      <c r="D144" s="115" t="str">
        <f ca="1">IFERROR(__xludf.DUMMYFUNCTION("""COMPUTED_VALUE"""),"ASS. COM. ESC. EST JOAO AIRES GABRIEL")</f>
        <v>ASS. COM. ESC. EST JOAO AIRES GABRIEL</v>
      </c>
      <c r="E144" s="114" t="str">
        <f ca="1">IFERROR(__xludf.DUMMYFUNCTION("""COMPUTED_VALUE"""),"Escola Estadual João Aires Gabriel")</f>
        <v>Escola Estadual João Aires Gabriel</v>
      </c>
      <c r="F144" s="116" t="str">
        <f ca="1">IFERROR(__xludf.DUMMYFUNCTION("""COMPUTED_VALUE"""),"17009316")</f>
        <v>17009316</v>
      </c>
      <c r="G144" s="114" t="str">
        <f ca="1">IFERROR(__xludf.DUMMYFUNCTION("""COMPUTED_VALUE"""),"01465793000187")</f>
        <v>01465793000187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IFERROR(__xludf.DUMMYFUNCTION("""COMPUTED_VALUE"""),"342246")</f>
        <v>342246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IFERROR(__xludf.DUMMYFUNCTION("""COMPUTED_VALUE"""),"17040183")</f>
        <v>17040183</v>
      </c>
      <c r="B145" s="114" t="str">
        <f ca="1">IFERROR(__xludf.DUMMYFUNCTION("""COMPUTED_VALUE"""),"Colinas")</f>
        <v>Colinas</v>
      </c>
      <c r="C145" s="114" t="str">
        <f ca="1">IFERROR(__xludf.DUMMYFUNCTION("""COMPUTED_VALUE"""),"Pau D'arco")</f>
        <v>Pau D'arco</v>
      </c>
      <c r="D145" s="115" t="str">
        <f ca="1">IFERROR(__xludf.DUMMYFUNCTION("""COMPUTED_VALUE"""),"A.COM. ESCOLA EST. ULISSES GUIMARAES")</f>
        <v>A.COM. ESCOLA EST. ULISSES GUIMARAES</v>
      </c>
      <c r="E145" s="114" t="str">
        <f ca="1">IFERROR(__xludf.DUMMYFUNCTION("""COMPUTED_VALUE"""),"Colégio Estadual Ulisses Guimarães")</f>
        <v>Colégio Estadual Ulisses Guimarães</v>
      </c>
      <c r="F145" s="116" t="str">
        <f ca="1">IFERROR(__xludf.DUMMYFUNCTION("""COMPUTED_VALUE"""),"17040183")</f>
        <v>17040183</v>
      </c>
      <c r="G145" s="114" t="str">
        <f ca="1">IFERROR(__xludf.DUMMYFUNCTION("""COMPUTED_VALUE"""),"01181178000149")</f>
        <v>01181178000149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IFERROR(__xludf.DUMMYFUNCTION("""COMPUTED_VALUE"""),"23485")</f>
        <v>23485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IFERROR(__xludf.DUMMYFUNCTION("""COMPUTED_VALUE"""),"17017041")</f>
        <v>17017041</v>
      </c>
      <c r="B146" s="114" t="str">
        <f ca="1">IFERROR(__xludf.DUMMYFUNCTION("""COMPUTED_VALUE"""),"Colinas")</f>
        <v>Colinas</v>
      </c>
      <c r="C146" s="114" t="str">
        <f ca="1">IFERROR(__xludf.DUMMYFUNCTION("""COMPUTED_VALUE"""),"Tupiratins")</f>
        <v>Tupiratins</v>
      </c>
      <c r="D146" s="115" t="str">
        <f ca="1">IFERROR(__xludf.DUMMYFUNCTION("""COMPUTED_VALUE"""),"A. DE AP. DA ESC. EST. SAO TOMAS DE AQUINO")</f>
        <v>A. DE AP. DA ESC. EST. SAO TOMAS DE AQUINO</v>
      </c>
      <c r="E146" s="114" t="str">
        <f ca="1">IFERROR(__xludf.DUMMYFUNCTION("""COMPUTED_VALUE"""),"Escola Estadual São Tomás de Aquino")</f>
        <v>Escola Estadual São Tomás de Aquino</v>
      </c>
      <c r="F146" s="116" t="str">
        <f ca="1">IFERROR(__xludf.DUMMYFUNCTION("""COMPUTED_VALUE"""),"17017041")</f>
        <v>17017041</v>
      </c>
      <c r="G146" s="114" t="str">
        <f ca="1">IFERROR(__xludf.DUMMYFUNCTION("""COMPUTED_VALUE"""),"01334791000159")</f>
        <v>01334791000159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IFERROR(__xludf.DUMMYFUNCTION("""COMPUTED_VALUE"""),"370045")</f>
        <v>370045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IFERROR(__xludf.DUMMYFUNCTION("""COMPUTED_VALUE"""),"17032229")</f>
        <v>17032229</v>
      </c>
      <c r="B147" s="114" t="str">
        <f ca="1">IFERROR(__xludf.DUMMYFUNCTION("""COMPUTED_VALUE"""),"Dianópolis")</f>
        <v>Dianópolis</v>
      </c>
      <c r="C147" s="114" t="str">
        <f ca="1">IFERROR(__xludf.DUMMYFUNCTION("""COMPUTED_VALUE"""),"Almas")</f>
        <v>Almas</v>
      </c>
      <c r="D147" s="115" t="str">
        <f ca="1">IFERROR(__xludf.DUMMYFUNCTION("""COMPUTED_VALUE"""),"A.A. COL. E.II GRAU DR.ABNER A.PACINI")</f>
        <v>A.A. COL. E.II GRAU DR.ABNER A.PACINI</v>
      </c>
      <c r="E147" s="114" t="str">
        <f ca="1">IFERROR(__xludf.DUMMYFUNCTION("""COMPUTED_VALUE"""),"Colegio Estadual Doutor Abner Araujo Pacini")</f>
        <v>Colegio Estadual Doutor Abner Araujo Pacini</v>
      </c>
      <c r="F147" s="116" t="str">
        <f ca="1">IFERROR(__xludf.DUMMYFUNCTION("""COMPUTED_VALUE"""),"17032229")</f>
        <v>17032229</v>
      </c>
      <c r="G147" s="114" t="str">
        <f ca="1">IFERROR(__xludf.DUMMYFUNCTION("""COMPUTED_VALUE"""),"01197160000135")</f>
        <v>01197160000135</v>
      </c>
      <c r="H147" s="116" t="str">
        <f ca="1">IFERROR(__xludf.DUMMYFUNCTION("""COMPUTED_VALUE"""),"001")</f>
        <v>001</v>
      </c>
      <c r="I147" s="116" t="str">
        <f ca="1">IFERROR(__xludf.DUMMYFUNCTION("""COMPUTED_VALUE"""),"1307")</f>
        <v>1307</v>
      </c>
      <c r="J147" s="116" t="str">
        <f ca="1">IFERROR(__xludf.DUMMYFUNCTION("""COMPUTED_VALUE"""),"0107700")</f>
        <v>0107700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IFERROR(__xludf.DUMMYFUNCTION("""COMPUTED_VALUE"""),"Integral")</f>
        <v>Integral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IFERROR(__xludf.DUMMYFUNCTION("""COMPUTED_VALUE"""),"17042798")</f>
        <v>17042798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IFERROR(__xludf.DUMMYFUNCTION("""COMPUTED_VALUE"""),"ASSOC.MES.P.EDUC.FUNC.DO COL.AGROP.ALMAS")</f>
        <v>ASSOC.MES.P.EDUC.FUNC.DO COL.AGROP.ALMAS</v>
      </c>
      <c r="E148" s="114" t="str">
        <f ca="1">IFERROR(__xludf.DUMMYFUNCTION("""COMPUTED_VALUE"""),"Colégio Estadual Girassol de Tempo Integral Agropecuário de Almas")</f>
        <v>Colégio Estadual Girassol de Tempo Integral Agropecuário de Almas</v>
      </c>
      <c r="F148" s="116" t="str">
        <f ca="1">IFERROR(__xludf.DUMMYFUNCTION("""COMPUTED_VALUE"""),"17042798")</f>
        <v>17042798</v>
      </c>
      <c r="G148" s="114" t="str">
        <f ca="1">IFERROR(__xludf.DUMMYFUNCTION("""COMPUTED_VALUE"""),"03751406000102")</f>
        <v>03751406000102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IFERROR(__xludf.DUMMYFUNCTION("""COMPUTED_VALUE"""),"115312")</f>
        <v>115312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 t="str">
        <f ca="1">IFERROR(__xludf.DUMMYFUNCTION("""COMPUTED_VALUE"""),"INTERNATO/AGRÍCOLA")</f>
        <v>INTERNATO/AGRÍCOLA</v>
      </c>
      <c r="AE148" s="114" t="str">
        <f ca="1">IFERROR(__xludf.DUMMYFUNCTION("""COMPUTED_VALUE"""),"Parcial")</f>
        <v>Parcial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IFERROR(__xludf.DUMMYFUNCTION("""COMPUTED_VALUE"""),4)</f>
        <v>4</v>
      </c>
      <c r="AI148" s="114">
        <f ca="1">IFERROR(__xludf.DUMMYFUNCTION("""COMPUTED_VALUE"""),10)</f>
        <v>10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IFERROR(__xludf.DUMMYFUNCTION("""COMPUTED_VALUE"""),"17032270")</f>
        <v>17032270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IFERROR(__xludf.DUMMYFUNCTION("""COMPUTED_VALUE"""),"A.A.  ESC. ESTADUAL DEOCLIDES MUNIZ")</f>
        <v>A.A.  ESC. ESTADUAL DEOCLIDES MUNIZ</v>
      </c>
      <c r="E149" s="114" t="str">
        <f ca="1">IFERROR(__xludf.DUMMYFUNCTION("""COMPUTED_VALUE"""),"Escola Estadual deoclides Muniz")</f>
        <v>Escola Estadual deoclides Muniz</v>
      </c>
      <c r="F149" s="116" t="str">
        <f ca="1">IFERROR(__xludf.DUMMYFUNCTION("""COMPUTED_VALUE"""),"17032270")</f>
        <v>17032270</v>
      </c>
      <c r="G149" s="114" t="str">
        <f ca="1">IFERROR(__xludf.DUMMYFUNCTION("""COMPUTED_VALUE"""),"01143807000146")</f>
        <v>01143807000146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IFERROR(__xludf.DUMMYFUNCTION("""COMPUTED_VALUE"""),"107786")</f>
        <v>107786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/>
      <c r="AE149" s="114" t="str">
        <f ca="1">IFERROR(__xludf.DUMMYFUNCTION("""COMPUTED_VALUE"""),"Integral")</f>
        <v>Integral</v>
      </c>
      <c r="AF149" s="114" t="str">
        <f ca="1">IFERROR(__xludf.DUMMYFUNCTION("""COMPUTED_VALUE"""),"FE")</f>
        <v>FE</v>
      </c>
      <c r="AG149" s="114">
        <f ca="1">IFERROR(__xludf.DUMMYFUNCTION("""COMPUTED_VALUE"""),3)</f>
        <v>3</v>
      </c>
      <c r="AH149" s="114">
        <f ca="1">IFERROR(__xludf.DUMMYFUNCTION("""COMPUTED_VALUE"""),0)</f>
        <v>0</v>
      </c>
      <c r="AI149" s="114">
        <f ca="1">IFERROR(__xludf.DUMMYFUNCTION("""COMPUTED_VALUE"""),0)</f>
        <v>0</v>
      </c>
      <c r="AJ149" s="114">
        <f ca="1">IFERROR(__xludf.DUMMYFUNCTION("""COMPUTED_VALUE"""),14)</f>
        <v>14</v>
      </c>
      <c r="AK149" s="114"/>
      <c r="AL149" s="117"/>
    </row>
    <row r="150" spans="1:38" ht="12.75">
      <c r="A150" s="113" t="str">
        <f ca="1">IFERROR(__xludf.DUMMYFUNCTION("""COMPUTED_VALUE"""),"17033705")</f>
        <v>17033705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IFERROR(__xludf.DUMMYFUNCTION("""COMPUTED_VALUE"""),"Conceicao do Tocantins")</f>
        <v>Conceicao do Tocantins</v>
      </c>
      <c r="D150" s="115" t="str">
        <f ca="1">IFERROR(__xludf.DUMMYFUNCTION("""COMPUTED_VALUE"""),"A.A. E. CEL JOSE FRANCISCO DE AZEVEDO")</f>
        <v>A.A. E. CEL JOSE FRANCISCO DE AZEVEDO</v>
      </c>
      <c r="E150" s="114" t="str">
        <f ca="1">IFERROR(__xludf.DUMMYFUNCTION("""COMPUTED_VALUE"""),"Colégio Estadual Coronel José Francisco de Azevedo")</f>
        <v>Colégio Estadual Coronel José Francisco de Azevedo</v>
      </c>
      <c r="F150" s="116" t="str">
        <f ca="1">IFERROR(__xludf.DUMMYFUNCTION("""COMPUTED_VALUE"""),"17033705")</f>
        <v>17033705</v>
      </c>
      <c r="G150" s="114" t="str">
        <f ca="1">IFERROR(__xludf.DUMMYFUNCTION("""COMPUTED_VALUE"""),"01136040000128")</f>
        <v>01136040000128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IFERROR(__xludf.DUMMYFUNCTION("""COMPUTED_VALUE"""),"106208")</f>
        <v>106208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IFERROR(__xludf.DUMMYFUNCTION("""COMPUTED_VALUE"""),"Parcial")</f>
        <v>Parcial</v>
      </c>
      <c r="AF150" s="114" t="str">
        <f ca="1">IFERROR(__xludf.DUMMYFUNCTION("""COMPUTED_VALUE"""),"FE")</f>
        <v>FE</v>
      </c>
      <c r="AG150" s="114">
        <f ca="1">IFERROR(__xludf.DUMMYFUNCTION("""COMPUTED_VALUE"""),0)</f>
        <v>0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IFERROR(__xludf.DUMMYFUNCTION("""COMPUTED_VALUE"""),0)</f>
        <v>0</v>
      </c>
      <c r="AK150" s="114"/>
      <c r="AL150" s="117"/>
    </row>
    <row r="151" spans="1:38" ht="12.75">
      <c r="A151" s="113" t="str">
        <f ca="1">IFERROR(__xludf.DUMMYFUNCTION("""COMPUTED_VALUE"""),"17034027")</f>
        <v>17034027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IFERROR(__xludf.DUMMYFUNCTION("""COMPUTED_VALUE"""),"Dianopolis")</f>
        <v>Dianopolis</v>
      </c>
      <c r="D151" s="115" t="str">
        <f ca="1">IFERROR(__xludf.DUMMYFUNCTION("""COMPUTED_VALUE"""),"A. ESC. COMUN.DA E. EST. ANTONIO POVOA")</f>
        <v>A. ESC. COMUN.DA E. EST. ANTONIO POVOA</v>
      </c>
      <c r="E151" s="114" t="str">
        <f ca="1">IFERROR(__xludf.DUMMYFUNCTION("""COMPUTED_VALUE"""),"Centro de Ensino Médio Antônio Póvoa")</f>
        <v>Centro de Ensino Médio Antônio Póvoa</v>
      </c>
      <c r="F151" s="116" t="str">
        <f ca="1">IFERROR(__xludf.DUMMYFUNCTION("""COMPUTED_VALUE"""),"17034027")</f>
        <v>17034027</v>
      </c>
      <c r="G151" s="114" t="str">
        <f ca="1">IFERROR(__xludf.DUMMYFUNCTION("""COMPUTED_VALUE"""),"00895665000100")</f>
        <v>00895665000100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IFERROR(__xludf.DUMMYFUNCTION("""COMPUTED_VALUE"""),"010616X")</f>
        <v>010616X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IFERROR(__xludf.DUMMYFUNCTION("""COMPUTED_VALUE"""),7)</f>
        <v>7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IFERROR(__xludf.DUMMYFUNCTION("""COMPUTED_VALUE"""),3)</f>
        <v>3</v>
      </c>
      <c r="AK151" s="114"/>
      <c r="AL151" s="117"/>
    </row>
    <row r="152" spans="1:38" ht="12.75">
      <c r="A152" s="113" t="str">
        <f ca="1">IFERROR(__xludf.DUMMYFUNCTION("""COMPUTED_VALUE"""),"17033993")</f>
        <v>17033993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DE APOIO AO COLEGIO JOAO DE ABREU")</f>
        <v>A. DE APOIO AO COLEGIO JOAO DE ABREU</v>
      </c>
      <c r="E152" s="114" t="str">
        <f ca="1">IFERROR(__xludf.DUMMYFUNCTION("""COMPUTED_VALUE"""),"Colegio João D Abreu")</f>
        <v>Colegio João D Abreu</v>
      </c>
      <c r="F152" s="116" t="str">
        <f ca="1">IFERROR(__xludf.DUMMYFUNCTION("""COMPUTED_VALUE"""),"17033993")</f>
        <v>17033993</v>
      </c>
      <c r="G152" s="114" t="str">
        <f ca="1">IFERROR(__xludf.DUMMYFUNCTION("""COMPUTED_VALUE"""),"05059617000104")</f>
        <v>05059617000104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IFERROR(__xludf.DUMMYFUNCTION("""COMPUTED_VALUE"""),"127027")</f>
        <v>127027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IFERROR(__xludf.DUMMYFUNCTION("""COMPUTED_VALUE"""),"Parcial/Integral")</f>
        <v>Parcial/Integral</v>
      </c>
      <c r="AF152" s="114" t="str">
        <f ca="1">IFERROR(__xludf.DUMMYFUNCTION("""COMPUTED_VALUE"""),"FE")</f>
        <v>FE</v>
      </c>
      <c r="AG152" s="114">
        <f ca="1">IFERROR(__xludf.DUMMYFUNCTION("""COMPUTED_VALUE"""),0)</f>
        <v>0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IFERROR(__xludf.DUMMYFUNCTION("""COMPUTED_VALUE"""),0)</f>
        <v>0</v>
      </c>
      <c r="AK152" s="114"/>
      <c r="AL152" s="117"/>
    </row>
    <row r="153" spans="1:38" ht="12.75">
      <c r="A153" s="113" t="str">
        <f ca="1">IFERROR(__xludf.DUMMYFUNCTION("""COMPUTED_VALUE"""),"17034221")</f>
        <v>17034221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IFERROR(__xludf.DUMMYFUNCTION("""COMPUTED_VALUE"""),"ASSOC. DE APOIO A ESCOLA COOPERATIVA CHAPADÃO/DIANÓPOLIS")</f>
        <v>ASSOC. DE APOIO A ESCOLA COOPERATIVA CHAPADÃO/DIANÓPOLIS</v>
      </c>
      <c r="E153" s="114" t="str">
        <f ca="1">IFERROR(__xludf.DUMMYFUNCTION("""COMPUTED_VALUE"""),"Escola Cooperativa Chapadão")</f>
        <v>Escola Cooperativa Chapadão</v>
      </c>
      <c r="F153" s="116" t="str">
        <f ca="1">IFERROR(__xludf.DUMMYFUNCTION("""COMPUTED_VALUE"""),"17034221")</f>
        <v>17034221</v>
      </c>
      <c r="G153" s="114" t="str">
        <f ca="1">IFERROR(__xludf.DUMMYFUNCTION("""COMPUTED_VALUE"""),"07056712000171")</f>
        <v>07056712000171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IFERROR(__xludf.DUMMYFUNCTION("""COMPUTED_VALUE"""),"15704X")</f>
        <v>15704X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IFERROR(__xludf.DUMMYFUNCTION("""COMPUTED_VALUE"""),"Parcial")</f>
        <v>Parcial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IFERROR(__xludf.DUMMYFUNCTION("""COMPUTED_VALUE"""),"17074819")</f>
        <v>17074819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IFERROR(__xludf.DUMMYFUNCTION("""COMPUTED_VALUE"""),"ESCOLA ESPECIAL COLIBRI")</f>
        <v>ESCOLA ESPECIAL COLIBRI</v>
      </c>
      <c r="E154" s="114" t="str">
        <f ca="1">IFERROR(__xludf.DUMMYFUNCTION("""COMPUTED_VALUE"""),"Escola Especial Colibri")</f>
        <v>Escola Especial Colibri</v>
      </c>
      <c r="F154" s="116" t="str">
        <f ca="1">IFERROR(__xludf.DUMMYFUNCTION("""COMPUTED_VALUE"""),"17074819")</f>
        <v>17074819</v>
      </c>
      <c r="G154" s="114" t="str">
        <f ca="1">IFERROR(__xludf.DUMMYFUNCTION("""COMPUTED_VALUE"""),"15413383000105")</f>
        <v>15413383000105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IFERROR(__xludf.DUMMYFUNCTION("""COMPUTED_VALUE"""),"312967")</f>
        <v>312967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 t="str">
        <f ca="1">IFERROR(__xludf.DUMMYFUNCTION("""COMPUTED_VALUE"""),"E.M. INTEGRADO")</f>
        <v>E.M. INTEGRADO</v>
      </c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IFERROR(__xludf.DUMMYFUNCTION("""COMPUTED_VALUE"""),"17034035")</f>
        <v>17034035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IFERROR(__xludf.DUMMYFUNCTION("""COMPUTED_VALUE"""),"ASS. APOIO ESC. EST.CEL.ABILIO WOLNEY")</f>
        <v>ASS. APOIO ESC. EST.CEL.ABILIO WOLNEY</v>
      </c>
      <c r="E155" s="114" t="str">
        <f ca="1">IFERROR(__xludf.DUMMYFUNCTION("""COMPUTED_VALUE"""),"Escola Estadual Coronel Abílio Wolney")</f>
        <v>Escola Estadual Coronel Abílio Wolney</v>
      </c>
      <c r="F155" s="116" t="str">
        <f ca="1">IFERROR(__xludf.DUMMYFUNCTION("""COMPUTED_VALUE"""),"17034035")</f>
        <v>17034035</v>
      </c>
      <c r="G155" s="114" t="str">
        <f ca="1">IFERROR(__xludf.DUMMYFUNCTION("""COMPUTED_VALUE"""),"01197161000180")</f>
        <v>01197161000180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IFERROR(__xludf.DUMMYFUNCTION("""COMPUTED_VALUE"""),"120464")</f>
        <v>120464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/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IFERROR(__xludf.DUMMYFUNCTION("""COMPUTED_VALUE"""),"17034078")</f>
        <v>17034078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IFERROR(__xludf.DUMMYFUNCTION("""COMPUTED_VALUE"""),"A.A. ESCOLA ESTADUAL JOCA COSTA")</f>
        <v>A.A. ESCOLA ESTADUAL JOCA COSTA</v>
      </c>
      <c r="E156" s="114" t="str">
        <f ca="1">IFERROR(__xludf.DUMMYFUNCTION("""COMPUTED_VALUE"""),"Escola Estadual Joca Costa")</f>
        <v>Escola Estadual Joca Costa</v>
      </c>
      <c r="F156" s="116" t="str">
        <f ca="1">IFERROR(__xludf.DUMMYFUNCTION("""COMPUTED_VALUE"""),"17034078")</f>
        <v>17034078</v>
      </c>
      <c r="G156" s="114" t="str">
        <f ca="1">IFERROR(__xludf.DUMMYFUNCTION("""COMPUTED_VALUE"""),"01138323000109")</f>
        <v>01138323000109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IFERROR(__xludf.DUMMYFUNCTION("""COMPUTED_VALUE"""),"107492")</f>
        <v>107492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IFERROR(__xludf.DUMMYFUNCTION("""COMPUTED_VALUE"""),"17035210")</f>
        <v>17035210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IFERROR(__xludf.DUMMYFUNCTION("""COMPUTED_VALUE"""),"Novo Jardim")</f>
        <v>Novo Jardim</v>
      </c>
      <c r="D157" s="115" t="str">
        <f ca="1">IFERROR(__xludf.DUMMYFUNCTION("""COMPUTED_VALUE"""),"ASS. DE AP. DA ESCOLA ESTADUAL JARDIM")</f>
        <v>ASS. DE AP. DA ESCOLA ESTADUAL JARDIM</v>
      </c>
      <c r="E157" s="114" t="str">
        <f ca="1">IFERROR(__xludf.DUMMYFUNCTION("""COMPUTED_VALUE"""),"Escola Estadual Jardim")</f>
        <v>Escola Estadual Jardim</v>
      </c>
      <c r="F157" s="116" t="str">
        <f ca="1">IFERROR(__xludf.DUMMYFUNCTION("""COMPUTED_VALUE"""),"17035210")</f>
        <v>17035210</v>
      </c>
      <c r="G157" s="114" t="str">
        <f ca="1">IFERROR(__xludf.DUMMYFUNCTION("""COMPUTED_VALUE"""),"01408711000162")</f>
        <v>01408711000162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IFERROR(__xludf.DUMMYFUNCTION("""COMPUTED_VALUE"""),"106453")</f>
        <v>106453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 t="str">
        <f ca="1">IFERROR(__xludf.DUMMYFUNCTION("""COMPUTED_VALUE"""),"E.M. INTEGRADO")</f>
        <v>E.M. INTEGRADO</v>
      </c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IFERROR(__xludf.DUMMYFUNCTION("""COMPUTED_VALUE"""),"17036208")</f>
        <v>17036208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IFERROR(__xludf.DUMMYFUNCTION("""COMPUTED_VALUE"""),"Ponte Alta do Bom Jesus")</f>
        <v>Ponte Alta do Bom Jesus</v>
      </c>
      <c r="D158" s="115" t="str">
        <f ca="1">IFERROR(__xludf.DUMMYFUNCTION("""COMPUTED_VALUE"""),"A.A. ESC. E. ANTONIO CARLOS DE FRANCA")</f>
        <v>A.A. ESC. E. ANTONIO CARLOS DE FRANCA</v>
      </c>
      <c r="E158" s="114" t="str">
        <f ca="1">IFERROR(__xludf.DUMMYFUNCTION("""COMPUTED_VALUE"""),"Colégio Estadual Antonio Carlos de França")</f>
        <v>Colégio Estadual Antonio Carlos de França</v>
      </c>
      <c r="F158" s="116" t="str">
        <f ca="1">IFERROR(__xludf.DUMMYFUNCTION("""COMPUTED_VALUE"""),"17036208")</f>
        <v>17036208</v>
      </c>
      <c r="G158" s="114" t="str">
        <f ca="1">IFERROR(__xludf.DUMMYFUNCTION("""COMPUTED_VALUE"""),"01223633000121")</f>
        <v>01223633000121</v>
      </c>
      <c r="H158" s="116" t="str">
        <f ca="1">IFERROR(__xludf.DUMMYFUNCTION("""COMPUTED_VALUE"""),"001")</f>
        <v>001</v>
      </c>
      <c r="I158" s="116" t="str">
        <f ca="1">IFERROR(__xludf.DUMMYFUNCTION("""COMPUTED_VALUE"""),"2704")</f>
        <v>2704</v>
      </c>
      <c r="J158" s="116" t="str">
        <f ca="1">IFERROR(__xludf.DUMMYFUNCTION("""COMPUTED_VALUE"""),"102733")</f>
        <v>102733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/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IFERROR(__xludf.DUMMYFUNCTION("""COMPUTED_VALUE"""),"17036275")</f>
        <v>17036275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E. ESC. EST. BOA VISTA DE BELEM")</f>
        <v>A.A. E. ESC. EST. BOA VISTA DE BELEM</v>
      </c>
      <c r="E159" s="114" t="str">
        <f ca="1">IFERROR(__xludf.DUMMYFUNCTION("""COMPUTED_VALUE"""),"Escola Estadual Boa Vista de Belém")</f>
        <v>Escola Estadual Boa Vista de Belém</v>
      </c>
      <c r="F159" s="116" t="str">
        <f ca="1">IFERROR(__xludf.DUMMYFUNCTION("""COMPUTED_VALUE"""),"17036275")</f>
        <v>17036275</v>
      </c>
      <c r="G159" s="114" t="str">
        <f ca="1">IFERROR(__xludf.DUMMYFUNCTION("""COMPUTED_VALUE"""),"01136045000150")</f>
        <v>01136045000150</v>
      </c>
      <c r="H159" s="116" t="str">
        <f ca="1">IFERROR(__xludf.DUMMYFUNCTION("""COMPUTED_VALUE"""),"001")</f>
        <v>001</v>
      </c>
      <c r="I159" s="116" t="str">
        <f ca="1">IFERROR(__xludf.DUMMYFUNCTION("""COMPUTED_VALUE"""),"1307")</f>
        <v>1307</v>
      </c>
      <c r="J159" s="116" t="str">
        <f ca="1">IFERROR(__xludf.DUMMYFUNCTION("""COMPUTED_VALUE"""),"010762X")</f>
        <v>010762X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 t="str">
        <f ca="1">IFERROR(__xludf.DUMMYFUNCTION("""COMPUTED_VALUE"""),"E.M. INTEGRADO")</f>
        <v>E.M. INTEGRADO</v>
      </c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IFERROR(__xludf.DUMMYFUNCTION("""COMPUTED_VALUE"""),"17036577")</f>
        <v>17036577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IFERROR(__xludf.DUMMYFUNCTION("""COMPUTED_VALUE"""),"Porto Alegre do Tocantins")</f>
        <v>Porto Alegre do Tocantins</v>
      </c>
      <c r="D160" s="115" t="str">
        <f ca="1">IFERROR(__xludf.DUMMYFUNCTION("""COMPUTED_VALUE"""),"ASSOC. APOIO ESC. EST. ALFREDO NASSER")</f>
        <v>ASSOC. APOIO ESC. EST. ALFREDO NASSER</v>
      </c>
      <c r="E160" s="114" t="str">
        <f ca="1">IFERROR(__xludf.DUMMYFUNCTION("""COMPUTED_VALUE"""),"Colegio Estadual Alfredo Nasser")</f>
        <v>Colegio Estadual Alfredo Nasser</v>
      </c>
      <c r="F160" s="116" t="str">
        <f ca="1">IFERROR(__xludf.DUMMYFUNCTION("""COMPUTED_VALUE"""),"17036577")</f>
        <v>17036577</v>
      </c>
      <c r="G160" s="114" t="str">
        <f ca="1">IFERROR(__xludf.DUMMYFUNCTION("""COMPUTED_VALUE"""),"01105525000154")</f>
        <v>01105525000154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IFERROR(__xludf.DUMMYFUNCTION("""COMPUTED_VALUE"""),"0106321")</f>
        <v>0106321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/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IFERROR(__xludf.DUMMYFUNCTION("""COMPUTED_VALUE"""),"17036704")</f>
        <v>17036704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IFERROR(__xludf.DUMMYFUNCTION("""COMPUTED_VALUE"""),"Rio da Conceicao")</f>
        <v>Rio da Conceicao</v>
      </c>
      <c r="D161" s="115" t="str">
        <f ca="1">IFERROR(__xludf.DUMMYFUNCTION("""COMPUTED_VALUE"""),"A.A. E. E.VIRGILIO FERREIRA DE FRANCA")</f>
        <v>A.A. E. E.VIRGILIO FERREIRA DE FRANCA</v>
      </c>
      <c r="E161" s="114" t="str">
        <f ca="1">IFERROR(__xludf.DUMMYFUNCTION("""COMPUTED_VALUE"""),"Escola Estadual Virgilio Ferreira de França")</f>
        <v>Escola Estadual Virgilio Ferreira de França</v>
      </c>
      <c r="F161" s="116" t="str">
        <f ca="1">IFERROR(__xludf.DUMMYFUNCTION("""COMPUTED_VALUE"""),"17036704")</f>
        <v>17036704</v>
      </c>
      <c r="G161" s="114" t="str">
        <f ca="1">IFERROR(__xludf.DUMMYFUNCTION("""COMPUTED_VALUE"""),"01136115000170")</f>
        <v>01136115000170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IFERROR(__xludf.DUMMYFUNCTION("""COMPUTED_VALUE"""),"106305")</f>
        <v>106305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IFERROR(__xludf.DUMMYFUNCTION("""COMPUTED_VALUE"""),"17037220")</f>
        <v>17037220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IFERROR(__xludf.DUMMYFUNCTION("""COMPUTED_VALUE"""),"Taguatinga")</f>
        <v>Taguatinga</v>
      </c>
      <c r="D162" s="115" t="str">
        <f ca="1">IFERROR(__xludf.DUMMYFUNCTION("""COMPUTED_VALUE"""),"A.A.  ESCOLA EST. JUSTINO DE ALMEIDA")</f>
        <v>A.A.  ESCOLA EST. JUSTINO DE ALMEIDA</v>
      </c>
      <c r="E162" s="114" t="str">
        <f ca="1">IFERROR(__xludf.DUMMYFUNCTION("""COMPUTED_VALUE"""),"Colegio Estadual Justino de Almeida")</f>
        <v>Colegio Estadual Justino de Almeida</v>
      </c>
      <c r="F162" s="116" t="str">
        <f ca="1">IFERROR(__xludf.DUMMYFUNCTION("""COMPUTED_VALUE"""),"17037220")</f>
        <v>17037220</v>
      </c>
      <c r="G162" s="114" t="str">
        <f ca="1">IFERROR(__xludf.DUMMYFUNCTION("""COMPUTED_VALUE"""),"01184379000108")</f>
        <v>01184379000108</v>
      </c>
      <c r="H162" s="116" t="str">
        <f ca="1">IFERROR(__xludf.DUMMYFUNCTION("""COMPUTED_VALUE"""),"001")</f>
        <v>001</v>
      </c>
      <c r="I162" s="116" t="str">
        <f ca="1">IFERROR(__xludf.DUMMYFUNCTION("""COMPUTED_VALUE"""),"2704")</f>
        <v>2704</v>
      </c>
      <c r="J162" s="116" t="str">
        <f ca="1">IFERROR(__xludf.DUMMYFUNCTION("""COMPUTED_VALUE"""),"102563")</f>
        <v>102563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IFERROR(__xludf.DUMMYFUNCTION("""COMPUTED_VALUE"""),"17037158")</f>
        <v>17037158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COL. EST. PROFESSOR AURELIANO")</f>
        <v>A.A. COL. EST. PROFESSOR AURELIANO</v>
      </c>
      <c r="E163" s="114" t="str">
        <f ca="1">IFERROR(__xludf.DUMMYFUNCTION("""COMPUTED_VALUE"""),"Colégio Estadual Professor Aureliano")</f>
        <v>Colégio Estadual Professor Aureliano</v>
      </c>
      <c r="F163" s="116" t="str">
        <f ca="1">IFERROR(__xludf.DUMMYFUNCTION("""COMPUTED_VALUE"""),"17037158")</f>
        <v>17037158</v>
      </c>
      <c r="G163" s="114" t="str">
        <f ca="1">IFERROR(__xludf.DUMMYFUNCTION("""COMPUTED_VALUE"""),"01133709000128")</f>
        <v>01133709000128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IFERROR(__xludf.DUMMYFUNCTION("""COMPUTED_VALUE"""),"102717")</f>
        <v>102717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IFERROR(__xludf.DUMMYFUNCTION("""COMPUTED_VALUE"""),9)</f>
        <v>9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IFERROR(__xludf.DUMMYFUNCTION("""COMPUTED_VALUE"""),"17037174")</f>
        <v>17037174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ESC. EST. AGOSTINHO DE ALMEIDA")</f>
        <v>A.A. ESC. EST. AGOSTINHO DE ALMEIDA</v>
      </c>
      <c r="E164" s="114" t="str">
        <f ca="1">IFERROR(__xludf.DUMMYFUNCTION("""COMPUTED_VALUE"""),"Escola Estadual Agostinho de Almeida")</f>
        <v>Escola Estadual Agostinho de Almeida</v>
      </c>
      <c r="F164" s="116" t="str">
        <f ca="1">IFERROR(__xludf.DUMMYFUNCTION("""COMPUTED_VALUE"""),"17037174")</f>
        <v>17037174</v>
      </c>
      <c r="G164" s="114" t="str">
        <f ca="1">IFERROR(__xludf.DUMMYFUNCTION("""COMPUTED_VALUE"""),"01197159000100")</f>
        <v>01197159000100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IFERROR(__xludf.DUMMYFUNCTION("""COMPUTED_VALUE"""),"102555")</f>
        <v>102555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IFERROR(__xludf.DUMMYFUNCTION("""COMPUTED_VALUE"""),0)</f>
        <v>0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IFERROR(__xludf.DUMMYFUNCTION("""COMPUTED_VALUE"""),"17037786")</f>
        <v>17037786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IFERROR(__xludf.DUMMYFUNCTION("""COMPUTED_VALUE"""),"Taipas do Tocantins")</f>
        <v>Taipas do Tocantins</v>
      </c>
      <c r="D165" s="115" t="str">
        <f ca="1">IFERROR(__xludf.DUMMYFUNCTION("""COMPUTED_VALUE"""),"A.A. E. EST. JOAQUIM FRANCISCO AZEVEDO")</f>
        <v>A.A. E. EST. JOAQUIM FRANCISCO AZEVEDO</v>
      </c>
      <c r="E165" s="114" t="str">
        <f ca="1">IFERROR(__xludf.DUMMYFUNCTION("""COMPUTED_VALUE"""),"Escola Estadual Joaquim Francisco de Azevedo")</f>
        <v>Escola Estadual Joaquim Francisco de Azevedo</v>
      </c>
      <c r="F165" s="116" t="str">
        <f ca="1">IFERROR(__xludf.DUMMYFUNCTION("""COMPUTED_VALUE"""),"17037786")</f>
        <v>17037786</v>
      </c>
      <c r="G165" s="114" t="str">
        <f ca="1">IFERROR(__xludf.DUMMYFUNCTION("""COMPUTED_VALUE"""),"01136011000166")</f>
        <v>01136011000166</v>
      </c>
      <c r="H165" s="116" t="str">
        <f ca="1">IFERROR(__xludf.DUMMYFUNCTION("""COMPUTED_VALUE"""),"001")</f>
        <v>001</v>
      </c>
      <c r="I165" s="116" t="str">
        <f ca="1">IFERROR(__xludf.DUMMYFUNCTION("""COMPUTED_VALUE"""),"1307")</f>
        <v>1307</v>
      </c>
      <c r="J165" s="116" t="str">
        <f ca="1">IFERROR(__xludf.DUMMYFUNCTION("""COMPUTED_VALUE"""),"0106291")</f>
        <v>0106291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IFERROR(__xludf.DUMMYFUNCTION("""COMPUTED_VALUE"""),"17016231")</f>
        <v>17016231</v>
      </c>
      <c r="B166" s="114" t="str">
        <f ca="1">IFERROR(__xludf.DUMMYFUNCTION("""COMPUTED_VALUE"""),"Guaraí")</f>
        <v>Guaraí</v>
      </c>
      <c r="C166" s="114" t="str">
        <f ca="1">IFERROR(__xludf.DUMMYFUNCTION("""COMPUTED_VALUE"""),"Colmeia")</f>
        <v>Colmeia</v>
      </c>
      <c r="D166" s="115" t="str">
        <f ca="1">IFERROR(__xludf.DUMMYFUNCTION("""COMPUTED_VALUE"""),"A.A.  COL. EST. SERRA DAS CORDILHEIRAS")</f>
        <v>A.A.  COL. EST. SERRA DAS CORDILHEIRAS</v>
      </c>
      <c r="E166" s="114" t="str">
        <f ca="1">IFERROR(__xludf.DUMMYFUNCTION("""COMPUTED_VALUE"""),"Colégio Estadual Serra das Cordilheiras")</f>
        <v>Colégio Estadual Serra das Cordilheiras</v>
      </c>
      <c r="F166" s="116" t="str">
        <f ca="1">IFERROR(__xludf.DUMMYFUNCTION("""COMPUTED_VALUE"""),"17016231")</f>
        <v>17016231</v>
      </c>
      <c r="G166" s="114" t="str">
        <f ca="1">IFERROR(__xludf.DUMMYFUNCTION("""COMPUTED_VALUE"""),"01138330000100")</f>
        <v>01138330000100</v>
      </c>
      <c r="H166" s="116" t="str">
        <f ca="1">IFERROR(__xludf.DUMMYFUNCTION("""COMPUTED_VALUE"""),"001")</f>
        <v>001</v>
      </c>
      <c r="I166" s="116" t="str">
        <f ca="1">IFERROR(__xludf.DUMMYFUNCTION("""COMPUTED_VALUE"""),"1306")</f>
        <v>1306</v>
      </c>
      <c r="J166" s="116" t="str">
        <f ca="1">IFERROR(__xludf.DUMMYFUNCTION("""COMPUTED_VALUE"""),"102776")</f>
        <v>102776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 t="str">
        <f ca="1">IFERROR(__xludf.DUMMYFUNCTION("""COMPUTED_VALUE"""),"CRECHE")</f>
        <v>CRECHE</v>
      </c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IFERROR(__xludf.DUMMYFUNCTION("""COMPUTED_VALUE"""),"17048664")</f>
        <v>17048664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IFERROR(__xludf.DUMMYFUNCTION("""COMPUTED_VALUE"""),"A..A. ESC. ESPECIAL  FILHOS DA LUZ")</f>
        <v>A..A. ESC. ESPECIAL  FILHOS DA LUZ</v>
      </c>
      <c r="E167" s="114" t="str">
        <f ca="1">IFERROR(__xludf.DUMMYFUNCTION("""COMPUTED_VALUE"""),"Escola Especial Filhos da Luz")</f>
        <v>Escola Especial Filhos da Luz</v>
      </c>
      <c r="F167" s="116" t="str">
        <f ca="1">IFERROR(__xludf.DUMMYFUNCTION("""COMPUTED_VALUE"""),"17048664")</f>
        <v>17048664</v>
      </c>
      <c r="G167" s="114" t="str">
        <f ca="1">IFERROR(__xludf.DUMMYFUNCTION("""COMPUTED_VALUE"""),"07921086000134")</f>
        <v>07921086000134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IFERROR(__xludf.DUMMYFUNCTION("""COMPUTED_VALUE"""),"167940")</f>
        <v>167940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/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IFERROR(__xludf.DUMMYFUNCTION("""COMPUTED_VALUE"""),"17016240")</f>
        <v>17016240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IFERROR(__xludf.DUMMYFUNCTION("""COMPUTED_VALUE"""),"A.A. ESC. EST. ARY RIBEIRO VALADAO FILHO")</f>
        <v>A.A. ESC. EST. ARY RIBEIRO VALADAO FILHO</v>
      </c>
      <c r="E168" s="114" t="str">
        <f ca="1">IFERROR(__xludf.DUMMYFUNCTION("""COMPUTED_VALUE"""),"Escola Estadual Ary Ribeiro Valadão Filho")</f>
        <v>Escola Estadual Ary Ribeiro Valadão Filho</v>
      </c>
      <c r="F168" s="116" t="str">
        <f ca="1">IFERROR(__xludf.DUMMYFUNCTION("""COMPUTED_VALUE"""),"17016240")</f>
        <v>17016240</v>
      </c>
      <c r="G168" s="114" t="str">
        <f ca="1">IFERROR(__xludf.DUMMYFUNCTION("""COMPUTED_VALUE"""),"01138331000155")</f>
        <v>01138331000155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IFERROR(__xludf.DUMMYFUNCTION("""COMPUTED_VALUE"""),"102806")</f>
        <v>102806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IFERROR(__xludf.DUMMYFUNCTION("""COMPUTED_VALUE"""),"17016282")</f>
        <v>17016282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JUSCELINO K. DE OLIVEIRA")</f>
        <v>A.A. ESC. EST. JUSCELINO K. DE OLIVEIRA</v>
      </c>
      <c r="E169" s="114" t="str">
        <f ca="1">IFERROR(__xludf.DUMMYFUNCTION("""COMPUTED_VALUE"""),"Escola Estadual Juscelino Kubitscheck de Oliveira")</f>
        <v>Escola Estadual Juscelino Kubitscheck de Oliveira</v>
      </c>
      <c r="F169" s="116" t="str">
        <f ca="1">IFERROR(__xludf.DUMMYFUNCTION("""COMPUTED_VALUE"""),"17016282")</f>
        <v>17016282</v>
      </c>
      <c r="G169" s="114" t="str">
        <f ca="1">IFERROR(__xludf.DUMMYFUNCTION("""COMPUTED_VALUE"""),"01138328000131")</f>
        <v>01138328000131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IFERROR(__xludf.DUMMYFUNCTION("""COMPUTED_VALUE"""),"102768")</f>
        <v>102768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IFERROR(__xludf.DUMMYFUNCTION("""COMPUTED_VALUE"""),"17011787")</f>
        <v>17011787</v>
      </c>
      <c r="B170" s="114" t="str">
        <f ca="1">IFERROR(__xludf.DUMMYFUNCTION("""COMPUTED_VALUE"""),"Guaraí")</f>
        <v>Guaraí</v>
      </c>
      <c r="C170" s="114" t="str">
        <f ca="1">IFERROR(__xludf.DUMMYFUNCTION("""COMPUTED_VALUE"""),"Couto Magalhaes")</f>
        <v>Couto Magalhaes</v>
      </c>
      <c r="D170" s="115" t="str">
        <f ca="1">IFERROR(__xludf.DUMMYFUNCTION("""COMPUTED_VALUE"""),"A.A. COL. EST. ARCHANGELA MILHOMEM")</f>
        <v>A.A. COL. EST. ARCHANGELA MILHOMEM</v>
      </c>
      <c r="E170" s="114" t="str">
        <f ca="1">IFERROR(__xludf.DUMMYFUNCTION("""COMPUTED_VALUE"""),"Colégio Estadual Archângela Milhomem")</f>
        <v>Colégio Estadual Archângela Milhomem</v>
      </c>
      <c r="F170" s="116" t="str">
        <f ca="1">IFERROR(__xludf.DUMMYFUNCTION("""COMPUTED_VALUE"""),"17011787")</f>
        <v>17011787</v>
      </c>
      <c r="G170" s="114" t="str">
        <f ca="1">IFERROR(__xludf.DUMMYFUNCTION("""COMPUTED_VALUE"""),"01138334000199")</f>
        <v>01138334000199</v>
      </c>
      <c r="H170" s="116" t="str">
        <f ca="1">IFERROR(__xludf.DUMMYFUNCTION("""COMPUTED_VALUE"""),"001")</f>
        <v>001</v>
      </c>
      <c r="I170" s="116" t="str">
        <f ca="1">IFERROR(__xludf.DUMMYFUNCTION("""COMPUTED_VALUE"""),"2094")</f>
        <v>2094</v>
      </c>
      <c r="J170" s="116" t="str">
        <f ca="1">IFERROR(__xludf.DUMMYFUNCTION("""COMPUTED_VALUE"""),"50385")</f>
        <v>50385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IFERROR(__xludf.DUMMYFUNCTION("""COMPUTED_VALUE"""),11)</f>
        <v>11</v>
      </c>
      <c r="AK170" s="114"/>
      <c r="AL170" s="117"/>
    </row>
    <row r="171" spans="1:38" ht="12.75">
      <c r="A171" s="113" t="str">
        <f ca="1">IFERROR(__xludf.DUMMYFUNCTION("""COMPUTED_VALUE"""),"17054931")</f>
        <v>17054931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ESC. ESPECIAL  DEUS É FIEL")</f>
        <v>A.A. ESC. ESPECIAL  DEUS É FIEL</v>
      </c>
      <c r="E171" s="114" t="str">
        <f ca="1">IFERROR(__xludf.DUMMYFUNCTION("""COMPUTED_VALUE"""),"Escola Especial Deus é Fiel")</f>
        <v>Escola Especial Deus é Fiel</v>
      </c>
      <c r="F171" s="116" t="str">
        <f ca="1">IFERROR(__xludf.DUMMYFUNCTION("""COMPUTED_VALUE"""),"17054931")</f>
        <v>17054931</v>
      </c>
      <c r="G171" s="114" t="str">
        <f ca="1">IFERROR(__xludf.DUMMYFUNCTION("""COMPUTED_VALUE"""),"17467216000164")</f>
        <v>17467216000164</v>
      </c>
      <c r="H171" s="116" t="str">
        <f ca="1">IFERROR(__xludf.DUMMYFUNCTION("""COMPUTED_VALUE"""),"001")</f>
        <v>001</v>
      </c>
      <c r="I171" s="116" t="str">
        <f ca="1">IFERROR(__xludf.DUMMYFUNCTION("""COMPUTED_VALUE"""),"1306")</f>
        <v>1306</v>
      </c>
      <c r="J171" s="116" t="str">
        <f ca="1">IFERROR(__xludf.DUMMYFUNCTION("""COMPUTED_VALUE"""),"265969")</f>
        <v>265969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IFERROR(__xludf.DUMMYFUNCTION("""COMPUTED_VALUE"""),0)</f>
        <v>0</v>
      </c>
      <c r="AK171" s="114"/>
      <c r="AL171" s="117"/>
    </row>
    <row r="172" spans="1:38" ht="12.75">
      <c r="A172" s="113" t="str">
        <f ca="1">IFERROR(__xludf.DUMMYFUNCTION("""COMPUTED_VALUE"""),"17011795")</f>
        <v>17011795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EST. ARLINDA ROSA DE SOUZA")</f>
        <v>A.A. ESC. EST. ARLINDA ROSA DE SOUZA</v>
      </c>
      <c r="E172" s="114" t="str">
        <f ca="1">IFERROR(__xludf.DUMMYFUNCTION("""COMPUTED_VALUE"""),"Escola Estadual Arlinda Rosa de Souza")</f>
        <v>Escola Estadual Arlinda Rosa de Souza</v>
      </c>
      <c r="F172" s="116" t="str">
        <f ca="1">IFERROR(__xludf.DUMMYFUNCTION("""COMPUTED_VALUE"""),"17011795")</f>
        <v>17011795</v>
      </c>
      <c r="G172" s="114" t="str">
        <f ca="1">IFERROR(__xludf.DUMMYFUNCTION("""COMPUTED_VALUE"""),"01221143000196")</f>
        <v>01221143000196</v>
      </c>
      <c r="H172" s="116" t="str">
        <f ca="1">IFERROR(__xludf.DUMMYFUNCTION("""COMPUTED_VALUE"""),"001")</f>
        <v>001</v>
      </c>
      <c r="I172" s="116" t="str">
        <f ca="1">IFERROR(__xludf.DUMMYFUNCTION("""COMPUTED_VALUE"""),"2094")</f>
        <v>2094</v>
      </c>
      <c r="J172" s="116" t="str">
        <f ca="1">IFERROR(__xludf.DUMMYFUNCTION("""COMPUTED_VALUE"""),"50350")</f>
        <v>50350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IFERROR(__xludf.DUMMYFUNCTION("""COMPUTED_VALUE"""),"17050871")</f>
        <v>17050871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ESCOLAR DA E. EST.ULTIMO DE CARVALHO")</f>
        <v>A.A. ESCOLAR DA E. EST.ULTIMO DE CARVALHO</v>
      </c>
      <c r="E173" s="114" t="str">
        <f ca="1">IFERROR(__xludf.DUMMYFUNCTION("""COMPUTED_VALUE"""),"Escola Estadual Ultimo de Carvalho")</f>
        <v>Escola Estadual Ultimo de Carvalho</v>
      </c>
      <c r="F173" s="116" t="str">
        <f ca="1">IFERROR(__xludf.DUMMYFUNCTION("""COMPUTED_VALUE"""),"17050871")</f>
        <v>17050871</v>
      </c>
      <c r="G173" s="114" t="str">
        <f ca="1">IFERROR(__xludf.DUMMYFUNCTION("""COMPUTED_VALUE"""),"04315063000198")</f>
        <v>04315063000198</v>
      </c>
      <c r="H173" s="116" t="str">
        <f ca="1">IFERROR(__xludf.DUMMYFUNCTION("""COMPUTED_VALUE"""),"001")</f>
        <v>001</v>
      </c>
      <c r="I173" s="116" t="str">
        <f ca="1">IFERROR(__xludf.DUMMYFUNCTION("""COMPUTED_VALUE"""),"1306")</f>
        <v>1306</v>
      </c>
      <c r="J173" s="116" t="str">
        <f ca="1">IFERROR(__xludf.DUMMYFUNCTION("""COMPUTED_VALUE"""),"74802")</f>
        <v>74802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IFERROR(__xludf.DUMMYFUNCTION("""COMPUTED_VALUE"""),"Integral")</f>
        <v>Integral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IFERROR(__xludf.DUMMYFUNCTION("""COMPUTED_VALUE"""),"17054052")</f>
        <v>17054052</v>
      </c>
      <c r="B174" s="114" t="str">
        <f ca="1">IFERROR(__xludf.DUMMYFUNCTION("""COMPUTED_VALUE"""),"Guaraí")</f>
        <v>Guaraí</v>
      </c>
      <c r="C174" s="114" t="str">
        <f ca="1">IFERROR(__xludf.DUMMYFUNCTION("""COMPUTED_VALUE"""),"Fortaleza do Tabocao")</f>
        <v>Fortaleza do Tabocao</v>
      </c>
      <c r="D174" s="115" t="str">
        <f ca="1">IFERROR(__xludf.DUMMYFUNCTION("""COMPUTED_VALUE"""),"ASSOC. DE APOIO A ESCOLA ESPECIAL EDSON DUTRA")</f>
        <v>ASSOC. DE APOIO A ESCOLA ESPECIAL EDSON DUTRA</v>
      </c>
      <c r="E174" s="114" t="str">
        <f ca="1">IFERROR(__xludf.DUMMYFUNCTION("""COMPUTED_VALUE"""),"Escola Especial Edison Dutra")</f>
        <v>Escola Especial Edison Dutra</v>
      </c>
      <c r="F174" s="116" t="str">
        <f ca="1">IFERROR(__xludf.DUMMYFUNCTION("""COMPUTED_VALUE"""),"17054052")</f>
        <v>17054052</v>
      </c>
      <c r="G174" s="114" t="str">
        <f ca="1">IFERROR(__xludf.DUMMYFUNCTION("""COMPUTED_VALUE"""),"09405159000160")</f>
        <v>09405159000160</v>
      </c>
      <c r="H174" s="116" t="str">
        <f ca="1">IFERROR(__xludf.DUMMYFUNCTION("""COMPUTED_VALUE"""),"104")</f>
        <v>104</v>
      </c>
      <c r="I174" s="116" t="str">
        <f ca="1">IFERROR(__xludf.DUMMYFUNCTION("""COMPUTED_VALUE"""),"4481")</f>
        <v>4481</v>
      </c>
      <c r="J174" s="116" t="str">
        <f ca="1">IFERROR(__xludf.DUMMYFUNCTION("""COMPUTED_VALUE"""),"3982")</f>
        <v>3982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IFERROR(__xludf.DUMMYFUNCTION("""COMPUTED_VALUE"""),"17039436")</f>
        <v>17039436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IFERROR(__xludf.DUMMYFUNCTION("""COMPUTED_VALUE"""),"A.A. DA ESC. EST. MAJOR JUVENAL P.DE SOUZA")</f>
        <v>A.A. DA ESC. EST. MAJOR JUVENAL P.DE SOUZA</v>
      </c>
      <c r="E175" s="114" t="str">
        <f ca="1">IFERROR(__xludf.DUMMYFUNCTION("""COMPUTED_VALUE"""),"Escola Estadual Major Juvenal Pereira de Souza")</f>
        <v>Escola Estadual Major Juvenal Pereira de Souza</v>
      </c>
      <c r="F175" s="116" t="str">
        <f ca="1">IFERROR(__xludf.DUMMYFUNCTION("""COMPUTED_VALUE"""),"17039436")</f>
        <v>17039436</v>
      </c>
      <c r="G175" s="114" t="str">
        <f ca="1">IFERROR(__xludf.DUMMYFUNCTION("""COMPUTED_VALUE"""),"01408714000104")</f>
        <v>01408714000104</v>
      </c>
      <c r="H175" s="116" t="str">
        <f ca="1">IFERROR(__xludf.DUMMYFUNCTION("""COMPUTED_VALUE"""),"001")</f>
        <v>001</v>
      </c>
      <c r="I175" s="116" t="str">
        <f ca="1">IFERROR(__xludf.DUMMYFUNCTION("""COMPUTED_VALUE"""),"2094")</f>
        <v>2094</v>
      </c>
      <c r="J175" s="116" t="str">
        <f ca="1">IFERROR(__xludf.DUMMYFUNCTION("""COMPUTED_VALUE"""),"46743X")</f>
        <v>46743X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 t="str">
        <f ca="1">IFERROR(__xludf.DUMMYFUNCTION("""COMPUTED_VALUE"""),"CRECHE")</f>
        <v>CRECHE</v>
      </c>
      <c r="AE175" s="114" t="str">
        <f ca="1">IFERROR(__xludf.DUMMYFUNCTION("""COMPUTED_VALUE"""),"Parcial")</f>
        <v>Parcial</v>
      </c>
      <c r="AF175" s="114" t="str">
        <f ca="1">IFERROR(__xludf.DUMMYFUNCTION("""COMPUTED_VALUE"""),"FE")</f>
        <v>FE</v>
      </c>
      <c r="AG175" s="114">
        <f ca="1">IFERROR(__xludf.DUMMYFUNCTION("""COMPUTED_VALUE"""),10)</f>
        <v>10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IFERROR(__xludf.DUMMYFUNCTION("""COMPUTED_VALUE"""),7)</f>
        <v>7</v>
      </c>
      <c r="AK175" s="114"/>
      <c r="AL175" s="117"/>
    </row>
    <row r="176" spans="1:38" ht="12.75">
      <c r="A176" s="113" t="str">
        <f ca="1">IFERROR(__xludf.DUMMYFUNCTION("""COMPUTED_VALUE"""),"17012970")</f>
        <v>17012970</v>
      </c>
      <c r="B176" s="114" t="str">
        <f ca="1">IFERROR(__xludf.DUMMYFUNCTION("""COMPUTED_VALUE"""),"Guaraí")</f>
        <v>Guaraí</v>
      </c>
      <c r="C176" s="114" t="str">
        <f ca="1">IFERROR(__xludf.DUMMYFUNCTION("""COMPUTED_VALUE"""),"Goianorte")</f>
        <v>Goianorte</v>
      </c>
      <c r="D176" s="115" t="str">
        <f ca="1">IFERROR(__xludf.DUMMYFUNCTION("""COMPUTED_VALUE"""),"A.A. DA ESC. EST. ANTENOR BARREIRA")</f>
        <v>A.A. DA ESC. EST. ANTENOR BARREIRA</v>
      </c>
      <c r="E176" s="114" t="str">
        <f ca="1">IFERROR(__xludf.DUMMYFUNCTION("""COMPUTED_VALUE"""),"Colégio Estadual Antenor Barreira")</f>
        <v>Colégio Estadual Antenor Barreira</v>
      </c>
      <c r="F176" s="116" t="str">
        <f ca="1">IFERROR(__xludf.DUMMYFUNCTION("""COMPUTED_VALUE"""),"17012970")</f>
        <v>17012970</v>
      </c>
      <c r="G176" s="114" t="str">
        <f ca="1">IFERROR(__xludf.DUMMYFUNCTION("""COMPUTED_VALUE"""),"02069808000150")</f>
        <v>02069808000150</v>
      </c>
      <c r="H176" s="116" t="str">
        <f ca="1">IFERROR(__xludf.DUMMYFUNCTION("""COMPUTED_VALUE"""),"001")</f>
        <v>001</v>
      </c>
      <c r="I176" s="116" t="str">
        <f ca="1">IFERROR(__xludf.DUMMYFUNCTION("""COMPUTED_VALUE"""),"1306")</f>
        <v>1306</v>
      </c>
      <c r="J176" s="116" t="str">
        <f ca="1">IFERROR(__xludf.DUMMYFUNCTION("""COMPUTED_VALUE"""),"54186")</f>
        <v>54186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/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IFERROR(__xludf.DUMMYFUNCTION("""COMPUTED_VALUE"""),0)</f>
        <v>0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IFERROR(__xludf.DUMMYFUNCTION("""COMPUTED_VALUE"""),0)</f>
        <v>0</v>
      </c>
      <c r="AK176" s="114"/>
      <c r="AL176" s="117"/>
    </row>
    <row r="177" spans="1:38" ht="12.75">
      <c r="A177" s="113" t="str">
        <f ca="1">IFERROR(__xludf.DUMMYFUNCTION("""COMPUTED_VALUE"""),"17054125")</f>
        <v>17054125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IFERROR(__xludf.DUMMYFUNCTION("""COMPUTED_VALUE"""),"ASSOC. DE APOIO DA ESCOLA ESPECIAL NOVOV PARAÍSO - APAE")</f>
        <v>ASSOC. DE APOIO DA ESCOLA ESPECIAL NOVOV PARAÍSO - APAE</v>
      </c>
      <c r="E177" s="114" t="str">
        <f ca="1">IFERROR(__xludf.DUMMYFUNCTION("""COMPUTED_VALUE"""),"Escola Especial Novo Paraíso")</f>
        <v>Escola Especial Novo Paraíso</v>
      </c>
      <c r="F177" s="116" t="str">
        <f ca="1">IFERROR(__xludf.DUMMYFUNCTION("""COMPUTED_VALUE"""),"17054125")</f>
        <v>17054125</v>
      </c>
      <c r="G177" s="114" t="str">
        <f ca="1">IFERROR(__xludf.DUMMYFUNCTION("""COMPUTED_VALUE"""),"09510602000163")</f>
        <v>09510602000163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IFERROR(__xludf.DUMMYFUNCTION("""COMPUTED_VALUE"""),"138258")</f>
        <v>138258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IFERROR(__xludf.DUMMYFUNCTION("""COMPUTED_VALUE"""),"17012988")</f>
        <v>17012988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IFERROR(__xludf.DUMMYFUNCTION("""COMPUTED_VALUE"""),"A.A.  DA ESCOLA ESTADUAL MORRO DO MATO")</f>
        <v>A.A.  DA ESCOLA ESTADUAL MORRO DO MATO</v>
      </c>
      <c r="E178" s="114" t="str">
        <f ca="1">IFERROR(__xludf.DUMMYFUNCTION("""COMPUTED_VALUE"""),"Escola Estadual Morro do Mato")</f>
        <v>Escola Estadual Morro do Mato</v>
      </c>
      <c r="F178" s="116" t="str">
        <f ca="1">IFERROR(__xludf.DUMMYFUNCTION("""COMPUTED_VALUE"""),"17012988")</f>
        <v>17012988</v>
      </c>
      <c r="G178" s="114" t="str">
        <f ca="1">IFERROR(__xludf.DUMMYFUNCTION("""COMPUTED_VALUE"""),"01990368000107")</f>
        <v>01990368000107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IFERROR(__xludf.DUMMYFUNCTION("""COMPUTED_VALUE"""),"54178")</f>
        <v>54178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 t="str">
        <f ca="1">IFERROR(__xludf.DUMMYFUNCTION("""COMPUTED_VALUE"""),"CRECHE")</f>
        <v>CRECHE</v>
      </c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IFERROR(__xludf.DUMMYFUNCTION("""COMPUTED_VALUE"""),"17013453")</f>
        <v>17013453</v>
      </c>
      <c r="B179" s="114" t="str">
        <f ca="1">IFERROR(__xludf.DUMMYFUNCTION("""COMPUTED_VALUE"""),"Guaraí")</f>
        <v>Guaraí</v>
      </c>
      <c r="C179" s="114" t="str">
        <f ca="1">IFERROR(__xludf.DUMMYFUNCTION("""COMPUTED_VALUE"""),"Guarai")</f>
        <v>Guarai</v>
      </c>
      <c r="D179" s="115" t="str">
        <f ca="1">IFERROR(__xludf.DUMMYFUNCTION("""COMPUTED_VALUE"""),"ASSOC. DE APOIO ESC. EST. OQUERLINA TORRES")</f>
        <v>ASSOC. DE APOIO ESC. EST. OQUERLINA TORRES</v>
      </c>
      <c r="E179" s="114" t="str">
        <f ca="1">IFERROR(__xludf.DUMMYFUNCTION("""COMPUTED_VALUE"""),"Centro de Ensino Médio Oquerlina Torres")</f>
        <v>Centro de Ensino Médio Oquerlina Torres</v>
      </c>
      <c r="F179" s="116" t="str">
        <f ca="1">IFERROR(__xludf.DUMMYFUNCTION("""COMPUTED_VALUE"""),"17013453")</f>
        <v>17013453</v>
      </c>
      <c r="G179" s="114" t="str">
        <f ca="1">IFERROR(__xludf.DUMMYFUNCTION("""COMPUTED_VALUE"""),"01421201000125")</f>
        <v>01421201000125</v>
      </c>
      <c r="H179" s="116" t="str">
        <f ca="1">IFERROR(__xludf.DUMMYFUNCTION("""COMPUTED_VALUE"""),"001")</f>
        <v>001</v>
      </c>
      <c r="I179" s="116" t="str">
        <f ca="1">IFERROR(__xludf.DUMMYFUNCTION("""COMPUTED_VALUE"""),"2094")</f>
        <v>2094</v>
      </c>
      <c r="J179" s="116" t="str">
        <f ca="1">IFERROR(__xludf.DUMMYFUNCTION("""COMPUTED_VALUE"""),"19266X")</f>
        <v>19266X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IFERROR(__xludf.DUMMYFUNCTION("""COMPUTED_VALUE"""),"E.M. INTEGRADO")</f>
        <v>E.M. INTEGRADO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IFERROR(__xludf.DUMMYFUNCTION("""COMPUTED_VALUE"""),17)</f>
        <v>17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IFERROR(__xludf.DUMMYFUNCTION("""COMPUTED_VALUE"""),"17013410")</f>
        <v>17013410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IFERROR(__xludf.DUMMYFUNCTION("""COMPUTED_VALUE"""),"A.A.  AS ESC. EST. ANTONIO ALENCAR LEAO")</f>
        <v>A.A.  AS ESC. EST. ANTONIO ALENCAR LEAO</v>
      </c>
      <c r="E180" s="114" t="str">
        <f ca="1">IFERROR(__xludf.DUMMYFUNCTION("""COMPUTED_VALUE"""),"Colégio Estadual Antônio Alencar Leão")</f>
        <v>Colégio Estadual Antônio Alencar Leão</v>
      </c>
      <c r="F180" s="116" t="str">
        <f ca="1">IFERROR(__xludf.DUMMYFUNCTION("""COMPUTED_VALUE"""),"17013410")</f>
        <v>17013410</v>
      </c>
      <c r="G180" s="114" t="str">
        <f ca="1">IFERROR(__xludf.DUMMYFUNCTION("""COMPUTED_VALUE"""),"01575370000110")</f>
        <v>01575370000110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IFERROR(__xludf.DUMMYFUNCTION("""COMPUTED_VALUE"""),"476536")</f>
        <v>476536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/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IFERROR(__xludf.DUMMYFUNCTION("""COMPUTED_VALUE"""),0)</f>
        <v>0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IFERROR(__xludf.DUMMYFUNCTION("""COMPUTED_VALUE"""),"17013364")</f>
        <v>17013364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DO COL. EST. DONA ANAIDES B.MIRANDA")</f>
        <v>A.A. DO COL. EST. DONA ANAIDES B.MIRANDA</v>
      </c>
      <c r="E181" s="114" t="str">
        <f ca="1">IFERROR(__xludf.DUMMYFUNCTION("""COMPUTED_VALUE"""),"Colégio Estadual dona Anaídes Brito Miranda")</f>
        <v>Colégio Estadual dona Anaídes Brito Miranda</v>
      </c>
      <c r="F181" s="116" t="str">
        <f ca="1">IFERROR(__xludf.DUMMYFUNCTION("""COMPUTED_VALUE"""),"17013364")</f>
        <v>17013364</v>
      </c>
      <c r="G181" s="114" t="str">
        <f ca="1">IFERROR(__xludf.DUMMYFUNCTION("""COMPUTED_VALUE"""),"01867376000160")</f>
        <v>01867376000160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IFERROR(__xludf.DUMMYFUNCTION("""COMPUTED_VALUE"""),"472123")</f>
        <v>472123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IFERROR(__xludf.DUMMYFUNCTION("""COMPUTED_VALUE"""),"17013372")</f>
        <v>17013372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 ESCOLAR COM.COL. EST.RAIMUNDO A.LEAO")</f>
        <v>A. ESCOLAR COM.COL. EST.RAIMUNDO A.LEAO</v>
      </c>
      <c r="E182" s="114" t="str">
        <f ca="1">IFERROR(__xludf.DUMMYFUNCTION("""COMPUTED_VALUE"""),"Colégio Estadual Raimundo Alencar Leão")</f>
        <v>Colégio Estadual Raimundo Alencar Leão</v>
      </c>
      <c r="F182" s="116" t="str">
        <f ca="1">IFERROR(__xludf.DUMMYFUNCTION("""COMPUTED_VALUE"""),"17013372")</f>
        <v>17013372</v>
      </c>
      <c r="G182" s="114" t="str">
        <f ca="1">IFERROR(__xludf.DUMMYFUNCTION("""COMPUTED_VALUE"""),"00880649000144")</f>
        <v>00880649000144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IFERROR(__xludf.DUMMYFUNCTION("""COMPUTED_VALUE"""),"0472719")</f>
        <v>0472719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IFERROR(__xludf.DUMMYFUNCTION("""COMPUTED_VALUE"""),"17039851")</f>
        <v>17039851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IFERROR(__xludf.DUMMYFUNCTION("""COMPUTED_VALUE"""),"ASSOCIAÇÃO DE APOIO A ESCOLA ESPECIAL ESTRELA DA ESPERANÇA")</f>
        <v>ASSOCIAÇÃO DE APOIO A ESCOLA ESPECIAL ESTRELA DA ESPERANÇA</v>
      </c>
      <c r="E183" s="114" t="str">
        <f ca="1">IFERROR(__xludf.DUMMYFUNCTION("""COMPUTED_VALUE"""),"Escola Especial Estrela da Esperança")</f>
        <v>Escola Especial Estrela da Esperança</v>
      </c>
      <c r="F183" s="116" t="str">
        <f ca="1">IFERROR(__xludf.DUMMYFUNCTION("""COMPUTED_VALUE"""),"17039851")</f>
        <v>17039851</v>
      </c>
      <c r="G183" s="114" t="str">
        <f ca="1">IFERROR(__xludf.DUMMYFUNCTION("""COMPUTED_VALUE"""),"07938604000122")</f>
        <v>07938604000122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IFERROR(__xludf.DUMMYFUNCTION("""COMPUTED_VALUE"""),"211621")</f>
        <v>211621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IFERROR(__xludf.DUMMYFUNCTION("""COMPUTED_VALUE"""),"17013429")</f>
        <v>17013429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IFERROR(__xludf.DUMMYFUNCTION("""COMPUTED_VALUE"""),"A.A. ESC. EST.IRINEU ALBANO HENDGES")</f>
        <v>A.A. ESC. EST.IRINEU ALBANO HENDGES</v>
      </c>
      <c r="E184" s="114" t="str">
        <f ca="1">IFERROR(__xludf.DUMMYFUNCTION("""COMPUTED_VALUE"""),"Escola Estadual Irineu Albano Hendges")</f>
        <v>Escola Estadual Irineu Albano Hendges</v>
      </c>
      <c r="F184" s="116" t="str">
        <f ca="1">IFERROR(__xludf.DUMMYFUNCTION("""COMPUTED_VALUE"""),"17013429")</f>
        <v>17013429</v>
      </c>
      <c r="G184" s="114" t="str">
        <f ca="1">IFERROR(__xludf.DUMMYFUNCTION("""COMPUTED_VALUE"""),"01136012000100")</f>
        <v>01136012000100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IFERROR(__xludf.DUMMYFUNCTION("""COMPUTED_VALUE"""),"0472433")</f>
        <v>0472433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IFERROR(__xludf.DUMMYFUNCTION("""COMPUTED_VALUE"""),"Parcial/Integral")</f>
        <v>Parcial/Integral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IFERROR(__xludf.DUMMYFUNCTION("""COMPUTED_VALUE"""),"17013445")</f>
        <v>17013445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ESCOLA EST. JOSE COSTA SOARES")</f>
        <v>A.A. ESCOLA EST. JOSE COSTA SOARES</v>
      </c>
      <c r="E185" s="114" t="str">
        <f ca="1">IFERROR(__xludf.DUMMYFUNCTION("""COMPUTED_VALUE"""),"Escola Estadual José Costa Soares")</f>
        <v>Escola Estadual José Costa Soares</v>
      </c>
      <c r="F185" s="116" t="str">
        <f ca="1">IFERROR(__xludf.DUMMYFUNCTION("""COMPUTED_VALUE"""),"17013445")</f>
        <v>17013445</v>
      </c>
      <c r="G185" s="114" t="str">
        <f ca="1">IFERROR(__xludf.DUMMYFUNCTION("""COMPUTED_VALUE"""),"01421200000180")</f>
        <v>01421200000180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IFERROR(__xludf.DUMMYFUNCTION("""COMPUTED_VALUE"""),"471577")</f>
        <v>471577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 t="str">
        <f ca="1">IFERROR(__xludf.DUMMYFUNCTION("""COMPUTED_VALUE"""),"CRECHE")</f>
        <v>CRECHE</v>
      </c>
      <c r="AE185" s="114" t="str">
        <f ca="1">IFERROR(__xludf.DUMMYFUNCTION("""COMPUTED_VALUE"""),"Parcial")</f>
        <v>Parcial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IFERROR(__xludf.DUMMYFUNCTION("""COMPUTED_VALUE"""),"17014050")</f>
        <v>17014050</v>
      </c>
      <c r="B186" s="114" t="str">
        <f ca="1">IFERROR(__xludf.DUMMYFUNCTION("""COMPUTED_VALUE"""),"Guaraí")</f>
        <v>Guaraí</v>
      </c>
      <c r="C186" s="114" t="str">
        <f ca="1">IFERROR(__xludf.DUMMYFUNCTION("""COMPUTED_VALUE"""),"Itapora do Tocantins")</f>
        <v>Itapora do Tocantins</v>
      </c>
      <c r="D186" s="115" t="str">
        <f ca="1">IFERROR(__xludf.DUMMYFUNCTION("""COMPUTED_VALUE"""),"A.A. COL. EST. FRANCISCA ALVES ALENCAR")</f>
        <v>A.A. COL. EST. FRANCISCA ALVES ALENCAR</v>
      </c>
      <c r="E186" s="114" t="str">
        <f ca="1">IFERROR(__xludf.DUMMYFUNCTION("""COMPUTED_VALUE"""),"Colégio Estadual Francisca Alves de Alencar")</f>
        <v>Colégio Estadual Francisca Alves de Alencar</v>
      </c>
      <c r="F186" s="116" t="str">
        <f ca="1">IFERROR(__xludf.DUMMYFUNCTION("""COMPUTED_VALUE"""),"17014050")</f>
        <v>17014050</v>
      </c>
      <c r="G186" s="114" t="str">
        <f ca="1">IFERROR(__xludf.DUMMYFUNCTION("""COMPUTED_VALUE"""),"01190193000153")</f>
        <v>01190193000153</v>
      </c>
      <c r="H186" s="116" t="str">
        <f ca="1">IFERROR(__xludf.DUMMYFUNCTION("""COMPUTED_VALUE"""),"001")</f>
        <v>001</v>
      </c>
      <c r="I186" s="116" t="str">
        <f ca="1">IFERROR(__xludf.DUMMYFUNCTION("""COMPUTED_VALUE"""),"1306")</f>
        <v>1306</v>
      </c>
      <c r="J186" s="116" t="str">
        <f ca="1">IFERROR(__xludf.DUMMYFUNCTION("""COMPUTED_VALUE"""),"102865")</f>
        <v>102865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/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IFERROR(__xludf.DUMMYFUNCTION("""COMPUTED_VALUE"""),"17015952")</f>
        <v>17015952</v>
      </c>
      <c r="B187" s="114" t="str">
        <f ca="1">IFERROR(__xludf.DUMMYFUNCTION("""COMPUTED_VALUE"""),"Guaraí")</f>
        <v>Guaraí</v>
      </c>
      <c r="C187" s="114" t="str">
        <f ca="1">IFERROR(__xludf.DUMMYFUNCTION("""COMPUTED_VALUE"""),"Pequizeiro")</f>
        <v>Pequizeiro</v>
      </c>
      <c r="D187" s="115" t="str">
        <f ca="1">IFERROR(__xludf.DUMMYFUNCTION("""COMPUTED_VALUE"""),"ASSOC. DE APOIO ESC. EST. 1º DE JUNHO")</f>
        <v>ASSOC. DE APOIO ESC. EST. 1º DE JUNHO</v>
      </c>
      <c r="E187" s="114" t="str">
        <f ca="1">IFERROR(__xludf.DUMMYFUNCTION("""COMPUTED_VALUE"""),"Colégio Estadual 1º de Junho")</f>
        <v>Colégio Estadual 1º de Junho</v>
      </c>
      <c r="F187" s="116" t="str">
        <f ca="1">IFERROR(__xludf.DUMMYFUNCTION("""COMPUTED_VALUE"""),"17015952")</f>
        <v>17015952</v>
      </c>
      <c r="G187" s="114" t="str">
        <f ca="1">IFERROR(__xludf.DUMMYFUNCTION("""COMPUTED_VALUE"""),"02060455000128")</f>
        <v>02060455000128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IFERROR(__xludf.DUMMYFUNCTION("""COMPUTED_VALUE"""),"147214")</f>
        <v>147214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IFERROR(__xludf.DUMMYFUNCTION("""COMPUTED_VALUE"""),"17015960")</f>
        <v>17015960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IFERROR(__xludf.DUMMYFUNCTION("""COMPUTED_VALUE"""),"A.A. DO COLEGIO ESTADUAL BERNARDO SAYAO")</f>
        <v>A.A. DO COLEGIO ESTADUAL BERNARDO SAYAO</v>
      </c>
      <c r="E188" s="114" t="str">
        <f ca="1">IFERROR(__xludf.DUMMYFUNCTION("""COMPUTED_VALUE"""),"Colégio Estadual Bernardo Sayao")</f>
        <v>Colégio Estadual Bernardo Sayao</v>
      </c>
      <c r="F188" s="116" t="str">
        <f ca="1">IFERROR(__xludf.DUMMYFUNCTION("""COMPUTED_VALUE"""),"17015960")</f>
        <v>17015960</v>
      </c>
      <c r="G188" s="114" t="str">
        <f ca="1">IFERROR(__xludf.DUMMYFUNCTION("""COMPUTED_VALUE"""),"02160863000151")</f>
        <v>02160863000151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IFERROR(__xludf.DUMMYFUNCTION("""COMPUTED_VALUE"""),"53910")</f>
        <v>53910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 t="str">
        <f ca="1">IFERROR(__xludf.DUMMYFUNCTION("""COMPUTED_VALUE"""),"E.M. INTEGRADO")</f>
        <v>E.M. INTEGRADO</v>
      </c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IFERROR(__xludf.DUMMYFUNCTION("""COMPUTED_VALUE"""),"17016819")</f>
        <v>17016819</v>
      </c>
      <c r="B189" s="114" t="str">
        <f ca="1">IFERROR(__xludf.DUMMYFUNCTION("""COMPUTED_VALUE"""),"Guaraí")</f>
        <v>Guaraí</v>
      </c>
      <c r="C189" s="114" t="str">
        <f ca="1">IFERROR(__xludf.DUMMYFUNCTION("""COMPUTED_VALUE"""),"Presidente Kennedy")</f>
        <v>Presidente Kennedy</v>
      </c>
      <c r="D189" s="115" t="str">
        <f ca="1">IFERROR(__xludf.DUMMYFUNCTION("""COMPUTED_VALUE"""),"A.PAIS E M.COL. EST. JUSCELINO KUBITSCHEK")</f>
        <v>A.PAIS E M.COL. EST. JUSCELINO KUBITSCHEK</v>
      </c>
      <c r="E189" s="114" t="str">
        <f ca="1">IFERROR(__xludf.DUMMYFUNCTION("""COMPUTED_VALUE"""),"Colégio Estadual Juscelino Kubitschek")</f>
        <v>Colégio Estadual Juscelino Kubitschek</v>
      </c>
      <c r="F189" s="116" t="str">
        <f ca="1">IFERROR(__xludf.DUMMYFUNCTION("""COMPUTED_VALUE"""),"17016819")</f>
        <v>17016819</v>
      </c>
      <c r="G189" s="114" t="str">
        <f ca="1">IFERROR(__xludf.DUMMYFUNCTION("""COMPUTED_VALUE"""),"02060456000172")</f>
        <v>02060456000172</v>
      </c>
      <c r="H189" s="116" t="str">
        <f ca="1">IFERROR(__xludf.DUMMYFUNCTION("""COMPUTED_VALUE"""),"001")</f>
        <v>001</v>
      </c>
      <c r="I189" s="116" t="str">
        <f ca="1">IFERROR(__xludf.DUMMYFUNCTION("""COMPUTED_VALUE"""),"2094")</f>
        <v>2094</v>
      </c>
      <c r="J189" s="116" t="str">
        <f ca="1">IFERROR(__xludf.DUMMYFUNCTION("""COMPUTED_VALUE"""),"047553X")</f>
        <v>047553X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/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IFERROR(__xludf.DUMMYFUNCTION("""COMPUTED_VALUE"""),"17020336")</f>
        <v>17020336</v>
      </c>
      <c r="B190" s="114" t="str">
        <f ca="1">IFERROR(__xludf.DUMMYFUNCTION("""COMPUTED_VALUE"""),"Gurupi")</f>
        <v>Gurupi</v>
      </c>
      <c r="C190" s="114" t="str">
        <f ca="1">IFERROR(__xludf.DUMMYFUNCTION("""COMPUTED_VALUE"""),"Alianca do Tocantins")</f>
        <v>Alianca do Tocantins</v>
      </c>
      <c r="D190" s="115" t="str">
        <f ca="1">IFERROR(__xludf.DUMMYFUNCTION("""COMPUTED_VALUE"""),"ASS. APOIO COL. EST. ANITA CASSIMIRO MORENO")</f>
        <v>ASS. APOIO COL. EST. ANITA CASSIMIRO MORENO</v>
      </c>
      <c r="E190" s="114" t="str">
        <f ca="1">IFERROR(__xludf.DUMMYFUNCTION("""COMPUTED_VALUE"""),"Colégio Estadual Anita Cassimiro Moreno")</f>
        <v>Colégio Estadual Anita Cassimiro Moreno</v>
      </c>
      <c r="F190" s="116" t="str">
        <f ca="1">IFERROR(__xludf.DUMMYFUNCTION("""COMPUTED_VALUE"""),"17020336")</f>
        <v>17020336</v>
      </c>
      <c r="G190" s="114" t="str">
        <f ca="1">IFERROR(__xludf.DUMMYFUNCTION("""COMPUTED_VALUE"""),"01304570000138")</f>
        <v>01304570000138</v>
      </c>
      <c r="H190" s="116" t="str">
        <f ca="1">IFERROR(__xludf.DUMMYFUNCTION("""COMPUTED_VALUE"""),"001")</f>
        <v>001</v>
      </c>
      <c r="I190" s="116" t="str">
        <f ca="1">IFERROR(__xludf.DUMMYFUNCTION("""COMPUTED_VALUE"""),"3972")</f>
        <v>3972</v>
      </c>
      <c r="J190" s="116" t="str">
        <f ca="1">IFERROR(__xludf.DUMMYFUNCTION("""COMPUTED_VALUE"""),"245984")</f>
        <v>245984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IFERROR(__xludf.DUMMYFUNCTION("""COMPUTED_VALUE"""),"17020344")</f>
        <v>17020344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IFERROR(__xludf.DUMMYFUNCTION("""COMPUTED_VALUE"""),"A.A.  AO EDUCANDARIO EVANGELICO JERUSALEM")</f>
        <v>A.A.  AO EDUCANDARIO EVANGELICO JERUSALEM</v>
      </c>
      <c r="E191" s="114" t="str">
        <f ca="1">IFERROR(__xludf.DUMMYFUNCTION("""COMPUTED_VALUE"""),"Educandário Evangélico Jerusalém")</f>
        <v>Educandário Evangélico Jerusalém</v>
      </c>
      <c r="F191" s="116" t="str">
        <f ca="1">IFERROR(__xludf.DUMMYFUNCTION("""COMPUTED_VALUE"""),"17020344")</f>
        <v>17020344</v>
      </c>
      <c r="G191" s="114" t="str">
        <f ca="1">IFERROR(__xludf.DUMMYFUNCTION("""COMPUTED_VALUE"""),"03172227000102")</f>
        <v>03172227000102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IFERROR(__xludf.DUMMYFUNCTION("""COMPUTED_VALUE"""),"54666")</f>
        <v>54666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IFERROR(__xludf.DUMMYFUNCTION("""COMPUTED_VALUE"""),"17048834")</f>
        <v>17048834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IFERROR(__xludf.DUMMYFUNCTION("""COMPUTED_VALUE"""),"ASSOCIAÇÃO DE APOIO A ESCOLA ESPECIAL AMOR FRATERNAL")</f>
        <v>ASSOCIAÇÃO DE APOIO A ESCOLA ESPECIAL AMOR FRATERNAL</v>
      </c>
      <c r="E192" s="114" t="str">
        <f ca="1">IFERROR(__xludf.DUMMYFUNCTION("""COMPUTED_VALUE"""),"Escola Especial Amor Fraternal")</f>
        <v>Escola Especial Amor Fraternal</v>
      </c>
      <c r="F192" s="116" t="str">
        <f ca="1">IFERROR(__xludf.DUMMYFUNCTION("""COMPUTED_VALUE"""),"17048834")</f>
        <v>17048834</v>
      </c>
      <c r="G192" s="114" t="str">
        <f ca="1">IFERROR(__xludf.DUMMYFUNCTION("""COMPUTED_VALUE"""),"07953958000146")</f>
        <v>07953958000146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IFERROR(__xludf.DUMMYFUNCTION("""COMPUTED_VALUE"""),"90115")</f>
        <v>90115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 t="str">
        <f ca="1">IFERROR(__xludf.DUMMYFUNCTION("""COMPUTED_VALUE"""),"E.M. INTEGRADO")</f>
        <v>E.M. INTEGRADO</v>
      </c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IFERROR(__xludf.DUMMYFUNCTION("""COMPUTED_VALUE"""),"17020360")</f>
        <v>17020360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IFERROR(__xludf.DUMMYFUNCTION("""COMPUTED_VALUE"""),"A. PAIS E MESTRES ESC. EST.N.SRA.DO CARMO")</f>
        <v>A. PAIS E MESTRES ESC. EST.N.SRA.DO CARMO</v>
      </c>
      <c r="E193" s="114" t="str">
        <f ca="1">IFERROR(__xludf.DUMMYFUNCTION("""COMPUTED_VALUE"""),"Escola Estadual Nossa Senhora do Carmo")</f>
        <v>Escola Estadual Nossa Senhora do Carmo</v>
      </c>
      <c r="F193" s="116" t="str">
        <f ca="1">IFERROR(__xludf.DUMMYFUNCTION("""COMPUTED_VALUE"""),"17020360")</f>
        <v>17020360</v>
      </c>
      <c r="G193" s="114" t="str">
        <f ca="1">IFERROR(__xludf.DUMMYFUNCTION("""COMPUTED_VALUE"""),"01034192000110")</f>
        <v>01034192000110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IFERROR(__xludf.DUMMYFUNCTION("""COMPUTED_VALUE"""),"243590")</f>
        <v>243590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IFERROR(__xludf.DUMMYFUNCTION("""COMPUTED_VALUE"""),"CRECHE")</f>
        <v>CRECHE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IFERROR(__xludf.DUMMYFUNCTION("""COMPUTED_VALUE"""),11)</f>
        <v>11</v>
      </c>
      <c r="AK193" s="114"/>
      <c r="AL193" s="117"/>
    </row>
    <row r="194" spans="1:38" ht="12.75">
      <c r="A194" s="113" t="str">
        <f ca="1">IFERROR(__xludf.DUMMYFUNCTION("""COMPUTED_VALUE"""),"17020581")</f>
        <v>17020581</v>
      </c>
      <c r="B194" s="114" t="str">
        <f ca="1">IFERROR(__xludf.DUMMYFUNCTION("""COMPUTED_VALUE"""),"Gurupi")</f>
        <v>Gurupi</v>
      </c>
      <c r="C194" s="114" t="str">
        <f ca="1">IFERROR(__xludf.DUMMYFUNCTION("""COMPUTED_VALUE"""),"Alvorada")</f>
        <v>Alvorada</v>
      </c>
      <c r="D194" s="115" t="str">
        <f ca="1">IFERROR(__xludf.DUMMYFUNCTION("""COMPUTED_VALUE"""),"ASS. APOIO COL. EST. ADJULIO BALTHAZAR")</f>
        <v>ASS. APOIO COL. EST. ADJULIO BALTHAZAR</v>
      </c>
      <c r="E194" s="114" t="str">
        <f ca="1">IFERROR(__xludf.DUMMYFUNCTION("""COMPUTED_VALUE"""),"Colégio Estadual Adjúlio Balthazar")</f>
        <v>Colégio Estadual Adjúlio Balthazar</v>
      </c>
      <c r="F194" s="116" t="str">
        <f ca="1">IFERROR(__xludf.DUMMYFUNCTION("""COMPUTED_VALUE"""),"17020581")</f>
        <v>17020581</v>
      </c>
      <c r="G194" s="114" t="str">
        <f ca="1">IFERROR(__xludf.DUMMYFUNCTION("""COMPUTED_VALUE"""),"01138432000126")</f>
        <v>01138432000126</v>
      </c>
      <c r="H194" s="116" t="str">
        <f ca="1">IFERROR(__xludf.DUMMYFUNCTION("""COMPUTED_VALUE"""),"001")</f>
        <v>001</v>
      </c>
      <c r="I194" s="116" t="str">
        <f ca="1">IFERROR(__xludf.DUMMYFUNCTION("""COMPUTED_VALUE"""),"1303")</f>
        <v>1303</v>
      </c>
      <c r="J194" s="116" t="str">
        <f ca="1">IFERROR(__xludf.DUMMYFUNCTION("""COMPUTED_VALUE"""),"103462")</f>
        <v>103462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IFERROR(__xludf.DUMMYFUNCTION("""COMPUTED_VALUE"""),"E.M. INTEGRADO")</f>
        <v>E.M. INTEGRADO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IFERROR(__xludf.DUMMYFUNCTION("""COMPUTED_VALUE"""),0)</f>
        <v>0</v>
      </c>
      <c r="AK194" s="114"/>
      <c r="AL194" s="117"/>
    </row>
    <row r="195" spans="1:38" ht="12.75">
      <c r="A195" s="113" t="str">
        <f ca="1">IFERROR(__xludf.DUMMYFUNCTION("""COMPUTED_VALUE"""),"17020590")</f>
        <v>17020590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IFERROR(__xludf.DUMMYFUNCTION("""COMPUTED_VALUE"""),"A.A.  COLEGIO ESTADUAL DE ALVORADA")</f>
        <v>A.A.  COLEGIO ESTADUAL DE ALVORADA</v>
      </c>
      <c r="E195" s="114" t="str">
        <f ca="1">IFERROR(__xludf.DUMMYFUNCTION("""COMPUTED_VALUE"""),"Colégio Estadual de Alvorada")</f>
        <v>Colégio Estadual de Alvorada</v>
      </c>
      <c r="F195" s="116" t="str">
        <f ca="1">IFERROR(__xludf.DUMMYFUNCTION("""COMPUTED_VALUE"""),"17020590")</f>
        <v>17020590</v>
      </c>
      <c r="G195" s="114" t="str">
        <f ca="1">IFERROR(__xludf.DUMMYFUNCTION("""COMPUTED_VALUE"""),"01269283000134")</f>
        <v>01269283000134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IFERROR(__xludf.DUMMYFUNCTION("""COMPUTED_VALUE"""),"0088544")</f>
        <v>0088544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IFERROR(__xludf.DUMMYFUNCTION("""COMPUTED_VALUE"""),"CRECHE")</f>
        <v>CRECHE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IFERROR(__xludf.DUMMYFUNCTION("""COMPUTED_VALUE"""),"17048931")</f>
        <v>17048931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IFERROR(__xludf.DUMMYFUNCTION("""COMPUTED_VALUE"""),"A.P.A.DOS EXCEP. DE ALVORADA-APAE")</f>
        <v>A.P.A.DOS EXCEP. DE ALVORADA-APAE</v>
      </c>
      <c r="E196" s="114" t="str">
        <f ca="1">IFERROR(__xludf.DUMMYFUNCTION("""COMPUTED_VALUE"""),"Escola Especial Raio de Luz")</f>
        <v>Escola Especial Raio de Luz</v>
      </c>
      <c r="F196" s="116" t="str">
        <f ca="1">IFERROR(__xludf.DUMMYFUNCTION("""COMPUTED_VALUE"""),"17048931")</f>
        <v>17048931</v>
      </c>
      <c r="G196" s="114" t="str">
        <f ca="1">IFERROR(__xludf.DUMMYFUNCTION("""COMPUTED_VALUE"""),"02201735000109")</f>
        <v>02201735000109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IFERROR(__xludf.DUMMYFUNCTION("""COMPUTED_VALUE"""),"101826")</f>
        <v>101826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/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IFERROR(__xludf.DUMMYFUNCTION("""COMPUTED_VALUE"""),"17020611")</f>
        <v>17020611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IFERROR(__xludf.DUMMYFUNCTION("""COMPUTED_VALUE"""),"ASS. APOIO ESC. EST. ANA MARIA DE JESUS")</f>
        <v>ASS. APOIO ESC. EST. ANA MARIA DE JESUS</v>
      </c>
      <c r="E197" s="114" t="str">
        <f ca="1">IFERROR(__xludf.DUMMYFUNCTION("""COMPUTED_VALUE"""),"Escola Estadual Ana Maria de Jesus")</f>
        <v>Escola Estadual Ana Maria de Jesus</v>
      </c>
      <c r="F197" s="116" t="str">
        <f ca="1">IFERROR(__xludf.DUMMYFUNCTION("""COMPUTED_VALUE"""),"17020611")</f>
        <v>17020611</v>
      </c>
      <c r="G197" s="114" t="str">
        <f ca="1">IFERROR(__xludf.DUMMYFUNCTION("""COMPUTED_VALUE"""),"01221145000185")</f>
        <v>01221145000185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IFERROR(__xludf.DUMMYFUNCTION("""COMPUTED_VALUE"""),"103691")</f>
        <v>103691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IFERROR(__xludf.DUMMYFUNCTION("""COMPUTED_VALUE"""),"17017165")</f>
        <v>17017165</v>
      </c>
      <c r="B198" s="114" t="str">
        <f ca="1">IFERROR(__xludf.DUMMYFUNCTION("""COMPUTED_VALUE"""),"Gurupi")</f>
        <v>Gurupi</v>
      </c>
      <c r="C198" s="114" t="str">
        <f ca="1">IFERROR(__xludf.DUMMYFUNCTION("""COMPUTED_VALUE"""),"Araguacu")</f>
        <v>Araguacu</v>
      </c>
      <c r="D198" s="115" t="str">
        <f ca="1">IFERROR(__xludf.DUMMYFUNCTION("""COMPUTED_VALUE"""),"ASS. APOIO ESC. EST. JOAO TAVARES MARTINS")</f>
        <v>ASS. APOIO ESC. EST. JOAO TAVARES MARTINS</v>
      </c>
      <c r="E198" s="114" t="str">
        <f ca="1">IFERROR(__xludf.DUMMYFUNCTION("""COMPUTED_VALUE"""),"Colégio Estadual João Tavares Martins")</f>
        <v>Colégio Estadual João Tavares Martins</v>
      </c>
      <c r="F198" s="116" t="str">
        <f ca="1">IFERROR(__xludf.DUMMYFUNCTION("""COMPUTED_VALUE"""),"17017165")</f>
        <v>17017165</v>
      </c>
      <c r="G198" s="114" t="str">
        <f ca="1">IFERROR(__xludf.DUMMYFUNCTION("""COMPUTED_VALUE"""),"01133707000139")</f>
        <v>01133707000139</v>
      </c>
      <c r="H198" s="116" t="str">
        <f ca="1">IFERROR(__xludf.DUMMYFUNCTION("""COMPUTED_VALUE"""),"001")</f>
        <v>001</v>
      </c>
      <c r="I198" s="116" t="str">
        <f ca="1">IFERROR(__xludf.DUMMYFUNCTION("""COMPUTED_VALUE"""),"1304")</f>
        <v>1304</v>
      </c>
      <c r="J198" s="116" t="str">
        <f ca="1">IFERROR(__xludf.DUMMYFUNCTION("""COMPUTED_VALUE"""),"112542")</f>
        <v>112542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 t="str">
        <f ca="1">IFERROR(__xludf.DUMMYFUNCTION("""COMPUTED_VALUE"""),"CRECHE")</f>
        <v>CRECHE</v>
      </c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IFERROR(__xludf.DUMMYFUNCTION("""COMPUTED_VALUE"""),"17045045")</f>
        <v>17045045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IFERROR(__xludf.DUMMYFUNCTION("""COMPUTED_VALUE"""),"A..A. ESC. ESPECIAL  ABELINHA EM BUSCA DO SABER")</f>
        <v>A..A. ESC. ESPECIAL  ABELINHA EM BUSCA DO SABER</v>
      </c>
      <c r="E199" s="114" t="str">
        <f ca="1">IFERROR(__xludf.DUMMYFUNCTION("""COMPUTED_VALUE"""),"Escola Especial Abelhinha em Busca do Saber")</f>
        <v>Escola Especial Abelhinha em Busca do Saber</v>
      </c>
      <c r="F199" s="116" t="str">
        <f ca="1">IFERROR(__xludf.DUMMYFUNCTION("""COMPUTED_VALUE"""),"17045045")</f>
        <v>17045045</v>
      </c>
      <c r="G199" s="114" t="str">
        <f ca="1">IFERROR(__xludf.DUMMYFUNCTION("""COMPUTED_VALUE"""),"07924466000122")</f>
        <v>07924466000122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IFERROR(__xludf.DUMMYFUNCTION("""COMPUTED_VALUE"""),"136417")</f>
        <v>136417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/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IFERROR(__xludf.DUMMYFUNCTION("""COMPUTED_VALUE"""),"17017203")</f>
        <v>17017203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IFERROR(__xludf.DUMMYFUNCTION("""COMPUTED_VALUE"""),"ASS. APOIO ESC. EST. SALVADOR CAETANO")</f>
        <v>ASS. APOIO ESC. EST. SALVADOR CAETANO</v>
      </c>
      <c r="E200" s="114" t="str">
        <f ca="1">IFERROR(__xludf.DUMMYFUNCTION("""COMPUTED_VALUE"""),"Escola Estadual Salvador Caetano")</f>
        <v>Escola Estadual Salvador Caetano</v>
      </c>
      <c r="F200" s="116" t="str">
        <f ca="1">IFERROR(__xludf.DUMMYFUNCTION("""COMPUTED_VALUE"""),"17017203")</f>
        <v>17017203</v>
      </c>
      <c r="G200" s="114" t="str">
        <f ca="1">IFERROR(__xludf.DUMMYFUNCTION("""COMPUTED_VALUE"""),"01341484000103")</f>
        <v>01341484000103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IFERROR(__xludf.DUMMYFUNCTION("""COMPUTED_VALUE"""),"0105589")</f>
        <v>0105589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IFERROR(__xludf.DUMMYFUNCTION("""COMPUTED_VALUE"""),"17021146")</f>
        <v>17021146</v>
      </c>
      <c r="B201" s="114" t="str">
        <f ca="1">IFERROR(__xludf.DUMMYFUNCTION("""COMPUTED_VALUE"""),"Gurupi")</f>
        <v>Gurupi</v>
      </c>
      <c r="C201" s="114" t="str">
        <f ca="1">IFERROR(__xludf.DUMMYFUNCTION("""COMPUTED_VALUE"""),"Cariri do Tocantins")</f>
        <v>Cariri do Tocantins</v>
      </c>
      <c r="D201" s="115" t="str">
        <f ca="1">IFERROR(__xludf.DUMMYFUNCTION("""COMPUTED_VALUE"""),"ASS. APOIO ESCOLA ESTADUAL TARSO DUTRA")</f>
        <v>ASS. APOIO ESCOLA ESTADUAL TARSO DUTRA</v>
      </c>
      <c r="E201" s="114" t="str">
        <f ca="1">IFERROR(__xludf.DUMMYFUNCTION("""COMPUTED_VALUE"""),"Escola Estadual Tarso Dutra")</f>
        <v>Escola Estadual Tarso Dutra</v>
      </c>
      <c r="F201" s="116" t="str">
        <f ca="1">IFERROR(__xludf.DUMMYFUNCTION("""COMPUTED_VALUE"""),"17021146")</f>
        <v>17021146</v>
      </c>
      <c r="G201" s="114" t="str">
        <f ca="1">IFERROR(__xludf.DUMMYFUNCTION("""COMPUTED_VALUE"""),"01239275000145")</f>
        <v>01239275000145</v>
      </c>
      <c r="H201" s="116" t="str">
        <f ca="1">IFERROR(__xludf.DUMMYFUNCTION("""COMPUTED_VALUE"""),"001")</f>
        <v>001</v>
      </c>
      <c r="I201" s="116" t="str">
        <f ca="1">IFERROR(__xludf.DUMMYFUNCTION("""COMPUTED_VALUE"""),"0794")</f>
        <v>0794</v>
      </c>
      <c r="J201" s="116" t="str">
        <f ca="1">IFERROR(__xludf.DUMMYFUNCTION("""COMPUTED_VALUE"""),"245496")</f>
        <v>245496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IFERROR(__xludf.DUMMYFUNCTION("""COMPUTED_VALUE"""),"17040841")</f>
        <v>17040841</v>
      </c>
      <c r="B202" s="114" t="str">
        <f ca="1">IFERROR(__xludf.DUMMYFUNCTION("""COMPUTED_VALUE"""),"Gurupi")</f>
        <v>Gurupi</v>
      </c>
      <c r="C202" s="114" t="str">
        <f ca="1">IFERROR(__xludf.DUMMYFUNCTION("""COMPUTED_VALUE"""),"Crixas do Tocantins")</f>
        <v>Crixas do Tocantins</v>
      </c>
      <c r="D202" s="115" t="str">
        <f ca="1">IFERROR(__xludf.DUMMYFUNCTION("""COMPUTED_VALUE"""),"ASSOC. DE AP. DA ESC. EST. OLAVO BILAC")</f>
        <v>ASSOC. DE AP. DA ESC. EST. OLAVO BILAC</v>
      </c>
      <c r="E202" s="114" t="str">
        <f ca="1">IFERROR(__xludf.DUMMYFUNCTION("""COMPUTED_VALUE"""),"Escola Estadual Olavo Bilac-Crixás")</f>
        <v>Escola Estadual Olavo Bilac-Crixás</v>
      </c>
      <c r="F202" s="116" t="str">
        <f ca="1">IFERROR(__xludf.DUMMYFUNCTION("""COMPUTED_VALUE"""),"17040841")</f>
        <v>17040841</v>
      </c>
      <c r="G202" s="114" t="str">
        <f ca="1">IFERROR(__xludf.DUMMYFUNCTION("""COMPUTED_VALUE"""),"01892440000163")</f>
        <v>01892440000163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IFERROR(__xludf.DUMMYFUNCTION("""COMPUTED_VALUE"""),"13498")</f>
        <v>13498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IFERROR(__xludf.DUMMYFUNCTION("""COMPUTED_VALUE"""),"17017912")</f>
        <v>17017912</v>
      </c>
      <c r="B203" s="114" t="str">
        <f ca="1">IFERROR(__xludf.DUMMYFUNCTION("""COMPUTED_VALUE"""),"Gurupi")</f>
        <v>Gurupi</v>
      </c>
      <c r="C203" s="114" t="str">
        <f ca="1">IFERROR(__xludf.DUMMYFUNCTION("""COMPUTED_VALUE"""),"Duere")</f>
        <v>Duere</v>
      </c>
      <c r="D203" s="115" t="str">
        <f ca="1">IFERROR(__xludf.DUMMYFUNCTION("""COMPUTED_VALUE"""),"A.P.MESTRES DA ESCOLA EST.ELESBAO LIMA")</f>
        <v>A.P.MESTRES DA ESCOLA EST.ELESBAO LIMA</v>
      </c>
      <c r="E203" s="114" t="str">
        <f ca="1">IFERROR(__xludf.DUMMYFUNCTION("""COMPUTED_VALUE"""),"Colégio Estadual Elesbão Lima")</f>
        <v>Colégio Estadual Elesbão Lima</v>
      </c>
      <c r="F203" s="116" t="str">
        <f ca="1">IFERROR(__xludf.DUMMYFUNCTION("""COMPUTED_VALUE"""),"17017912")</f>
        <v>17017912</v>
      </c>
      <c r="G203" s="114" t="str">
        <f ca="1">IFERROR(__xludf.DUMMYFUNCTION("""COMPUTED_VALUE"""),"01865387000101")</f>
        <v>01865387000101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IFERROR(__xludf.DUMMYFUNCTION("""COMPUTED_VALUE"""),"6758X")</f>
        <v>6758X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IFERROR(__xludf.DUMMYFUNCTION("""COMPUTED_VALUE"""),"17021243")</f>
        <v>17021243</v>
      </c>
      <c r="B204" s="114" t="str">
        <f ca="1">IFERROR(__xludf.DUMMYFUNCTION("""COMPUTED_VALUE"""),"Gurupi")</f>
        <v>Gurupi</v>
      </c>
      <c r="C204" s="114" t="str">
        <f ca="1">IFERROR(__xludf.DUMMYFUNCTION("""COMPUTED_VALUE"""),"Figueiropolis")</f>
        <v>Figueiropolis</v>
      </c>
      <c r="D204" s="115" t="str">
        <f ca="1">IFERROR(__xludf.DUMMYFUNCTION("""COMPUTED_VALUE"""),"A. APOIO COL. EST. ALAIR SENA CONCEICAO")</f>
        <v>A. APOIO COL. EST. ALAIR SENA CONCEICAO</v>
      </c>
      <c r="E204" s="114" t="str">
        <f ca="1">IFERROR(__xludf.DUMMYFUNCTION("""COMPUTED_VALUE"""),"Colégio Estadual Alair Sena Conceição")</f>
        <v>Colégio Estadual Alair Sena Conceição</v>
      </c>
      <c r="F204" s="116" t="str">
        <f ca="1">IFERROR(__xludf.DUMMYFUNCTION("""COMPUTED_VALUE"""),"17021243")</f>
        <v>17021243</v>
      </c>
      <c r="G204" s="114" t="str">
        <f ca="1">IFERROR(__xludf.DUMMYFUNCTION("""COMPUTED_VALUE"""),"01257080000128")</f>
        <v>01257080000128</v>
      </c>
      <c r="H204" s="116" t="str">
        <f ca="1">IFERROR(__xludf.DUMMYFUNCTION("""COMPUTED_VALUE"""),"001")</f>
        <v>001</v>
      </c>
      <c r="I204" s="116" t="str">
        <f ca="1">IFERROR(__xludf.DUMMYFUNCTION("""COMPUTED_VALUE"""),"3978")</f>
        <v>3978</v>
      </c>
      <c r="J204" s="116" t="str">
        <f ca="1">IFERROR(__xludf.DUMMYFUNCTION("""COMPUTED_VALUE"""),"52639")</f>
        <v>52639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IFERROR(__xludf.DUMMYFUNCTION("""COMPUTED_VALUE"""),"17021251")</f>
        <v>17021251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COLEGIO EST. CANDIDO FIGUEIRA")</f>
        <v>A. APOIO COLEGIO EST. CANDIDO FIGUEIRA</v>
      </c>
      <c r="E205" s="114" t="str">
        <f ca="1">IFERROR(__xludf.DUMMYFUNCTION("""COMPUTED_VALUE"""),"Colégio Estadual Cândido Figueira")</f>
        <v>Colégio Estadual Cândido Figueira</v>
      </c>
      <c r="F205" s="116" t="str">
        <f ca="1">IFERROR(__xludf.DUMMYFUNCTION("""COMPUTED_VALUE"""),"17021251")</f>
        <v>17021251</v>
      </c>
      <c r="G205" s="114" t="str">
        <f ca="1">IFERROR(__xludf.DUMMYFUNCTION("""COMPUTED_VALUE"""),"01262902000169")</f>
        <v>01262902000169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IFERROR(__xludf.DUMMYFUNCTION("""COMPUTED_VALUE"""),"4802X")</f>
        <v>4802X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IFERROR(__xludf.DUMMYFUNCTION("""COMPUTED_VALUE"""),"17018382")</f>
        <v>17018382</v>
      </c>
      <c r="B206" s="114" t="str">
        <f ca="1">IFERROR(__xludf.DUMMYFUNCTION("""COMPUTED_VALUE"""),"Gurupi")</f>
        <v>Gurupi</v>
      </c>
      <c r="C206" s="114" t="str">
        <f ca="1">IFERROR(__xludf.DUMMYFUNCTION("""COMPUTED_VALUE"""),"Formoso do Araguaia")</f>
        <v>Formoso do Araguaia</v>
      </c>
      <c r="D206" s="115" t="str">
        <f ca="1">IFERROR(__xludf.DUMMYFUNCTION("""COMPUTED_VALUE"""),"A.P.E MESTRES DA E. E.BENEDITO P.BANDEIRA")</f>
        <v>A.P.E MESTRES DA E. E.BENEDITO P.BANDEIRA</v>
      </c>
      <c r="E206" s="114" t="str">
        <f ca="1">IFERROR(__xludf.DUMMYFUNCTION("""COMPUTED_VALUE"""),"Colégio Estadual Benedito Pereira Bandeira")</f>
        <v>Colégio Estadual Benedito Pereira Bandeira</v>
      </c>
      <c r="F206" s="116" t="str">
        <f ca="1">IFERROR(__xludf.DUMMYFUNCTION("""COMPUTED_VALUE"""),"17018382")</f>
        <v>17018382</v>
      </c>
      <c r="G206" s="114" t="str">
        <f ca="1">IFERROR(__xludf.DUMMYFUNCTION("""COMPUTED_VALUE"""),"01136026000124")</f>
        <v>01136026000124</v>
      </c>
      <c r="H206" s="116" t="str">
        <f ca="1">IFERROR(__xludf.DUMMYFUNCTION("""COMPUTED_VALUE"""),"001")</f>
        <v>001</v>
      </c>
      <c r="I206" s="116" t="str">
        <f ca="1">IFERROR(__xludf.DUMMYFUNCTION("""COMPUTED_VALUE"""),"3123")</f>
        <v>3123</v>
      </c>
      <c r="J206" s="116" t="str">
        <f ca="1">IFERROR(__xludf.DUMMYFUNCTION("""COMPUTED_VALUE"""),"0303240")</f>
        <v>0303240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IFERROR(__xludf.DUMMYFUNCTION("""COMPUTED_VALUE"""),"17018390")</f>
        <v>17018390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IFERROR(__xludf.DUMMYFUNCTION("""COMPUTED_VALUE"""),"A.A. COLEGIO ESTADUAL TIRADENTES")</f>
        <v>A.A. COLEGIO ESTADUAL TIRADENTES</v>
      </c>
      <c r="E207" s="114" t="str">
        <f ca="1">IFERROR(__xludf.DUMMYFUNCTION("""COMPUTED_VALUE"""),"Colégio Estadual Tiradentes")</f>
        <v>Colégio Estadual Tiradentes</v>
      </c>
      <c r="F207" s="116" t="str">
        <f ca="1">IFERROR(__xludf.DUMMYFUNCTION("""COMPUTED_VALUE"""),"17018390")</f>
        <v>17018390</v>
      </c>
      <c r="G207" s="114" t="str">
        <f ca="1">IFERROR(__xludf.DUMMYFUNCTION("""COMPUTED_VALUE"""),"01263350000103")</f>
        <v>01263350000103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IFERROR(__xludf.DUMMYFUNCTION("""COMPUTED_VALUE"""),"302988")</f>
        <v>302988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IFERROR(__xludf.DUMMYFUNCTION("""COMPUTED_VALUE"""),"17067600")</f>
        <v>17067600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ESC ESPECIAL ANJO DA GUARDA")</f>
        <v>A.A. ESC ESPECIAL ANJO DA GUARDA</v>
      </c>
      <c r="E208" s="114" t="str">
        <f ca="1">IFERROR(__xludf.DUMMYFUNCTION("""COMPUTED_VALUE"""),"Escola Especial Anjo da Guarda")</f>
        <v>Escola Especial Anjo da Guarda</v>
      </c>
      <c r="F208" s="116" t="str">
        <f ca="1">IFERROR(__xludf.DUMMYFUNCTION("""COMPUTED_VALUE"""),"17067600")</f>
        <v>17067600</v>
      </c>
      <c r="G208" s="114" t="str">
        <f ca="1">IFERROR(__xludf.DUMMYFUNCTION("""COMPUTED_VALUE"""),"17617389000111")</f>
        <v>17617389000111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IFERROR(__xludf.DUMMYFUNCTION("""COMPUTED_VALUE"""),"168211")</f>
        <v>168211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IFERROR(__xludf.DUMMYFUNCTION("""COMPUTED_VALUE"""),"17018404")</f>
        <v>17018404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ESC. EST. DONA GERCINA BORGES TEIXEIRA")</f>
        <v>A.A. ESC. EST. DONA GERCINA BORGES TEIXEIRA</v>
      </c>
      <c r="E209" s="114" t="str">
        <f ca="1">IFERROR(__xludf.DUMMYFUNCTION("""COMPUTED_VALUE"""),"Escola Estadual Gercina Borges Teixeira")</f>
        <v>Escola Estadual Gercina Borges Teixeira</v>
      </c>
      <c r="F209" s="116" t="str">
        <f ca="1">IFERROR(__xludf.DUMMYFUNCTION("""COMPUTED_VALUE"""),"17018404")</f>
        <v>17018404</v>
      </c>
      <c r="G209" s="114" t="str">
        <f ca="1">IFERROR(__xludf.DUMMYFUNCTION("""COMPUTED_VALUE"""),"01268334000103")</f>
        <v>01268334000103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IFERROR(__xludf.DUMMYFUNCTION("""COMPUTED_VALUE"""),"302880")</f>
        <v>302880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IFERROR(__xludf.DUMMYFUNCTION("""COMPUTED_VALUE"""),"17043026")</f>
        <v>17043026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IFERROR(__xludf.DUMMYFUNCTION("""COMPUTED_VALUE"""),"ASSOCIAÇÃO DE APOIO DA ESCOLA INDÍGENA TAINÁ DA ALDEIA CANUANA")</f>
        <v>ASSOCIAÇÃO DE APOIO DA ESCOLA INDÍGENA TAINÁ DA ALDEIA CANUANA</v>
      </c>
      <c r="E210" s="114" t="str">
        <f ca="1">IFERROR(__xludf.DUMMYFUNCTION("""COMPUTED_VALUE"""),"Escola Indigena Tainá")</f>
        <v>Escola Indigena Tainá</v>
      </c>
      <c r="F210" s="116" t="str">
        <f ca="1">IFERROR(__xludf.DUMMYFUNCTION("""COMPUTED_VALUE"""),"17043026")</f>
        <v>17043026</v>
      </c>
      <c r="G210" s="114" t="str">
        <f ca="1">IFERROR(__xludf.DUMMYFUNCTION("""COMPUTED_VALUE"""),"27701257000127")</f>
        <v>27701257000127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IFERROR(__xludf.DUMMYFUNCTION("""COMPUTED_VALUE"""),"171174")</f>
        <v>171174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 t="str">
        <f ca="1">IFERROR(__xludf.DUMMYFUNCTION("""COMPUTED_VALUE"""),"INDIGENA /QUILOMBOLA PARCIAL")</f>
        <v>INDIGENA /QUILOMBOLA PARCIAL</v>
      </c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IFERROR(__xludf.DUMMYFUNCTION("""COMPUTED_VALUE"""),"17107806")</f>
        <v>17107806</v>
      </c>
      <c r="B211" s="114" t="str">
        <f ca="1">IFERROR(__xludf.DUMMYFUNCTION("""COMPUTED_VALUE"""),"Gurupi")</f>
        <v>Gurupi</v>
      </c>
      <c r="C211" s="114" t="str">
        <f ca="1">IFERROR(__xludf.DUMMYFUNCTION("""COMPUTED_VALUE"""),"Gurupi")</f>
        <v>Gurupi</v>
      </c>
      <c r="D211" s="115" t="str">
        <f ca="1">IFERROR(__xludf.DUMMYFUNCTION("""COMPUTED_VALUE"""),"A.A. ESC. EST.ISOL.E IND.REG.DE GURUPI")</f>
        <v>A.A. ESC. EST.ISOL.E IND.REG.DE GURUPI</v>
      </c>
      <c r="E211" s="114" t="str">
        <f ca="1">IFERROR(__xludf.DUMMYFUNCTION("""COMPUTED_VALUE"""),"Associação das Esc Est Isol Ind de Gurupi")</f>
        <v>Associação das Esc Est Isol Ind de Gurupi</v>
      </c>
      <c r="F211" s="116" t="str">
        <f ca="1">IFERROR(__xludf.DUMMYFUNCTION("""COMPUTED_VALUE"""),"17107806")</f>
        <v>17107806</v>
      </c>
      <c r="G211" s="114" t="str">
        <f ca="1">IFERROR(__xludf.DUMMYFUNCTION("""COMPUTED_VALUE"""),"03011592000135")</f>
        <v>03011592000135</v>
      </c>
      <c r="H211" s="116" t="str">
        <f ca="1">IFERROR(__xludf.DUMMYFUNCTION("""COMPUTED_VALUE"""),"001")</f>
        <v>001</v>
      </c>
      <c r="I211" s="116" t="str">
        <f ca="1">IFERROR(__xludf.DUMMYFUNCTION("""COMPUTED_VALUE"""),"0794")</f>
        <v>0794</v>
      </c>
      <c r="J211" s="116" t="str">
        <f ca="1">IFERROR(__xludf.DUMMYFUNCTION("""COMPUTED_VALUE"""),"67563")</f>
        <v>67563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/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IFERROR(__xludf.DUMMYFUNCTION("""COMPUTED_VALUE"""),"17021502")</f>
        <v>17021502</v>
      </c>
      <c r="B212" s="114" t="str">
        <f ca="1">IFERROR(__xludf.DUMMYFUNCTION("""COMPUTED_VALUE"""),"Gurupi")</f>
        <v>Gurupi</v>
      </c>
      <c r="C212" s="114" t="str">
        <f ca="1">IFERROR(__xludf.DUMMYFUNCTION("""COMPUTED_VALUE"""),"Gurupi")</f>
        <v>Gurupi</v>
      </c>
      <c r="D212" s="115" t="str">
        <f ca="1">IFERROR(__xludf.DUMMYFUNCTION("""COMPUTED_VALUE"""),"ASSOC. A. CENTRO DE ENS. MÉDIO ARY R. VALADÃO FILHO")</f>
        <v>ASSOC. A. CENTRO DE ENS. MÉDIO ARY R. VALADÃO FILHO</v>
      </c>
      <c r="E212" s="114" t="str">
        <f ca="1">IFERROR(__xludf.DUMMYFUNCTION("""COMPUTED_VALUE"""),"Centro de Ensino Médio Ary Ribeiro Valadão Filho")</f>
        <v>Centro de Ensino Médio Ary Ribeiro Valadão Filho</v>
      </c>
      <c r="F212" s="116" t="str">
        <f ca="1">IFERROR(__xludf.DUMMYFUNCTION("""COMPUTED_VALUE"""),"17021502")</f>
        <v>17021502</v>
      </c>
      <c r="G212" s="114" t="str">
        <f ca="1">IFERROR(__xludf.DUMMYFUNCTION("""COMPUTED_VALUE"""),"02152392000130")</f>
        <v>02152392000130</v>
      </c>
      <c r="H212" s="116" t="str">
        <f ca="1">IFERROR(__xludf.DUMMYFUNCTION("""COMPUTED_VALUE"""),"001")</f>
        <v>001</v>
      </c>
      <c r="I212" s="116" t="str">
        <f ca="1">IFERROR(__xludf.DUMMYFUNCTION("""COMPUTED_VALUE"""),"0794")</f>
        <v>0794</v>
      </c>
      <c r="J212" s="116" t="str">
        <f ca="1">IFERROR(__xludf.DUMMYFUNCTION("""COMPUTED_VALUE"""),"420646")</f>
        <v>420646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/>
      <c r="AE212" s="114" t="str">
        <f ca="1">IFERROR(__xludf.DUMMYFUNCTION("""COMPUTED_VALUE"""),"Integral")</f>
        <v>Integral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IFERROR(__xludf.DUMMYFUNCTION("""COMPUTED_VALUE"""),"17021685")</f>
        <v>17021685</v>
      </c>
      <c r="B213" s="114" t="str">
        <f ca="1">IFERROR(__xludf.DUMMYFUNCTION("""COMPUTED_VALUE"""),"Gurupi")</f>
        <v>Gurupi</v>
      </c>
      <c r="C213" s="114" t="str">
        <f ca="1">IFERROR(__xludf.DUMMYFUNCTION("""COMPUTED_VALUE"""),"Gurupi")</f>
        <v>Gurupi</v>
      </c>
      <c r="D213" s="115" t="str">
        <f ca="1">IFERROR(__xludf.DUMMYFUNCTION("""COMPUTED_VALUE"""),"ASSOC. DE APOIO ESC. EST. BOM JESUS")</f>
        <v>ASSOC. DE APOIO ESC. EST. BOM JESUS</v>
      </c>
      <c r="E213" s="114" t="str">
        <f ca="1">IFERROR(__xludf.DUMMYFUNCTION("""COMPUTED_VALUE"""),"Centro de Ensino Médio Bom Jesus")</f>
        <v>Centro de Ensino Médio Bom Jesus</v>
      </c>
      <c r="F213" s="116" t="str">
        <f ca="1">IFERROR(__xludf.DUMMYFUNCTION("""COMPUTED_VALUE"""),"17021685")</f>
        <v>17021685</v>
      </c>
      <c r="G213" s="114" t="str">
        <f ca="1">IFERROR(__xludf.DUMMYFUNCTION("""COMPUTED_VALUE"""),"01865430000139")</f>
        <v>01865430000139</v>
      </c>
      <c r="H213" s="116" t="str">
        <f ca="1">IFERROR(__xludf.DUMMYFUNCTION("""COMPUTED_VALUE"""),"001")</f>
        <v>001</v>
      </c>
      <c r="I213" s="116" t="str">
        <f ca="1">IFERROR(__xludf.DUMMYFUNCTION("""COMPUTED_VALUE"""),"0794")</f>
        <v>0794</v>
      </c>
      <c r="J213" s="116" t="str">
        <f ca="1">IFERROR(__xludf.DUMMYFUNCTION("""COMPUTED_VALUE"""),"420603")</f>
        <v>420603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/>
      <c r="AE213" s="114" t="str">
        <f ca="1">IFERROR(__xludf.DUMMYFUNCTION("""COMPUTED_VALUE"""),"Parcial")</f>
        <v>Parcial</v>
      </c>
      <c r="AF213" s="114" t="str">
        <f ca="1">IFERROR(__xludf.DUMMYFUNCTION("""COMPUTED_VALUE"""),"FE")</f>
        <v>FE</v>
      </c>
      <c r="AG213" s="114">
        <f ca="1">IFERROR(__xludf.DUMMYFUNCTION("""COMPUTED_VALUE"""),21)</f>
        <v>21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IFERROR(__xludf.DUMMYFUNCTION("""COMPUTED_VALUE"""),"17021553")</f>
        <v>17021553</v>
      </c>
      <c r="B214" s="114" t="str">
        <f ca="1">IFERROR(__xludf.DUMMYFUNCTION("""COMPUTED_VALUE"""),"Gurupi")</f>
        <v>Gurupi</v>
      </c>
      <c r="C214" s="114" t="str">
        <f ca="1">IFERROR(__xludf.DUMMYFUNCTION("""COMPUTED_VALUE"""),"Gurupi")</f>
        <v>Gurupi</v>
      </c>
      <c r="D214" s="115" t="str">
        <f ca="1">IFERROR(__xludf.DUMMYFUNCTION("""COMPUTED_VALUE"""),"ASSOC. DE APOIO COL. EST. DE GURUPI")</f>
        <v>ASSOC. DE APOIO COL. EST. DE GURUPI</v>
      </c>
      <c r="E214" s="114" t="str">
        <f ca="1">IFERROR(__xludf.DUMMYFUNCTION("""COMPUTED_VALUE"""),"Centro de Ensino Médio de Gurupi")</f>
        <v>Centro de Ensino Médio de Gurupi</v>
      </c>
      <c r="F214" s="119" t="str">
        <f ca="1">IFERROR(__xludf.DUMMYFUNCTION("""COMPUTED_VALUE"""),"17021553")</f>
        <v>17021553</v>
      </c>
      <c r="G214" s="114" t="str">
        <f ca="1">IFERROR(__xludf.DUMMYFUNCTION("""COMPUTED_VALUE"""),"01887135000183")</f>
        <v>01887135000183</v>
      </c>
      <c r="H214" s="116" t="str">
        <f ca="1">IFERROR(__xludf.DUMMYFUNCTION("""COMPUTED_VALUE"""),"001")</f>
        <v>001</v>
      </c>
      <c r="I214" s="116" t="str">
        <f ca="1">IFERROR(__xludf.DUMMYFUNCTION("""COMPUTED_VALUE"""),"0794")</f>
        <v>0794</v>
      </c>
      <c r="J214" s="116" t="str">
        <f ca="1">IFERROR(__xludf.DUMMYFUNCTION("""COMPUTED_VALUE"""),"420700")</f>
        <v>420700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/>
      <c r="AE214" s="114" t="str">
        <f ca="1">IFERROR(__xludf.DUMMYFUNCTION("""COMPUTED_VALUE"""),"Integral")</f>
        <v>Integral</v>
      </c>
      <c r="AF214" s="114" t="str">
        <f ca="1">IFERROR(__xludf.DUMMYFUNCTION("""COMPUTED_VALUE"""),"FE")</f>
        <v>FE</v>
      </c>
      <c r="AG214" s="114">
        <f ca="1">IFERROR(__xludf.DUMMYFUNCTION("""COMPUTED_VALUE"""),6)</f>
        <v>6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IFERROR(__xludf.DUMMYFUNCTION("""COMPUTED_VALUE"""),"17038359")</f>
        <v>17038359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IFERROR(__xludf.DUMMYFUNCTION("""COMPUTED_VALUE"""),"A.A.  DO COL. PAROQUIAL BERNARDO SAYAO")</f>
        <v>A.A.  DO COL. PAROQUIAL BERNARDO SAYAO</v>
      </c>
      <c r="E215" s="114" t="str">
        <f ca="1">IFERROR(__xludf.DUMMYFUNCTION("""COMPUTED_VALUE"""),"Centro Educacional Fé E Alegria Paroquial Bernardo Sayão")</f>
        <v>Centro Educacional Fé E Alegria Paroquial Bernardo Sayão</v>
      </c>
      <c r="F215" s="116" t="str">
        <f ca="1">IFERROR(__xludf.DUMMYFUNCTION("""COMPUTED_VALUE"""),"17038359")</f>
        <v>17038359</v>
      </c>
      <c r="G215" s="114" t="str">
        <f ca="1">IFERROR(__xludf.DUMMYFUNCTION("""COMPUTED_VALUE"""),"01865371000107")</f>
        <v>01865371000107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IFERROR(__xludf.DUMMYFUNCTION("""COMPUTED_VALUE"""),"66796")</f>
        <v>66796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IFERROR(__xludf.DUMMYFUNCTION("""COMPUTED_VALUE"""),"Parcial")</f>
        <v>Parcial</v>
      </c>
      <c r="AF215" s="114" t="str">
        <f ca="1">IFERROR(__xludf.DUMMYFUNCTION("""COMPUTED_VALUE"""),"FE")</f>
        <v>FE</v>
      </c>
      <c r="AG215" s="114">
        <f ca="1">IFERROR(__xludf.DUMMYFUNCTION("""COMPUTED_VALUE"""),0)</f>
        <v>0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IFERROR(__xludf.DUMMYFUNCTION("""COMPUTED_VALUE"""),"17021561")</f>
        <v>17021561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IFERROR(__xludf.DUMMYFUNCTION("""COMPUTED_VALUE"""),"A.A.  ESCOLAR DO COL. EST. JOSE SEABRA")</f>
        <v>A.A.  ESCOLAR DO COL. EST. JOSE SEABRA</v>
      </c>
      <c r="E216" s="114" t="str">
        <f ca="1">IFERROR(__xludf.DUMMYFUNCTION("""COMPUTED_VALUE"""),"Colégio Estadual Girassol de Tempo Integral José Seabra Lemos")</f>
        <v>Colégio Estadual Girassol de Tempo Integral José Seabra Lemos</v>
      </c>
      <c r="F216" s="116" t="str">
        <f ca="1">IFERROR(__xludf.DUMMYFUNCTION("""COMPUTED_VALUE"""),"17021561")</f>
        <v>17021561</v>
      </c>
      <c r="G216" s="114" t="str">
        <f ca="1">IFERROR(__xludf.DUMMYFUNCTION("""COMPUTED_VALUE"""),"01910570000181")</f>
        <v>01910570000181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IFERROR(__xludf.DUMMYFUNCTION("""COMPUTED_VALUE"""),"66982")</f>
        <v>66982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IFERROR(__xludf.DUMMYFUNCTION("""COMPUTED_VALUE"""),"Parcial")</f>
        <v>Parcial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IFERROR(__xludf.DUMMYFUNCTION("""COMPUTED_VALUE"""),21)</f>
        <v>21</v>
      </c>
      <c r="AK216" s="114"/>
      <c r="AL216" s="117"/>
    </row>
    <row r="217" spans="1:38" ht="12.75">
      <c r="A217" s="113" t="str">
        <f ca="1">IFERROR(__xludf.DUMMYFUNCTION("""COMPUTED_VALUE"""),"17021596")</f>
        <v>17021596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IFERROR(__xludf.DUMMYFUNCTION("""COMPUTED_VALUE"""),"A.P.M.AL.MAIORES DE ID.C.POSITIVO GURUPI")</f>
        <v>A.P.M.AL.MAIORES DE ID.C.POSITIVO GURUPI</v>
      </c>
      <c r="E217" s="114" t="str">
        <f ca="1">IFERROR(__xludf.DUMMYFUNCTION("""COMPUTED_VALUE"""),"Colégio Positivo de Gurupi")</f>
        <v>Colégio Positivo de Gurupi</v>
      </c>
      <c r="F217" s="116" t="str">
        <f ca="1">IFERROR(__xludf.DUMMYFUNCTION("""COMPUTED_VALUE"""),"17021596")</f>
        <v>17021596</v>
      </c>
      <c r="G217" s="114" t="str">
        <f ca="1">IFERROR(__xludf.DUMMYFUNCTION("""COMPUTED_VALUE"""),"01865432000128")</f>
        <v>01865432000128</v>
      </c>
      <c r="H217" s="116" t="str">
        <f ca="1">IFERROR(__xludf.DUMMYFUNCTION("""COMPUTED_VALUE"""),"104")</f>
        <v>104</v>
      </c>
      <c r="I217" s="116" t="str">
        <f ca="1">IFERROR(__xludf.DUMMYFUNCTION("""COMPUTED_VALUE"""),"0793")</f>
        <v>0793</v>
      </c>
      <c r="J217" s="116" t="str">
        <f ca="1">IFERROR(__xludf.DUMMYFUNCTION("""COMPUTED_VALUE"""),"12138")</f>
        <v>12138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IFERROR(__xludf.DUMMYFUNCTION("""COMPUTED_VALUE"""),0)</f>
        <v>0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IFERROR(__xludf.DUMMYFUNCTION("""COMPUTED_VALUE"""),0)</f>
        <v>0</v>
      </c>
      <c r="AK217" s="114"/>
      <c r="AL217" s="117"/>
    </row>
    <row r="218" spans="1:38" ht="12.75">
      <c r="A218" s="113" t="str">
        <f ca="1">IFERROR(__xludf.DUMMYFUNCTION("""COMPUTED_VALUE"""),"17039509")</f>
        <v>17039509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IFERROR(__xludf.DUMMYFUNCTION("""COMPUTED_VALUE"""),"INSTITUTO SOCIAL EVANG DE GURUPI/EDUC. EVANG. EBENÉZER")</f>
        <v>INSTITUTO SOCIAL EVANG DE GURUPI/EDUC. EVANG. EBENÉZER</v>
      </c>
      <c r="E218" s="114" t="str">
        <f ca="1">IFERROR(__xludf.DUMMYFUNCTION("""COMPUTED_VALUE"""),"Educandário Evangélico Ebenézer")</f>
        <v>Educandário Evangélico Ebenézer</v>
      </c>
      <c r="F218" s="116" t="str">
        <f ca="1">IFERROR(__xludf.DUMMYFUNCTION("""COMPUTED_VALUE"""),"17039509")</f>
        <v>17039509</v>
      </c>
      <c r="G218" s="114" t="str">
        <f ca="1">IFERROR(__xludf.DUMMYFUNCTION("""COMPUTED_VALUE"""),"17194297000176")</f>
        <v>17194297000176</v>
      </c>
      <c r="H218" s="116" t="str">
        <f ca="1">IFERROR(__xludf.DUMMYFUNCTION("""COMPUTED_VALUE"""),"001")</f>
        <v>001</v>
      </c>
      <c r="I218" s="116" t="str">
        <f ca="1">IFERROR(__xludf.DUMMYFUNCTION("""COMPUTED_VALUE"""),"0794")</f>
        <v>0794</v>
      </c>
      <c r="J218" s="116" t="str">
        <f ca="1">IFERROR(__xludf.DUMMYFUNCTION("""COMPUTED_VALUE"""),"493066")</f>
        <v>493066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IFERROR(__xludf.DUMMYFUNCTION("""COMPUTED_VALUE"""),"Parcial")</f>
        <v>Parcial</v>
      </c>
      <c r="AF218" s="114" t="str">
        <f ca="1">IFERROR(__xludf.DUMMYFUNCTION("""COMPUTED_VALUE"""),"FE")</f>
        <v>FE</v>
      </c>
      <c r="AG218" s="114">
        <f ca="1">IFERROR(__xludf.DUMMYFUNCTION("""COMPUTED_VALUE"""),0)</f>
        <v>0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IFERROR(__xludf.DUMMYFUNCTION("""COMPUTED_VALUE"""),"17040558")</f>
        <v>17040558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IFERROR(__xludf.DUMMYFUNCTION("""COMPUTED_VALUE"""),"ASSOCIAÇÃO DE APOIO A ESCOLA ESPECIAL SÃO FRANCISCO DE ASSIS")</f>
        <v>ASSOCIAÇÃO DE APOIO A ESCOLA ESPECIAL SÃO FRANCISCO DE ASSIS</v>
      </c>
      <c r="E219" s="114" t="str">
        <f ca="1">IFERROR(__xludf.DUMMYFUNCTION("""COMPUTED_VALUE"""),"Escola Especial São Francisco de Assis")</f>
        <v>Escola Especial São Francisco de Assis</v>
      </c>
      <c r="F219" s="116" t="str">
        <f ca="1">IFERROR(__xludf.DUMMYFUNCTION("""COMPUTED_VALUE"""),"17040558")</f>
        <v>17040558</v>
      </c>
      <c r="G219" s="114" t="str">
        <f ca="1">IFERROR(__xludf.DUMMYFUNCTION("""COMPUTED_VALUE"""),"07947356000186")</f>
        <v>07947356000186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IFERROR(__xludf.DUMMYFUNCTION("""COMPUTED_VALUE"""),"431109")</f>
        <v>431109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 t="str">
        <f ca="1">IFERROR(__xludf.DUMMYFUNCTION("""COMPUTED_VALUE"""),"INDIGENA /QUILOMBOLA PARCIAL")</f>
        <v>INDIGENA /QUILOMBOLA PARCIAL</v>
      </c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IFERROR(__xludf.DUMMYFUNCTION("""COMPUTED_VALUE"""),"17021588")</f>
        <v>17021588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IFERROR(__xludf.DUMMYFUNCTION("""COMPUTED_VALUE"""),"A.A. ESC. EST. DR. JOAQUIM P. DA COSTA")</f>
        <v>A.A. ESC. EST. DR. JOAQUIM P. DA COSTA</v>
      </c>
      <c r="E220" s="114" t="str">
        <f ca="1">IFERROR(__xludf.DUMMYFUNCTION("""COMPUTED_VALUE"""),"Escola Estadual Doutor Joaquim Pereira da Costa")</f>
        <v>Escola Estadual Doutor Joaquim Pereira da Costa</v>
      </c>
      <c r="F220" s="116" t="str">
        <f ca="1">IFERROR(__xludf.DUMMYFUNCTION("""COMPUTED_VALUE"""),"17021588")</f>
        <v>17021588</v>
      </c>
      <c r="G220" s="114" t="str">
        <f ca="1">IFERROR(__xludf.DUMMYFUNCTION("""COMPUTED_VALUE"""),"01865386000167")</f>
        <v>01865386000167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IFERROR(__xludf.DUMMYFUNCTION("""COMPUTED_VALUE"""),"67288")</f>
        <v>67288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/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IFERROR(__xludf.DUMMYFUNCTION("""COMPUTED_VALUE"""),0)</f>
        <v>0</v>
      </c>
      <c r="AK220" s="114"/>
      <c r="AL220" s="117"/>
    </row>
    <row r="221" spans="1:38" ht="12.75">
      <c r="A221" s="113" t="str">
        <f ca="1">IFERROR(__xludf.DUMMYFUNCTION("""COMPUTED_VALUE"""),"17021707")</f>
        <v>17021707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IFERROR(__xludf.DUMMYFUNCTION("""COMPUTED_VALUE"""),"A.A. ESCOLAR DA ESC. EST. DR.WALDIR LINS")</f>
        <v>A.A. ESCOLAR DA ESC. EST. DR.WALDIR LINS</v>
      </c>
      <c r="E221" s="114" t="str">
        <f ca="1">IFERROR(__xludf.DUMMYFUNCTION("""COMPUTED_VALUE"""),"Escola Estadual Doutor Waldir Lins")</f>
        <v>Escola Estadual Doutor Waldir Lins</v>
      </c>
      <c r="F221" s="116" t="str">
        <f ca="1">IFERROR(__xludf.DUMMYFUNCTION("""COMPUTED_VALUE"""),"17021707")</f>
        <v>17021707</v>
      </c>
      <c r="G221" s="114" t="str">
        <f ca="1">IFERROR(__xludf.DUMMYFUNCTION("""COMPUTED_VALUE"""),"01936535000131")</f>
        <v>01936535000131</v>
      </c>
      <c r="H221" s="116" t="str">
        <f ca="1">IFERROR(__xludf.DUMMYFUNCTION("""COMPUTED_VALUE"""),"001")</f>
        <v>001</v>
      </c>
      <c r="I221" s="116" t="str">
        <f ca="1">IFERROR(__xludf.DUMMYFUNCTION("""COMPUTED_VALUE"""),"0794")</f>
        <v>0794</v>
      </c>
      <c r="J221" s="116" t="str">
        <f ca="1">IFERROR(__xludf.DUMMYFUNCTION("""COMPUTED_VALUE"""),"66966")</f>
        <v>66966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IFERROR(__xludf.DUMMYFUNCTION("""COMPUTED_VALUE"""),"17021774")</f>
        <v>17021774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IFERROR(__xludf.DUMMYFUNCTION("""COMPUTED_VALUE"""),"A. EDUCACIONAL PRES. COSTA E SILVA")</f>
        <v>A. EDUCACIONAL PRES. COSTA E SILVA</v>
      </c>
      <c r="E222" s="114" t="str">
        <f ca="1">IFERROR(__xludf.DUMMYFUNCTION("""COMPUTED_VALUE"""),"Escola Estadual Girassol de Tempo Integral Presidente Costa E Silva")</f>
        <v>Escola Estadual Girassol de Tempo Integral Presidente Costa E Silva</v>
      </c>
      <c r="F222" s="116" t="str">
        <f ca="1">IFERROR(__xludf.DUMMYFUNCTION("""COMPUTED_VALUE"""),"17021774")</f>
        <v>17021774</v>
      </c>
      <c r="G222" s="114" t="str">
        <f ca="1">IFERROR(__xludf.DUMMYFUNCTION("""COMPUTED_VALUE"""),"01888719000173")</f>
        <v>01888719000173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IFERROR(__xludf.DUMMYFUNCTION("""COMPUTED_VALUE"""),"67490")</f>
        <v>67490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IFERROR(__xludf.DUMMYFUNCTION("""COMPUTED_VALUE"""),41)</f>
        <v>41</v>
      </c>
      <c r="AK222" s="114"/>
      <c r="AL222" s="117"/>
    </row>
    <row r="223" spans="1:38" ht="12.75">
      <c r="A223" s="113" t="str">
        <f ca="1">IFERROR(__xludf.DUMMYFUNCTION("""COMPUTED_VALUE"""),"17021731")</f>
        <v>17021731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IFERROR(__xludf.DUMMYFUNCTION("""COMPUTED_VALUE"""),"A.A. ESC. EST. HERCILIA CARVALHO DA SILVA")</f>
        <v>A.A. ESC. EST. HERCILIA CARVALHO DA SILVA</v>
      </c>
      <c r="E223" s="114" t="str">
        <f ca="1">IFERROR(__xludf.DUMMYFUNCTION("""COMPUTED_VALUE"""),"Escola Estadual Hercília Carvalho da Silva")</f>
        <v>Escola Estadual Hercília Carvalho da Silva</v>
      </c>
      <c r="F223" s="116" t="str">
        <f ca="1">IFERROR(__xludf.DUMMYFUNCTION("""COMPUTED_VALUE"""),"17021731")</f>
        <v>17021731</v>
      </c>
      <c r="G223" s="114" t="str">
        <f ca="1">IFERROR(__xludf.DUMMYFUNCTION("""COMPUTED_VALUE"""),"01465790000143")</f>
        <v>01465790000143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IFERROR(__xludf.DUMMYFUNCTION("""COMPUTED_VALUE"""),"66834")</f>
        <v>66834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/>
      <c r="AE223" s="114" t="str">
        <f ca="1">IFERROR(__xludf.DUMMYFUNCTION("""COMPUTED_VALUE"""),"Integral")</f>
        <v>Integral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IFERROR(__xludf.DUMMYFUNCTION("""COMPUTED_VALUE"""),0)</f>
        <v>0</v>
      </c>
      <c r="AK223" s="114"/>
      <c r="AL223" s="117"/>
    </row>
    <row r="224" spans="1:38" ht="12.75">
      <c r="A224" s="113" t="str">
        <f ca="1">IFERROR(__xludf.DUMMYFUNCTION("""COMPUTED_VALUE"""),"17021782")</f>
        <v>17021782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DA ESCOLA ESTADUAL RUI BARBOSA")</f>
        <v>A.A. DA ESCOLA ESTADUAL RUI BARBOSA</v>
      </c>
      <c r="E224" s="114" t="str">
        <f ca="1">IFERROR(__xludf.DUMMYFUNCTION("""COMPUTED_VALUE"""),"Escola Estadual Rui Barbosa")</f>
        <v>Escola Estadual Rui Barbosa</v>
      </c>
      <c r="F224" s="116" t="str">
        <f ca="1">IFERROR(__xludf.DUMMYFUNCTION("""COMPUTED_VALUE"""),"17021782")</f>
        <v>17021782</v>
      </c>
      <c r="G224" s="114" t="str">
        <f ca="1">IFERROR(__xludf.DUMMYFUNCTION("""COMPUTED_VALUE"""),"43753475000161")</f>
        <v>43753475000161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IFERROR(__xludf.DUMMYFUNCTION("""COMPUTED_VALUE"""),"682969")</f>
        <v>682969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IFERROR(__xludf.DUMMYFUNCTION("""COMPUTED_VALUE"""),"Parcial")</f>
        <v>Parcial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IFERROR(__xludf.DUMMYFUNCTION("""COMPUTED_VALUE"""),"17021804")</f>
        <v>17021804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 DE PAIS E MESTRES/ESC. EST. VILA GUARACY")</f>
        <v>A. DE PAIS E MESTRES/ESC. EST. VILA GUARACY</v>
      </c>
      <c r="E225" s="114" t="str">
        <f ca="1">IFERROR(__xludf.DUMMYFUNCTION("""COMPUTED_VALUE"""),"Escola Estadual Vila Guaracy")</f>
        <v>Escola Estadual Vila Guaracy</v>
      </c>
      <c r="F225" s="116" t="str">
        <f ca="1">IFERROR(__xludf.DUMMYFUNCTION("""COMPUTED_VALUE"""),"17021804")</f>
        <v>17021804</v>
      </c>
      <c r="G225" s="114" t="str">
        <f ca="1">IFERROR(__xludf.DUMMYFUNCTION("""COMPUTED_VALUE"""),"01918955000195")</f>
        <v>01918955000195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IFERROR(__xludf.DUMMYFUNCTION("""COMPUTED_VALUE"""),"67008")</f>
        <v>67008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IFERROR(__xludf.DUMMYFUNCTION("""COMPUTED_VALUE"""),"17111811")</f>
        <v>17111811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IFERROR(__xludf.DUMMYFUNCTION("""COMPUTED_VALUE"""),"APM. DA INSTITUIÇÃO BENEFICENTE IRMÃ DULCE")</f>
        <v>APM. DA INSTITUIÇÃO BENEFICENTE IRMÃ DULCE</v>
      </c>
      <c r="E226" s="114" t="str">
        <f ca="1">IFERROR(__xludf.DUMMYFUNCTION("""COMPUTED_VALUE"""),"Instituição Beneficente Irmã Dulce")</f>
        <v>Instituição Beneficente Irmã Dulce</v>
      </c>
      <c r="F226" s="116" t="str">
        <f ca="1">IFERROR(__xludf.DUMMYFUNCTION("""COMPUTED_VALUE"""),"17111811")</f>
        <v>17111811</v>
      </c>
      <c r="G226" s="114" t="str">
        <f ca="1">IFERROR(__xludf.DUMMYFUNCTION("""COMPUTED_VALUE"""),"10807313000100")</f>
        <v>10807313000100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IFERROR(__xludf.DUMMYFUNCTION("""COMPUTED_VALUE"""),"447218")</f>
        <v>447218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IFERROR(__xludf.DUMMYFUNCTION("""COMPUTED_VALUE"""),10)</f>
        <v>10</v>
      </c>
      <c r="AK226" s="114"/>
      <c r="AL226" s="117"/>
    </row>
    <row r="227" spans="1:38" ht="12.75">
      <c r="A227" s="113" t="str">
        <f ca="1">IFERROR(__xludf.DUMMYFUNCTION("""COMPUTED_VALUE"""),"17053315")</f>
        <v>17053315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IFERROR(__xludf.DUMMYFUNCTION("""COMPUTED_VALUE"""),"ASSOC APOIO INSTITUTO EDUCACIONAL PASSO A PASSO")</f>
        <v>ASSOC APOIO INSTITUTO EDUCACIONAL PASSO A PASSO</v>
      </c>
      <c r="E227" s="114" t="str">
        <f ca="1">IFERROR(__xludf.DUMMYFUNCTION("""COMPUTED_VALUE"""),"Instituto Educacional Passo A Passo")</f>
        <v>Instituto Educacional Passo A Passo</v>
      </c>
      <c r="F227" s="116" t="str">
        <f ca="1">IFERROR(__xludf.DUMMYFUNCTION("""COMPUTED_VALUE"""),"17053315")</f>
        <v>17053315</v>
      </c>
      <c r="G227" s="114" t="str">
        <f ca="1">IFERROR(__xludf.DUMMYFUNCTION("""COMPUTED_VALUE"""),"10450172000110")</f>
        <v>10450172000110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IFERROR(__xludf.DUMMYFUNCTION("""COMPUTED_VALUE"""),"414263")</f>
        <v>414263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IFERROR(__xludf.DUMMYFUNCTION("""COMPUTED_VALUE"""),"Parcial/Integral")</f>
        <v>Parcial/Integral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IFERROR(__xludf.DUMMYFUNCTION("""COMPUTED_VALUE"""),0)</f>
        <v>0</v>
      </c>
      <c r="AK227" s="114"/>
      <c r="AL227" s="117"/>
    </row>
    <row r="228" spans="1:38" ht="12.75">
      <c r="A228" s="113" t="str">
        <f ca="1">IFERROR(__xludf.DUMMYFUNCTION("""COMPUTED_VALUE"""),"17021600")</f>
        <v>17021600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IFERROR(__xludf.DUMMYFUNCTION("""COMPUTED_VALUE"""),"A.A. DO INSTITUTO PRESBITERIANO ARAGUAIA")</f>
        <v>A.A. DO INSTITUTO PRESBITERIANO ARAGUAIA</v>
      </c>
      <c r="E228" s="114" t="str">
        <f ca="1">IFERROR(__xludf.DUMMYFUNCTION("""COMPUTED_VALUE"""),"Instituto Presbiteriano Araguaia")</f>
        <v>Instituto Presbiteriano Araguaia</v>
      </c>
      <c r="F228" s="116" t="str">
        <f ca="1">IFERROR(__xludf.DUMMYFUNCTION("""COMPUTED_VALUE"""),"17021600")</f>
        <v>17021600</v>
      </c>
      <c r="G228" s="114" t="str">
        <f ca="1">IFERROR(__xludf.DUMMYFUNCTION("""COMPUTED_VALUE"""),"03060918000114")</f>
        <v>03060918000114</v>
      </c>
      <c r="H228" s="116" t="str">
        <f ca="1">IFERROR(__xludf.DUMMYFUNCTION("""COMPUTED_VALUE"""),"104")</f>
        <v>104</v>
      </c>
      <c r="I228" s="116" t="str">
        <f ca="1">IFERROR(__xludf.DUMMYFUNCTION("""COMPUTED_VALUE"""),"0793")</f>
        <v>0793</v>
      </c>
      <c r="J228" s="116" t="str">
        <f ca="1">IFERROR(__xludf.DUMMYFUNCTION("""COMPUTED_VALUE"""),"12090")</f>
        <v>12090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 t="str">
        <f ca="1">IFERROR(__xludf.DUMMYFUNCTION("""COMPUTED_VALUE"""),"CRECHE")</f>
        <v>CRECHE</v>
      </c>
      <c r="AE228" s="114" t="str">
        <f ca="1">IFERROR(__xludf.DUMMYFUNCTION("""COMPUTED_VALUE"""),"Parcial")</f>
        <v>Parcial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IFERROR(__xludf.DUMMYFUNCTION("""COMPUTED_VALUE"""),"17052360")</f>
        <v>17052360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IFERROR(__xludf.DUMMYFUNCTION("""COMPUTED_VALUE"""),"A.A. DO INSTITUTO PRESBITERIANO EDUCACIONAL")</f>
        <v>A.A. DO INSTITUTO PRESBITERIANO EDUCACIONAL</v>
      </c>
      <c r="E229" s="114" t="str">
        <f ca="1">IFERROR(__xludf.DUMMYFUNCTION("""COMPUTED_VALUE"""),"Instituto Presbiteriano Educacional")</f>
        <v>Instituto Presbiteriano Educacional</v>
      </c>
      <c r="F229" s="116" t="str">
        <f ca="1">IFERROR(__xludf.DUMMYFUNCTION("""COMPUTED_VALUE"""),"17052360")</f>
        <v>17052360</v>
      </c>
      <c r="G229" s="114" t="str">
        <f ca="1">IFERROR(__xludf.DUMMYFUNCTION("""COMPUTED_VALUE"""),"07217559000117")</f>
        <v>07217559000117</v>
      </c>
      <c r="H229" s="116" t="str">
        <f ca="1">IFERROR(__xludf.DUMMYFUNCTION("""COMPUTED_VALUE"""),"104")</f>
        <v>104</v>
      </c>
      <c r="I229" s="116" t="str">
        <f ca="1">IFERROR(__xludf.DUMMYFUNCTION("""COMPUTED_VALUE"""),"0793")</f>
        <v>0793</v>
      </c>
      <c r="J229" s="116" t="str">
        <f ca="1">IFERROR(__xludf.DUMMYFUNCTION("""COMPUTED_VALUE"""),"2663")</f>
        <v>2663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/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IFERROR(__xludf.DUMMYFUNCTION("""COMPUTED_VALUE"""),"17048826")</f>
        <v>17048826</v>
      </c>
      <c r="B230" s="114" t="str">
        <f ca="1">IFERROR(__xludf.DUMMYFUNCTION("""COMPUTED_VALUE"""),"Gurupi")</f>
        <v>Gurupi</v>
      </c>
      <c r="C230" s="114" t="str">
        <f ca="1">IFERROR(__xludf.DUMMYFUNCTION("""COMPUTED_VALUE"""),"Jau do Tocantins")</f>
        <v>Jau do Tocantins</v>
      </c>
      <c r="D230" s="115" t="str">
        <f ca="1">IFERROR(__xludf.DUMMYFUNCTION("""COMPUTED_VALUE"""),"AAEC PEDRO LUIZ BONFIM/ADELÁIDE FRANCISCO SOARES")</f>
        <v>AAEC PEDRO LUIZ BONFIM/ADELÁIDE FRANCISCO SOARES</v>
      </c>
      <c r="E230" s="114" t="str">
        <f ca="1">IFERROR(__xludf.DUMMYFUNCTION("""COMPUTED_VALUE"""),"Colégio Estadual Adelaide Francisco Soares")</f>
        <v>Colégio Estadual Adelaide Francisco Soares</v>
      </c>
      <c r="F230" s="116" t="str">
        <f ca="1">IFERROR(__xludf.DUMMYFUNCTION("""COMPUTED_VALUE"""),"17048826")</f>
        <v>17048826</v>
      </c>
      <c r="G230" s="114" t="str">
        <f ca="1">IFERROR(__xludf.DUMMYFUNCTION("""COMPUTED_VALUE"""),"02080228000164")</f>
        <v>02080228000164</v>
      </c>
      <c r="H230" s="116" t="str">
        <f ca="1">IFERROR(__xludf.DUMMYFUNCTION("""COMPUTED_VALUE"""),"001")</f>
        <v>001</v>
      </c>
      <c r="I230" s="116" t="str">
        <f ca="1">IFERROR(__xludf.DUMMYFUNCTION("""COMPUTED_VALUE"""),"0794")</f>
        <v>0794</v>
      </c>
      <c r="J230" s="116" t="str">
        <f ca="1">IFERROR(__xludf.DUMMYFUNCTION("""COMPUTED_VALUE"""),"420743")</f>
        <v>420743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IFERROR(__xludf.DUMMYFUNCTION("""COMPUTED_VALUE"""),0)</f>
        <v>0</v>
      </c>
      <c r="AK230" s="114"/>
      <c r="AL230" s="117"/>
    </row>
    <row r="231" spans="1:38" ht="12.75">
      <c r="A231" s="113" t="str">
        <f ca="1">IFERROR(__xludf.DUMMYFUNCTION("""COMPUTED_VALUE"""),"17022320")</f>
        <v>17022320</v>
      </c>
      <c r="B231" s="114" t="str">
        <f ca="1">IFERROR(__xludf.DUMMYFUNCTION("""COMPUTED_VALUE"""),"Gurupi")</f>
        <v>Gurupi</v>
      </c>
      <c r="C231" s="114" t="str">
        <f ca="1">IFERROR(__xludf.DUMMYFUNCTION("""COMPUTED_VALUE"""),"Palmeiropolis")</f>
        <v>Palmeiropolis</v>
      </c>
      <c r="D231" s="115" t="str">
        <f ca="1">IFERROR(__xludf.DUMMYFUNCTION("""COMPUTED_VALUE"""),"A.A. ESCOLA ESTADUAL PROFESSORA ONEIDES")</f>
        <v>A.A. ESCOLA ESTADUAL PROFESSORA ONEIDES</v>
      </c>
      <c r="E231" s="114" t="str">
        <f ca="1">IFERROR(__xludf.DUMMYFUNCTION("""COMPUTED_VALUE"""),"Colégio Estadual Professora Oneides Rosa de Moura")</f>
        <v>Colégio Estadual Professora Oneides Rosa de Moura</v>
      </c>
      <c r="F231" s="116" t="str">
        <f ca="1">IFERROR(__xludf.DUMMYFUNCTION("""COMPUTED_VALUE"""),"17022320")</f>
        <v>17022320</v>
      </c>
      <c r="G231" s="114" t="str">
        <f ca="1">IFERROR(__xludf.DUMMYFUNCTION("""COMPUTED_VALUE"""),"01262903000103")</f>
        <v>01262903000103</v>
      </c>
      <c r="H231" s="116" t="str">
        <f ca="1">IFERROR(__xludf.DUMMYFUNCTION("""COMPUTED_VALUE"""),"001")</f>
        <v>001</v>
      </c>
      <c r="I231" s="116" t="str">
        <f ca="1">IFERROR(__xludf.DUMMYFUNCTION("""COMPUTED_VALUE"""),"4608")</f>
        <v>4608</v>
      </c>
      <c r="J231" s="116" t="str">
        <f ca="1">IFERROR(__xludf.DUMMYFUNCTION("""COMPUTED_VALUE"""),"79758")</f>
        <v>79758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IFERROR(__xludf.DUMMYFUNCTION("""COMPUTED_VALUE"""),"Parcial")</f>
        <v>Parcial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IFERROR(__xludf.DUMMYFUNCTION("""COMPUTED_VALUE"""),"17022312")</f>
        <v>17022312</v>
      </c>
      <c r="B232" s="114" t="str">
        <f ca="1">IFERROR(__xludf.DUMMYFUNCTION("""COMPUTED_VALUE"""),"Gurupi")</f>
        <v>Gurupi</v>
      </c>
      <c r="C232" s="114" t="str">
        <f ca="1">IFERROR(__xludf.DUMMYFUNCTION("""COMPUTED_VALUE"""),"Palmeiropolis")</f>
        <v>Palmeiropolis</v>
      </c>
      <c r="D232" s="115" t="str">
        <f ca="1">IFERROR(__xludf.DUMMYFUNCTION("""COMPUTED_VALUE"""),"A. A.DO COLEGIO EST. DE PALMEIROPOLIS (COLÉGIO MILITAR)")</f>
        <v>A. A.DO COLEGIO EST. DE PALMEIROPOLIS (COLÉGIO MILITAR)</v>
      </c>
      <c r="E232" s="114" t="str">
        <f ca="1">IFERROR(__xludf.DUMMYFUNCTION("""COMPUTED_VALUE"""),"Escola Estadual Professora Maria Guedes")</f>
        <v>Escola Estadual Professora Maria Guedes</v>
      </c>
      <c r="F232" s="116" t="str">
        <f ca="1">IFERROR(__xludf.DUMMYFUNCTION("""COMPUTED_VALUE"""),"17022312")</f>
        <v>17022312</v>
      </c>
      <c r="G232" s="114" t="str">
        <f ca="1">IFERROR(__xludf.DUMMYFUNCTION("""COMPUTED_VALUE"""),"01210496000190")</f>
        <v>01210496000190</v>
      </c>
      <c r="H232" s="116" t="str">
        <f ca="1">IFERROR(__xludf.DUMMYFUNCTION("""COMPUTED_VALUE"""),"001")</f>
        <v>001</v>
      </c>
      <c r="I232" s="116" t="str">
        <f ca="1">IFERROR(__xludf.DUMMYFUNCTION("""COMPUTED_VALUE"""),"1303")</f>
        <v>1303</v>
      </c>
      <c r="J232" s="116" t="str">
        <f ca="1">IFERROR(__xludf.DUMMYFUNCTION("""COMPUTED_VALUE"""),"97438")</f>
        <v>97438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/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IFERROR(__xludf.DUMMYFUNCTION("""COMPUTED_VALUE"""),"17022819")</f>
        <v>17022819</v>
      </c>
      <c r="B233" s="114" t="str">
        <f ca="1">IFERROR(__xludf.DUMMYFUNCTION("""COMPUTED_VALUE"""),"Gurupi")</f>
        <v>Gurupi</v>
      </c>
      <c r="C233" s="114" t="str">
        <f ca="1">IFERROR(__xludf.DUMMYFUNCTION("""COMPUTED_VALUE"""),"Peixe")</f>
        <v>Peixe</v>
      </c>
      <c r="D233" s="115" t="str">
        <f ca="1">IFERROR(__xludf.DUMMYFUNCTION("""COMPUTED_VALUE"""),"A.A. AO COLEGIO ESTADUAL D. ALANO")</f>
        <v>A.A. AO COLEGIO ESTADUAL D. ALANO</v>
      </c>
      <c r="E233" s="114" t="str">
        <f ca="1">IFERROR(__xludf.DUMMYFUNCTION("""COMPUTED_VALUE"""),"Colégio Estadual Dom Alano")</f>
        <v>Colégio Estadual Dom Alano</v>
      </c>
      <c r="F233" s="116" t="str">
        <f ca="1">IFERROR(__xludf.DUMMYFUNCTION("""COMPUTED_VALUE"""),"17022819")</f>
        <v>17022819</v>
      </c>
      <c r="G233" s="114" t="str">
        <f ca="1">IFERROR(__xludf.DUMMYFUNCTION("""COMPUTED_VALUE"""),"01133705000140")</f>
        <v>01133705000140</v>
      </c>
      <c r="H233" s="116" t="str">
        <f ca="1">IFERROR(__xludf.DUMMYFUNCTION("""COMPUTED_VALUE"""),"001")</f>
        <v>001</v>
      </c>
      <c r="I233" s="116" t="str">
        <f ca="1">IFERROR(__xludf.DUMMYFUNCTION("""COMPUTED_VALUE"""),"3979")</f>
        <v>3979</v>
      </c>
      <c r="J233" s="116" t="str">
        <f ca="1">IFERROR(__xludf.DUMMYFUNCTION("""COMPUTED_VALUE"""),"53155")</f>
        <v>53155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IFERROR(__xludf.DUMMYFUNCTION("""COMPUTED_VALUE"""),"17022860")</f>
        <v>17022860</v>
      </c>
      <c r="B234" s="114" t="str">
        <f ca="1">IFERROR(__xludf.DUMMYFUNCTION("""COMPUTED_VALUE"""),"Gurupi")</f>
        <v>Gurupi</v>
      </c>
      <c r="C234" s="114" t="str">
        <f ca="1">IFERROR(__xludf.DUMMYFUNCTION("""COMPUTED_VALUE"""),"Peixe")</f>
        <v>Peixe</v>
      </c>
      <c r="D234" s="115" t="str">
        <f ca="1">IFERROR(__xludf.DUMMYFUNCTION("""COMPUTED_VALUE"""),"A.A.  ESC. EST.TANCREDO DE ALMEIDA NEVES")</f>
        <v>A.A.  ESC. EST.TANCREDO DE ALMEIDA NEVES</v>
      </c>
      <c r="E234" s="114" t="str">
        <f ca="1">IFERROR(__xludf.DUMMYFUNCTION("""COMPUTED_VALUE"""),"Escola Estadual Tancredo de Almeida Neves")</f>
        <v>Escola Estadual Tancredo de Almeida Neves</v>
      </c>
      <c r="F234" s="116" t="str">
        <f ca="1">IFERROR(__xludf.DUMMYFUNCTION("""COMPUTED_VALUE"""),"17022860")</f>
        <v>17022860</v>
      </c>
      <c r="G234" s="114" t="str">
        <f ca="1">IFERROR(__xludf.DUMMYFUNCTION("""COMPUTED_VALUE"""),"01136008000142")</f>
        <v>01136008000142</v>
      </c>
      <c r="H234" s="116" t="str">
        <f ca="1">IFERROR(__xludf.DUMMYFUNCTION("""COMPUTED_VALUE"""),"001")</f>
        <v>001</v>
      </c>
      <c r="I234" s="116" t="str">
        <f ca="1">IFERROR(__xludf.DUMMYFUNCTION("""COMPUTED_VALUE"""),"3979")</f>
        <v>3979</v>
      </c>
      <c r="J234" s="116" t="str">
        <f ca="1">IFERROR(__xludf.DUMMYFUNCTION("""COMPUTED_VALUE"""),"52914")</f>
        <v>52914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IFERROR(__xludf.DUMMYFUNCTION("""COMPUTED_VALUE"""),"17020140")</f>
        <v>17020140</v>
      </c>
      <c r="B235" s="114" t="str">
        <f ca="1">IFERROR(__xludf.DUMMYFUNCTION("""COMPUTED_VALUE"""),"Gurupi")</f>
        <v>Gurupi</v>
      </c>
      <c r="C235" s="114" t="str">
        <f ca="1">IFERROR(__xludf.DUMMYFUNCTION("""COMPUTED_VALUE"""),"Sandolandia")</f>
        <v>Sandolandia</v>
      </c>
      <c r="D235" s="115" t="str">
        <f ca="1">IFERROR(__xludf.DUMMYFUNCTION("""COMPUTED_VALUE"""),"A.A. A ESC. EST.NOSSA SENHORA APARECIDA")</f>
        <v>A.A. A ESC. EST.NOSSA SENHORA APARECIDA</v>
      </c>
      <c r="E235" s="114" t="str">
        <f ca="1">IFERROR(__xludf.DUMMYFUNCTION("""COMPUTED_VALUE"""),"Colégio Estadual Nossa Senhora Aparecida")</f>
        <v>Colégio Estadual Nossa Senhora Aparecida</v>
      </c>
      <c r="F235" s="116" t="str">
        <f ca="1">IFERROR(__xludf.DUMMYFUNCTION("""COMPUTED_VALUE"""),"17020140")</f>
        <v>17020140</v>
      </c>
      <c r="G235" s="114" t="str">
        <f ca="1">IFERROR(__xludf.DUMMYFUNCTION("""COMPUTED_VALUE"""),"01393269000148")</f>
        <v>01393269000148</v>
      </c>
      <c r="H235" s="116" t="str">
        <f ca="1">IFERROR(__xludf.DUMMYFUNCTION("""COMPUTED_VALUE"""),"001")</f>
        <v>001</v>
      </c>
      <c r="I235" s="116" t="str">
        <f ca="1">IFERROR(__xludf.DUMMYFUNCTION("""COMPUTED_VALUE"""),"1304")</f>
        <v>1304</v>
      </c>
      <c r="J235" s="116" t="str">
        <f ca="1">IFERROR(__xludf.DUMMYFUNCTION("""COMPUTED_VALUE"""),"105163")</f>
        <v>105163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IFERROR(__xludf.DUMMYFUNCTION("""COMPUTED_VALUE"""),"17020158")</f>
        <v>17020158</v>
      </c>
      <c r="B236" s="114" t="str">
        <f ca="1">IFERROR(__xludf.DUMMYFUNCTION("""COMPUTED_VALUE"""),"Gurupi")</f>
        <v>Gurupi</v>
      </c>
      <c r="C236" s="114" t="str">
        <f ca="1">IFERROR(__xludf.DUMMYFUNCTION("""COMPUTED_VALUE"""),"Sandolandia")</f>
        <v>Sandolandia</v>
      </c>
      <c r="D236" s="115" t="str">
        <f ca="1">IFERROR(__xludf.DUMMYFUNCTION("""COMPUTED_VALUE"""),"ASS. DE APOIO ESC. EST.PE.JOSE DE ANCHIETA")</f>
        <v>ASS. DE APOIO ESC. EST.PE.JOSE DE ANCHIETA</v>
      </c>
      <c r="E236" s="114" t="str">
        <f ca="1">IFERROR(__xludf.DUMMYFUNCTION("""COMPUTED_VALUE"""),"Escola Estadual Padre José de Anchieta")</f>
        <v>Escola Estadual Padre José de Anchieta</v>
      </c>
      <c r="F236" s="116" t="str">
        <f ca="1">IFERROR(__xludf.DUMMYFUNCTION("""COMPUTED_VALUE"""),"17020158")</f>
        <v>17020158</v>
      </c>
      <c r="G236" s="114" t="str">
        <f ca="1">IFERROR(__xludf.DUMMYFUNCTION("""COMPUTED_VALUE"""),"01190190000110")</f>
        <v>01190190000110</v>
      </c>
      <c r="H236" s="116" t="str">
        <f ca="1">IFERROR(__xludf.DUMMYFUNCTION("""COMPUTED_VALUE"""),"001")</f>
        <v>001</v>
      </c>
      <c r="I236" s="116" t="str">
        <f ca="1">IFERROR(__xludf.DUMMYFUNCTION("""COMPUTED_VALUE"""),"1304")</f>
        <v>1304</v>
      </c>
      <c r="J236" s="116" t="str">
        <f ca="1">IFERROR(__xludf.DUMMYFUNCTION("""COMPUTED_VALUE"""),"105171")</f>
        <v>105171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IFERROR(__xludf.DUMMYFUNCTION("""COMPUTED_VALUE"""),"17055857")</f>
        <v>17055857</v>
      </c>
      <c r="B237" s="114" t="str">
        <f ca="1">IFERROR(__xludf.DUMMYFUNCTION("""COMPUTED_VALUE"""),"Gurupi")</f>
        <v>Gurupi</v>
      </c>
      <c r="C237" s="114" t="str">
        <f ca="1">IFERROR(__xludf.DUMMYFUNCTION("""COMPUTED_VALUE"""),"Sao Salvador do Tocantins")</f>
        <v>Sao Salvador do Tocantins</v>
      </c>
      <c r="D237" s="115" t="str">
        <f ca="1">IFERROR(__xludf.DUMMYFUNCTION("""COMPUTED_VALUE"""),"A.A. COLEGIO ESTADUAL AGRÍCOLA JOSÉ PORFÍRIO DE SOUZA")</f>
        <v>A.A. COLEGIO ESTADUAL AGRÍCOLA JOSÉ PORFÍRIO DE SOUZA</v>
      </c>
      <c r="E237" s="114" t="str">
        <f ca="1">IFERROR(__xludf.DUMMYFUNCTION("""COMPUTED_VALUE"""),"Colégio Estadual Família Agricola José Porfírio de Souza")</f>
        <v>Colégio Estadual Família Agricola José Porfírio de Souza</v>
      </c>
      <c r="F237" s="116" t="str">
        <f ca="1">IFERROR(__xludf.DUMMYFUNCTION("""COMPUTED_VALUE"""),"17055857")</f>
        <v>17055857</v>
      </c>
      <c r="G237" s="114" t="str">
        <f ca="1">IFERROR(__xludf.DUMMYFUNCTION("""COMPUTED_VALUE"""),"49952315000128")</f>
        <v>49952315000128</v>
      </c>
      <c r="H237" s="116" t="str">
        <f ca="1">IFERROR(__xludf.DUMMYFUNCTION("""COMPUTED_VALUE"""),"001")</f>
        <v>001</v>
      </c>
      <c r="I237" s="116" t="str">
        <f ca="1">IFERROR(__xludf.DUMMYFUNCTION("""COMPUTED_VALUE"""),"4608")</f>
        <v>4608</v>
      </c>
      <c r="J237" s="116" t="str">
        <f ca="1">IFERROR(__xludf.DUMMYFUNCTION("""COMPUTED_VALUE"""),"183679")</f>
        <v>183679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 t="str">
        <f ca="1">IFERROR(__xludf.DUMMYFUNCTION("""COMPUTED_VALUE"""),"AGRÍCOLA")</f>
        <v>AGRÍCOLA</v>
      </c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IFERROR(__xludf.DUMMYFUNCTION("""COMPUTED_VALUE"""),13)</f>
        <v>13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IFERROR(__xludf.DUMMYFUNCTION("""COMPUTED_VALUE"""),"17040051")</f>
        <v>17040051</v>
      </c>
      <c r="B238" s="114" t="str">
        <f ca="1">IFERROR(__xludf.DUMMYFUNCTION("""COMPUTED_VALUE"""),"Gurupi")</f>
        <v>Gurupi</v>
      </c>
      <c r="C238" s="114" t="str">
        <f ca="1">IFERROR(__xludf.DUMMYFUNCTION("""COMPUTED_VALUE"""),"Sao Salvador do Tocantins")</f>
        <v>Sao Salvador do Tocantins</v>
      </c>
      <c r="D238" s="115" t="str">
        <f ca="1">IFERROR(__xludf.DUMMYFUNCTION("""COMPUTED_VALUE"""),"ASS.PAIS E M.ESC. EST.PORTO RIO MARANHAO")</f>
        <v>ASS.PAIS E M.ESC. EST.PORTO RIO MARANHAO</v>
      </c>
      <c r="E238" s="114" t="str">
        <f ca="1">IFERROR(__xludf.DUMMYFUNCTION("""COMPUTED_VALUE"""),"Escola Estadual Porto do Rio Maranhão")</f>
        <v>Escola Estadual Porto do Rio Maranhão</v>
      </c>
      <c r="F238" s="116" t="str">
        <f ca="1">IFERROR(__xludf.DUMMYFUNCTION("""COMPUTED_VALUE"""),"17040051")</f>
        <v>17040051</v>
      </c>
      <c r="G238" s="114" t="str">
        <f ca="1">IFERROR(__xludf.DUMMYFUNCTION("""COMPUTED_VALUE"""),"01296366000112")</f>
        <v>01296366000112</v>
      </c>
      <c r="H238" s="116" t="str">
        <f ca="1">IFERROR(__xludf.DUMMYFUNCTION("""COMPUTED_VALUE"""),"001")</f>
        <v>001</v>
      </c>
      <c r="I238" s="116" t="str">
        <f ca="1">IFERROR(__xludf.DUMMYFUNCTION("""COMPUTED_VALUE"""),"4608")</f>
        <v>4608</v>
      </c>
      <c r="J238" s="116" t="str">
        <f ca="1">IFERROR(__xludf.DUMMYFUNCTION("""COMPUTED_VALUE"""),"70270")</f>
        <v>70270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/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IFERROR(__xludf.DUMMYFUNCTION("""COMPUTED_VALUE"""),0)</f>
        <v>0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IFERROR(__xludf.DUMMYFUNCTION("""COMPUTED_VALUE"""),"17040035")</f>
        <v>17040035</v>
      </c>
      <c r="B239" s="114" t="str">
        <f ca="1">IFERROR(__xludf.DUMMYFUNCTION("""COMPUTED_VALUE"""),"Gurupi")</f>
        <v>Gurupi</v>
      </c>
      <c r="C239" s="114" t="str">
        <f ca="1">IFERROR(__xludf.DUMMYFUNCTION("""COMPUTED_VALUE"""),"Sao Salvador do Tocantins")</f>
        <v>Sao Salvador do Tocantins</v>
      </c>
      <c r="D239" s="115" t="str">
        <f ca="1">IFERROR(__xludf.DUMMYFUNCTION("""COMPUTED_VALUE"""),"A.A DA ESCOLA ESTADUAL RETIRO")</f>
        <v>A.A DA ESCOLA ESTADUAL RETIRO</v>
      </c>
      <c r="E239" s="114" t="str">
        <f ca="1">IFERROR(__xludf.DUMMYFUNCTION("""COMPUTED_VALUE"""),"Escola Estadual Retiro")</f>
        <v>Escola Estadual Retiro</v>
      </c>
      <c r="F239" s="116" t="str">
        <f ca="1">IFERROR(__xludf.DUMMYFUNCTION("""COMPUTED_VALUE"""),"17040035")</f>
        <v>17040035</v>
      </c>
      <c r="G239" s="114" t="str">
        <f ca="1">IFERROR(__xludf.DUMMYFUNCTION("""COMPUTED_VALUE"""),"04205236000115")</f>
        <v>04205236000115</v>
      </c>
      <c r="H239" s="116" t="str">
        <f ca="1">IFERROR(__xludf.DUMMYFUNCTION("""COMPUTED_VALUE"""),"001")</f>
        <v>001</v>
      </c>
      <c r="I239" s="116" t="str">
        <f ca="1">IFERROR(__xludf.DUMMYFUNCTION("""COMPUTED_VALUE"""),"4608")</f>
        <v>4608</v>
      </c>
      <c r="J239" s="116" t="str">
        <f ca="1">IFERROR(__xludf.DUMMYFUNCTION("""COMPUTED_VALUE"""),"73563")</f>
        <v>73563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IFERROR(__xludf.DUMMYFUNCTION("""COMPUTED_VALUE"""),"Integral")</f>
        <v>Integral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IFERROR(__xludf.DUMMYFUNCTION("""COMPUTED_VALUE"""),"17036917")</f>
        <v>17036917</v>
      </c>
      <c r="B240" s="114" t="str">
        <f ca="1">IFERROR(__xludf.DUMMYFUNCTION("""COMPUTED_VALUE"""),"Gurupi")</f>
        <v>Gurupi</v>
      </c>
      <c r="C240" s="114" t="str">
        <f ca="1">IFERROR(__xludf.DUMMYFUNCTION("""COMPUTED_VALUE"""),"Sao Valerio da Natividade")</f>
        <v>Sao Valerio da Natividade</v>
      </c>
      <c r="D240" s="115" t="str">
        <f ca="1">IFERROR(__xludf.DUMMYFUNCTION("""COMPUTED_VALUE"""),"A.P.M.E ALUNOS COL. EST. REGINA S. CAMPOS")</f>
        <v>A.P.M.E ALUNOS COL. EST. REGINA S. CAMPOS</v>
      </c>
      <c r="E240" s="114" t="str">
        <f ca="1">IFERROR(__xludf.DUMMYFUNCTION("""COMPUTED_VALUE"""),"Colégio Estadual Regina Siqueira Campos")</f>
        <v>Colégio Estadual Regina Siqueira Campos</v>
      </c>
      <c r="F240" s="116" t="str">
        <f ca="1">IFERROR(__xludf.DUMMYFUNCTION("""COMPUTED_VALUE"""),"17036917")</f>
        <v>17036917</v>
      </c>
      <c r="G240" s="114" t="str">
        <f ca="1">IFERROR(__xludf.DUMMYFUNCTION("""COMPUTED_VALUE"""),"01431377000168")</f>
        <v>01431377000168</v>
      </c>
      <c r="H240" s="116" t="str">
        <f ca="1">IFERROR(__xludf.DUMMYFUNCTION("""COMPUTED_VALUE"""),"001")</f>
        <v>001</v>
      </c>
      <c r="I240" s="116" t="str">
        <f ca="1">IFERROR(__xludf.DUMMYFUNCTION("""COMPUTED_VALUE"""),"0794")</f>
        <v>0794</v>
      </c>
      <c r="J240" s="116" t="str">
        <f ca="1">IFERROR(__xludf.DUMMYFUNCTION("""COMPUTED_VALUE"""),"52477")</f>
        <v>52477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IFERROR(__xludf.DUMMYFUNCTION("""COMPUTED_VALUE"""),"Parcial")</f>
        <v>Parcial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IFERROR(__xludf.DUMMYFUNCTION("""COMPUTED_VALUE"""),0)</f>
        <v>0</v>
      </c>
      <c r="AK240" s="114"/>
      <c r="AL240" s="117"/>
    </row>
    <row r="241" spans="1:38" ht="12.75">
      <c r="A241" s="113" t="str">
        <f ca="1">IFERROR(__xludf.DUMMYFUNCTION("""COMPUTED_VALUE"""),"17023319")</f>
        <v>17023319</v>
      </c>
      <c r="B241" s="114" t="str">
        <f ca="1">IFERROR(__xludf.DUMMYFUNCTION("""COMPUTED_VALUE"""),"Gurupi")</f>
        <v>Gurupi</v>
      </c>
      <c r="C241" s="114" t="str">
        <f ca="1">IFERROR(__xludf.DUMMYFUNCTION("""COMPUTED_VALUE"""),"Sucupira")</f>
        <v>Sucupira</v>
      </c>
      <c r="D241" s="115" t="str">
        <f ca="1">IFERROR(__xludf.DUMMYFUNCTION("""COMPUTED_VALUE"""),"AS. APOIO ESCOLA ESTADUAL OLAVO BILAC")</f>
        <v>AS. APOIO ESCOLA ESTADUAL OLAVO BILAC</v>
      </c>
      <c r="E241" s="114" t="str">
        <f ca="1">IFERROR(__xludf.DUMMYFUNCTION("""COMPUTED_VALUE"""),"Colégio Estadual Olavo Bilac-Sucupira")</f>
        <v>Colégio Estadual Olavo Bilac-Sucupira</v>
      </c>
      <c r="F241" s="116" t="str">
        <f ca="1">IFERROR(__xludf.DUMMYFUNCTION("""COMPUTED_VALUE"""),"17023319")</f>
        <v>17023319</v>
      </c>
      <c r="G241" s="114" t="str">
        <f ca="1">IFERROR(__xludf.DUMMYFUNCTION("""COMPUTED_VALUE"""),"01268287000106")</f>
        <v>01268287000106</v>
      </c>
      <c r="H241" s="116" t="str">
        <f ca="1">IFERROR(__xludf.DUMMYFUNCTION("""COMPUTED_VALUE"""),"001")</f>
        <v>001</v>
      </c>
      <c r="I241" s="116" t="str">
        <f ca="1">IFERROR(__xludf.DUMMYFUNCTION("""COMPUTED_VALUE"""),"0794")</f>
        <v>0794</v>
      </c>
      <c r="J241" s="116" t="str">
        <f ca="1">IFERROR(__xludf.DUMMYFUNCTION("""COMPUTED_VALUE"""),"245852")</f>
        <v>245852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/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IFERROR(__xludf.DUMMYFUNCTION("""COMPUTED_VALUE"""),"17052963")</f>
        <v>17052963</v>
      </c>
      <c r="B242" s="114" t="str">
        <f ca="1">IFERROR(__xludf.DUMMYFUNCTION("""COMPUTED_VALUE"""),"Gurupi")</f>
        <v>Gurupi</v>
      </c>
      <c r="C242" s="114" t="str">
        <f ca="1">IFERROR(__xludf.DUMMYFUNCTION("""COMPUTED_VALUE"""),"Talisma")</f>
        <v>Talisma</v>
      </c>
      <c r="D242" s="115" t="str">
        <f ca="1">IFERROR(__xludf.DUMMYFUNCTION("""COMPUTED_VALUE"""),"A.A.  DO COLEGIO ESTADUAL DE TALISMA")</f>
        <v>A.A.  DO COLEGIO ESTADUAL DE TALISMA</v>
      </c>
      <c r="E242" s="114" t="str">
        <f ca="1">IFERROR(__xludf.DUMMYFUNCTION("""COMPUTED_VALUE"""),"Colégio Estadual de Talismã")</f>
        <v>Colégio Estadual de Talismã</v>
      </c>
      <c r="F242" s="116" t="str">
        <f ca="1">IFERROR(__xludf.DUMMYFUNCTION("""COMPUTED_VALUE"""),"17052963")</f>
        <v>17052963</v>
      </c>
      <c r="G242" s="114" t="str">
        <f ca="1">IFERROR(__xludf.DUMMYFUNCTION("""COMPUTED_VALUE"""),"07547605000146")</f>
        <v>07547605000146</v>
      </c>
      <c r="H242" s="116" t="str">
        <f ca="1">IFERROR(__xludf.DUMMYFUNCTION("""COMPUTED_VALUE"""),"001")</f>
        <v>001</v>
      </c>
      <c r="I242" s="116" t="str">
        <f ca="1">IFERROR(__xludf.DUMMYFUNCTION("""COMPUTED_VALUE"""),"1303")</f>
        <v>1303</v>
      </c>
      <c r="J242" s="116" t="str">
        <f ca="1">IFERROR(__xludf.DUMMYFUNCTION("""COMPUTED_VALUE"""),"155446")</f>
        <v>155446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/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IFERROR(__xludf.DUMMYFUNCTION("""COMPUTED_VALUE"""),0)</f>
        <v>0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IFERROR(__xludf.DUMMYFUNCTION("""COMPUTED_VALUE"""),"17012350")</f>
        <v>17012350</v>
      </c>
      <c r="B243" s="114" t="str">
        <f ca="1">IFERROR(__xludf.DUMMYFUNCTION("""COMPUTED_VALUE"""),"Miracema")</f>
        <v>Miracema</v>
      </c>
      <c r="C243" s="114" t="str">
        <f ca="1">IFERROR(__xludf.DUMMYFUNCTION("""COMPUTED_VALUE"""),"dois Irmaos do Tocantins")</f>
        <v>dois Irmaos do Tocantins</v>
      </c>
      <c r="D243" s="115" t="str">
        <f ca="1">IFERROR(__xludf.DUMMYFUNCTION("""COMPUTED_VALUE"""),"A.C.E. COL PRES. CASTELO BRANCO")</f>
        <v>A.C.E. COL PRES. CASTELO BRANCO</v>
      </c>
      <c r="E243" s="114" t="str">
        <f ca="1">IFERROR(__xludf.DUMMYFUNCTION("""COMPUTED_VALUE"""),"Colégio Estadual Presidente Castelo Branco")</f>
        <v>Colégio Estadual Presidente Castelo Branco</v>
      </c>
      <c r="F243" s="116" t="str">
        <f ca="1">IFERROR(__xludf.DUMMYFUNCTION("""COMPUTED_VALUE"""),"17012350")</f>
        <v>17012350</v>
      </c>
      <c r="G243" s="114" t="str">
        <f ca="1">IFERROR(__xludf.DUMMYFUNCTION("""COMPUTED_VALUE"""),"01034882000179")</f>
        <v>01034882000179</v>
      </c>
      <c r="H243" s="116" t="str">
        <f ca="1">IFERROR(__xludf.DUMMYFUNCTION("""COMPUTED_VALUE"""),"001")</f>
        <v>001</v>
      </c>
      <c r="I243" s="116" t="str">
        <f ca="1">IFERROR(__xludf.DUMMYFUNCTION("""COMPUTED_VALUE"""),"0862")</f>
        <v>0862</v>
      </c>
      <c r="J243" s="116" t="str">
        <f ca="1">IFERROR(__xludf.DUMMYFUNCTION("""COMPUTED_VALUE"""),"68950")</f>
        <v>68950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IFERROR(__xludf.DUMMYFUNCTION("""COMPUTED_VALUE"""),"17067405")</f>
        <v>17067405</v>
      </c>
      <c r="B244" s="114" t="str">
        <f ca="1">IFERROR(__xludf.DUMMYFUNCTION("""COMPUTED_VALUE"""),"Miracema")</f>
        <v>Miracema</v>
      </c>
      <c r="C244" s="114" t="str">
        <f ca="1">IFERROR(__xludf.DUMMYFUNCTION("""COMPUTED_VALUE"""),"dois Irmaos do Tocantins")</f>
        <v>dois Irmaos do Tocantins</v>
      </c>
      <c r="D244" s="115" t="str">
        <f ca="1">IFERROR(__xludf.DUMMYFUNCTION("""COMPUTED_VALUE"""),"ASSOC. DE APOIO A ESCOLA ESPECIAL CLOVIS DE ASSIS")</f>
        <v>ASSOC. DE APOIO A ESCOLA ESPECIAL CLOVIS DE ASSIS</v>
      </c>
      <c r="E244" s="114" t="str">
        <f ca="1">IFERROR(__xludf.DUMMYFUNCTION("""COMPUTED_VALUE"""),"Escola Especial Clóvis de Assis")</f>
        <v>Escola Especial Clóvis de Assis</v>
      </c>
      <c r="F244" s="116" t="str">
        <f ca="1">IFERROR(__xludf.DUMMYFUNCTION("""COMPUTED_VALUE"""),"17067405")</f>
        <v>17067405</v>
      </c>
      <c r="G244" s="114" t="str">
        <f ca="1">IFERROR(__xludf.DUMMYFUNCTION("""COMPUTED_VALUE"""),"09327390000183")</f>
        <v>09327390000183</v>
      </c>
      <c r="H244" s="116" t="str">
        <f ca="1">IFERROR(__xludf.DUMMYFUNCTION("""COMPUTED_VALUE"""),"001")</f>
        <v>001</v>
      </c>
      <c r="I244" s="116" t="str">
        <f ca="1">IFERROR(__xludf.DUMMYFUNCTION("""COMPUTED_VALUE"""),"0862")</f>
        <v>0862</v>
      </c>
      <c r="J244" s="116" t="str">
        <f ca="1">IFERROR(__xludf.DUMMYFUNCTION("""COMPUTED_VALUE"""),"211087")</f>
        <v>211087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IFERROR(__xludf.DUMMYFUNCTION("""COMPUTED_VALUE"""),"Parcial")</f>
        <v>Parcial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IFERROR(__xludf.DUMMYFUNCTION("""COMPUTED_VALUE"""),0)</f>
        <v>0</v>
      </c>
      <c r="AK244" s="114"/>
      <c r="AL244" s="117"/>
    </row>
    <row r="245" spans="1:38" ht="12.75">
      <c r="A245" s="113" t="str">
        <f ca="1">IFERROR(__xludf.DUMMYFUNCTION("""COMPUTED_VALUE"""),"17029872")</f>
        <v>17029872</v>
      </c>
      <c r="B245" s="114" t="str">
        <f ca="1">IFERROR(__xludf.DUMMYFUNCTION("""COMPUTED_VALUE"""),"Miracema")</f>
        <v>Miracema</v>
      </c>
      <c r="C245" s="114" t="str">
        <f ca="1">IFERROR(__xludf.DUMMYFUNCTION("""COMPUTED_VALUE"""),"Lizarda")</f>
        <v>Lizarda</v>
      </c>
      <c r="D245" s="115" t="str">
        <f ca="1">IFERROR(__xludf.DUMMYFUNCTION("""COMPUTED_VALUE"""),"A. ESC. COMUN. DO COL. EST. 31 DE MARCO")</f>
        <v>A. ESC. COMUN. DO COL. EST. 31 DE MARCO</v>
      </c>
      <c r="E245" s="114" t="str">
        <f ca="1">IFERROR(__xludf.DUMMYFUNCTION("""COMPUTED_VALUE"""),"Colégio Estadual 31 de Março")</f>
        <v>Colégio Estadual 31 de Março</v>
      </c>
      <c r="F245" s="116" t="str">
        <f ca="1">IFERROR(__xludf.DUMMYFUNCTION("""COMPUTED_VALUE"""),"17029872")</f>
        <v>17029872</v>
      </c>
      <c r="G245" s="114" t="str">
        <f ca="1">IFERROR(__xludf.DUMMYFUNCTION("""COMPUTED_VALUE"""),"01232873000192")</f>
        <v>01232873000192</v>
      </c>
      <c r="H245" s="116" t="str">
        <f ca="1">IFERROR(__xludf.DUMMYFUNCTION("""COMPUTED_VALUE"""),"001")</f>
        <v>001</v>
      </c>
      <c r="I245" s="116" t="str">
        <f ca="1">IFERROR(__xludf.DUMMYFUNCTION("""COMPUTED_VALUE"""),"0862")</f>
        <v>0862</v>
      </c>
      <c r="J245" s="116" t="str">
        <f ca="1">IFERROR(__xludf.DUMMYFUNCTION("""COMPUTED_VALUE"""),"68969")</f>
        <v>68969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 t="str">
        <f ca="1">IFERROR(__xludf.DUMMYFUNCTION("""COMPUTED_VALUE"""),"E.M. INTEGRADO")</f>
        <v>E.M. INTEGRADO</v>
      </c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IFERROR(__xludf.DUMMYFUNCTION("""COMPUTED_VALUE"""),"17041880")</f>
        <v>17041880</v>
      </c>
      <c r="B246" s="114" t="str">
        <f ca="1">IFERROR(__xludf.DUMMYFUNCTION("""COMPUTED_VALUE"""),"Miracema")</f>
        <v>Miracema</v>
      </c>
      <c r="C246" s="114" t="str">
        <f ca="1">IFERROR(__xludf.DUMMYFUNCTION("""COMPUTED_VALUE"""),"Lizarda")</f>
        <v>Lizarda</v>
      </c>
      <c r="D246" s="115" t="str">
        <f ca="1">IFERROR(__xludf.DUMMYFUNCTION("""COMPUTED_VALUE"""),"ESCOLA ESTADUAL AYRTON SENNA")</f>
        <v>ESCOLA ESTADUAL AYRTON SENNA</v>
      </c>
      <c r="E246" s="114" t="str">
        <f ca="1">IFERROR(__xludf.DUMMYFUNCTION("""COMPUTED_VALUE"""),"Escola Estadual Ayrton Senna")</f>
        <v>Escola Estadual Ayrton Senna</v>
      </c>
      <c r="F246" s="116" t="str">
        <f ca="1">IFERROR(__xludf.DUMMYFUNCTION("""COMPUTED_VALUE"""),"17041880")</f>
        <v>17041880</v>
      </c>
      <c r="G246" s="114" t="str">
        <f ca="1">IFERROR(__xludf.DUMMYFUNCTION("""COMPUTED_VALUE"""),"11406586000105")</f>
        <v>11406586000105</v>
      </c>
      <c r="H246" s="116" t="str">
        <f ca="1">IFERROR(__xludf.DUMMYFUNCTION("""COMPUTED_VALUE"""),"001")</f>
        <v>001</v>
      </c>
      <c r="I246" s="116" t="str">
        <f ca="1">IFERROR(__xludf.DUMMYFUNCTION("""COMPUTED_VALUE"""),"0862")</f>
        <v>0862</v>
      </c>
      <c r="J246" s="116" t="str">
        <f ca="1">IFERROR(__xludf.DUMMYFUNCTION("""COMPUTED_VALUE"""),"270393")</f>
        <v>270393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/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IFERROR(__xludf.DUMMYFUNCTION("""COMPUTED_VALUE"""),"17113806")</f>
        <v>17113806</v>
      </c>
      <c r="B247" s="114" t="str">
        <f ca="1">IFERROR(__xludf.DUMMYFUNCTION("""COMPUTED_VALUE"""),"Miracema")</f>
        <v>Miracema</v>
      </c>
      <c r="C247" s="114" t="str">
        <f ca="1">IFERROR(__xludf.DUMMYFUNCTION("""COMPUTED_VALUE"""),"Miracema do Tocantins")</f>
        <v>Miracema do Tocantins</v>
      </c>
      <c r="D247" s="115" t="str">
        <f ca="1">IFERROR(__xludf.DUMMYFUNCTION("""COMPUTED_VALUE"""),"ASSOCIAÇÃO DE APOIO ÀS ESCOLAS INDIGENAS XERENTE")</f>
        <v>ASSOCIAÇÃO DE APOIO ÀS ESCOLAS INDIGENAS XERENTE</v>
      </c>
      <c r="E247" s="114" t="str">
        <f ca="1">IFERROR(__xludf.DUMMYFUNCTION("""COMPUTED_VALUE"""),"Associação de Apoio Ás Escolas Indigenas Xerente")</f>
        <v>Associação de Apoio Ás Escolas Indigenas Xerente</v>
      </c>
      <c r="F247" s="116" t="str">
        <f ca="1">IFERROR(__xludf.DUMMYFUNCTION("""COMPUTED_VALUE"""),"17113806")</f>
        <v>17113806</v>
      </c>
      <c r="G247" s="114" t="str">
        <f ca="1">IFERROR(__xludf.DUMMYFUNCTION("""COMPUTED_VALUE"""),"07671600000120")</f>
        <v>07671600000120</v>
      </c>
      <c r="H247" s="116" t="str">
        <f ca="1">IFERROR(__xludf.DUMMYFUNCTION("""COMPUTED_VALUE"""),"001")</f>
        <v>001</v>
      </c>
      <c r="I247" s="116" t="str">
        <f ca="1">IFERROR(__xludf.DUMMYFUNCTION("""COMPUTED_VALUE"""),"0862")</f>
        <v>0862</v>
      </c>
      <c r="J247" s="116" t="str">
        <f ca="1">IFERROR(__xludf.DUMMYFUNCTION("""COMPUTED_VALUE"""),"185884")</f>
        <v>185884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IFERROR(__xludf.DUMMYFUNCTION("""COMPUTED_VALUE"""),"17014727")</f>
        <v>17014727</v>
      </c>
      <c r="B248" s="114" t="str">
        <f ca="1">IFERROR(__xludf.DUMMYFUNCTION("""COMPUTED_VALUE"""),"Miracema")</f>
        <v>Miracema</v>
      </c>
      <c r="C248" s="114" t="str">
        <f ca="1">IFERROR(__xludf.DUMMYFUNCTION("""COMPUTED_VALUE"""),"Miracema do Tocantins")</f>
        <v>Miracema do Tocantins</v>
      </c>
      <c r="D248" s="115" t="str">
        <f ca="1">IFERROR(__xludf.DUMMYFUNCTION("""COMPUTED_VALUE"""),"ASSOC ESC COM COL EST FILOMENA MOREIRA DE PAULA")</f>
        <v>ASSOC ESC COM COL EST FILOMENA MOREIRA DE PAULA</v>
      </c>
      <c r="E248" s="114" t="str">
        <f ca="1">IFERROR(__xludf.DUMMYFUNCTION("""COMPUTED_VALUE"""),"Centro de Ensino Médio dona Filomena Moreira de Paula")</f>
        <v>Centro de Ensino Médio dona Filomena Moreira de Paula</v>
      </c>
      <c r="F248" s="116" t="str">
        <f ca="1">IFERROR(__xludf.DUMMYFUNCTION("""COMPUTED_VALUE"""),"17014727")</f>
        <v>17014727</v>
      </c>
      <c r="G248" s="114" t="str">
        <f ca="1">IFERROR(__xludf.DUMMYFUNCTION("""COMPUTED_VALUE"""),"00900200000109")</f>
        <v>00900200000109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IFERROR(__xludf.DUMMYFUNCTION("""COMPUTED_VALUE"""),"97527")</f>
        <v>97527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IFERROR(__xludf.DUMMYFUNCTION("""COMPUTED_VALUE"""),8)</f>
        <v>8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IFERROR(__xludf.DUMMYFUNCTION("""COMPUTED_VALUE"""),"17014646")</f>
        <v>17014646</v>
      </c>
      <c r="B249" s="114" t="str">
        <f ca="1">IFERROR(__xludf.DUMMYFUNCTION("""COMPUTED_VALUE"""),"Miracema")</f>
        <v>Miracema</v>
      </c>
      <c r="C249" s="114" t="str">
        <f ca="1">IFERROR(__xludf.DUMMYFUNCTION("""COMPUTED_VALUE"""),"Miracema do Tocantins")</f>
        <v>Miracema do Tocantins</v>
      </c>
      <c r="D249" s="115" t="str">
        <f ca="1">IFERROR(__xludf.DUMMYFUNCTION("""COMPUTED_VALUE"""),"ASS. DE APOIO AO CEM SANTA TEREZINHA")</f>
        <v>ASS. DE APOIO AO CEM SANTA TEREZINHA</v>
      </c>
      <c r="E249" s="114" t="str">
        <f ca="1">IFERROR(__xludf.DUMMYFUNCTION("""COMPUTED_VALUE"""),"Centro de Ensino Médio Santa Terezinha")</f>
        <v>Centro de Ensino Médio Santa Terezinha</v>
      </c>
      <c r="F249" s="116" t="str">
        <f ca="1">IFERROR(__xludf.DUMMYFUNCTION("""COMPUTED_VALUE"""),"17014646")</f>
        <v>17014646</v>
      </c>
      <c r="G249" s="114" t="str">
        <f ca="1">IFERROR(__xludf.DUMMYFUNCTION("""COMPUTED_VALUE"""),"01085211000137")</f>
        <v>01085211000137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IFERROR(__xludf.DUMMYFUNCTION("""COMPUTED_VALUE"""),"244589")</f>
        <v>244589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 t="str">
        <f ca="1">IFERROR(__xludf.DUMMYFUNCTION("""COMPUTED_VALUE"""),"CRECHE")</f>
        <v>CRECHE</v>
      </c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IFERROR(__xludf.DUMMYFUNCTION("""COMPUTED_VALUE"""),0)</f>
        <v>0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IFERROR(__xludf.DUMMYFUNCTION("""COMPUTED_VALUE"""),"17014654")</f>
        <v>17014654</v>
      </c>
      <c r="B250" s="114" t="str">
        <f ca="1">IFERROR(__xludf.DUMMYFUNCTION("""COMPUTED_VALUE"""),"Miracema")</f>
        <v>Miracema</v>
      </c>
      <c r="C250" s="114" t="str">
        <f ca="1">IFERROR(__xludf.DUMMYFUNCTION("""COMPUTED_VALUE"""),"Miracema do Tocantins")</f>
        <v>Miracema do Tocantins</v>
      </c>
      <c r="D250" s="115" t="str">
        <f ca="1">IFERROR(__xludf.DUMMYFUNCTION("""COMPUTED_VALUE"""),"SOCIEDADE EDUCADORA FEMININA/COLÉGIO TOCANTINS")</f>
        <v>SOCIEDADE EDUCADORA FEMININA/COLÉGIO TOCANTINS</v>
      </c>
      <c r="E250" s="114" t="str">
        <f ca="1">IFERROR(__xludf.DUMMYFUNCTION("""COMPUTED_VALUE"""),"Colégio Tocantins")</f>
        <v>Colégio Tocantins</v>
      </c>
      <c r="F250" s="116" t="str">
        <f ca="1">IFERROR(__xludf.DUMMYFUNCTION("""COMPUTED_VALUE"""),"17014654")</f>
        <v>17014654</v>
      </c>
      <c r="G250" s="114" t="str">
        <f ca="1">IFERROR(__xludf.DUMMYFUNCTION("""COMPUTED_VALUE"""),"61373585000694")</f>
        <v>61373585000694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IFERROR(__xludf.DUMMYFUNCTION("""COMPUTED_VALUE"""),"69086")</f>
        <v>69086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/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IFERROR(__xludf.DUMMYFUNCTION("""COMPUTED_VALUE"""),"17040884")</f>
        <v>17040884</v>
      </c>
      <c r="B251" s="114" t="str">
        <f ca="1">IFERROR(__xludf.DUMMYFUNCTION("""COMPUTED_VALUE"""),"Miracema")</f>
        <v>Miracema</v>
      </c>
      <c r="C251" s="114" t="str">
        <f ca="1">IFERROR(__xludf.DUMMYFUNCTION("""COMPUTED_VALUE"""),"Miracema do Tocantins")</f>
        <v>Miracema do Tocantins</v>
      </c>
      <c r="D251" s="115" t="str">
        <f ca="1">IFERROR(__xludf.DUMMYFUNCTION("""COMPUTED_VALUE"""),"A.P.A.DOS EXECEPCIONAIS DE MIRACEMA - APAE")</f>
        <v>A.P.A.DOS EXECEPCIONAIS DE MIRACEMA - APAE</v>
      </c>
      <c r="E251" s="114" t="str">
        <f ca="1">IFERROR(__xludf.DUMMYFUNCTION("""COMPUTED_VALUE"""),"Escola Especial Um Raio de Luz")</f>
        <v>Escola Especial Um Raio de Luz</v>
      </c>
      <c r="F251" s="116" t="str">
        <f ca="1">IFERROR(__xludf.DUMMYFUNCTION("""COMPUTED_VALUE"""),"17040884")</f>
        <v>17040884</v>
      </c>
      <c r="G251" s="114" t="str">
        <f ca="1">IFERROR(__xludf.DUMMYFUNCTION("""COMPUTED_VALUE"""),"38146965000160")</f>
        <v>38146965000160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IFERROR(__xludf.DUMMYFUNCTION("""COMPUTED_VALUE"""),"93734")</f>
        <v>93734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IFERROR(__xludf.DUMMYFUNCTION("""COMPUTED_VALUE"""),"17014751")</f>
        <v>17014751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IFERROR(__xludf.DUMMYFUNCTION("""COMPUTED_VALUE"""),"A.COM.DA ESC. EST. JOSE D. VASCONCELOS")</f>
        <v>A.COM.DA ESC. EST. JOSE D. VASCONCELOS</v>
      </c>
      <c r="E252" s="114" t="str">
        <f ca="1">IFERROR(__xludf.DUMMYFUNCTION("""COMPUTED_VALUE"""),"Escola Estadual José damasceno Vasconcelos")</f>
        <v>Escola Estadual José damasceno Vasconcelos</v>
      </c>
      <c r="F252" s="116" t="str">
        <f ca="1">IFERROR(__xludf.DUMMYFUNCTION("""COMPUTED_VALUE"""),"17014751")</f>
        <v>17014751</v>
      </c>
      <c r="G252" s="114" t="str">
        <f ca="1">IFERROR(__xludf.DUMMYFUNCTION("""COMPUTED_VALUE"""),"01068379000134")</f>
        <v>01068379000134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IFERROR(__xludf.DUMMYFUNCTION("""COMPUTED_VALUE"""),"69035")</f>
        <v>69035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IFERROR(__xludf.DUMMYFUNCTION("""COMPUTED_VALUE"""),"Parcial/Integral")</f>
        <v>Parcial/Integral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IFERROR(__xludf.DUMMYFUNCTION("""COMPUTED_VALUE"""),"17014760")</f>
        <v>17014760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IFERROR(__xludf.DUMMYFUNCTION("""COMPUTED_VALUE"""),"A.P.M.A. ESC. CONV. ONESINA BANDEIRA")</f>
        <v>A.P.M.A. ESC. CONV. ONESINA BANDEIRA</v>
      </c>
      <c r="E253" s="114" t="str">
        <f ca="1">IFERROR(__xludf.DUMMYFUNCTION("""COMPUTED_VALUE"""),"Escola Estadual Onesina Bandeira")</f>
        <v>Escola Estadual Onesina Bandeira</v>
      </c>
      <c r="F253" s="116" t="str">
        <f ca="1">IFERROR(__xludf.DUMMYFUNCTION("""COMPUTED_VALUE"""),"17014760")</f>
        <v>17014760</v>
      </c>
      <c r="G253" s="114" t="str">
        <f ca="1">IFERROR(__xludf.DUMMYFUNCTION("""COMPUTED_VALUE"""),"01133700000117")</f>
        <v>01133700000117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IFERROR(__xludf.DUMMYFUNCTION("""COMPUTED_VALUE"""),"69051")</f>
        <v>69051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 t="str">
        <f ca="1">IFERROR(__xludf.DUMMYFUNCTION("""COMPUTED_VALUE"""),"INDIGENA /QUILOMBOLA PARCIAL")</f>
        <v>INDIGENA /QUILOMBOLA PARCIAL</v>
      </c>
      <c r="AE253" s="114" t="str">
        <f ca="1">IFERROR(__xludf.DUMMYFUNCTION("""COMPUTED_VALUE"""),"Parcial")</f>
        <v>Parcial</v>
      </c>
      <c r="AF253" s="114" t="str">
        <f ca="1">IFERROR(__xludf.DUMMYFUNCTION("""COMPUTED_VALUE"""),"FE")</f>
        <v>FE</v>
      </c>
      <c r="AG253" s="114">
        <f ca="1">IFERROR(__xludf.DUMMYFUNCTION("""COMPUTED_VALUE"""),0)</f>
        <v>0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IFERROR(__xludf.DUMMYFUNCTION("""COMPUTED_VALUE"""),"17014778")</f>
        <v>17014778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IFERROR(__xludf.DUMMYFUNCTION("""COMPUTED_VALUE"""),"A.A.  DA ESCOLA ESTADUAL OSCAR SARDINHA")</f>
        <v>A.A.  DA ESCOLA ESTADUAL OSCAR SARDINHA</v>
      </c>
      <c r="E254" s="114" t="str">
        <f ca="1">IFERROR(__xludf.DUMMYFUNCTION("""COMPUTED_VALUE"""),"Escola Estadual Oscar Sardinha")</f>
        <v>Escola Estadual Oscar Sardinha</v>
      </c>
      <c r="F254" s="116" t="str">
        <f ca="1">IFERROR(__xludf.DUMMYFUNCTION("""COMPUTED_VALUE"""),"17014778")</f>
        <v>17014778</v>
      </c>
      <c r="G254" s="114" t="str">
        <f ca="1">IFERROR(__xludf.DUMMYFUNCTION("""COMPUTED_VALUE"""),"01197158000166")</f>
        <v>01197158000166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IFERROR(__xludf.DUMMYFUNCTION("""COMPUTED_VALUE"""),"6906X")</f>
        <v>6906X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/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IFERROR(__xludf.DUMMYFUNCTION("""COMPUTED_VALUE"""),"17015375")</f>
        <v>17015375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IFERROR(__xludf.DUMMYFUNCTION("""COMPUTED_VALUE"""),"Miranorte")</f>
        <v>Miranorte</v>
      </c>
      <c r="D255" s="115" t="str">
        <f ca="1">IFERROR(__xludf.DUMMYFUNCTION("""COMPUTED_VALUE"""),"ASSOC. COM. DO COL. RUI BRASIL CAVALCANTE")</f>
        <v>ASSOC. COM. DO COL. RUI BRASIL CAVALCANTE</v>
      </c>
      <c r="E255" s="114" t="str">
        <f ca="1">IFERROR(__xludf.DUMMYFUNCTION("""COMPUTED_VALUE"""),"Centro de Ensino Médio Rui Brasil Cavalcante")</f>
        <v>Centro de Ensino Médio Rui Brasil Cavalcante</v>
      </c>
      <c r="F255" s="116" t="str">
        <f ca="1">IFERROR(__xludf.DUMMYFUNCTION("""COMPUTED_VALUE"""),"17015375")</f>
        <v>17015375</v>
      </c>
      <c r="G255" s="114" t="str">
        <f ca="1">IFERROR(__xludf.DUMMYFUNCTION("""COMPUTED_VALUE"""),"01112765000186")</f>
        <v>01112765000186</v>
      </c>
      <c r="H255" s="116" t="str">
        <f ca="1">IFERROR(__xludf.DUMMYFUNCTION("""COMPUTED_VALUE"""),"001")</f>
        <v>001</v>
      </c>
      <c r="I255" s="116" t="str">
        <f ca="1">IFERROR(__xludf.DUMMYFUNCTION("""COMPUTED_VALUE"""),"4560")</f>
        <v>4560</v>
      </c>
      <c r="J255" s="116" t="str">
        <f ca="1">IFERROR(__xludf.DUMMYFUNCTION("""COMPUTED_VALUE"""),"78905")</f>
        <v>78905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 t="str">
        <f ca="1">IFERROR(__xludf.DUMMYFUNCTION("""COMPUTED_VALUE"""),"CRECHE")</f>
        <v>CRECHE</v>
      </c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IFERROR(__xludf.DUMMYFUNCTION("""COMPUTED_VALUE"""),"17015367")</f>
        <v>17015367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IFERROR(__xludf.DUMMYFUNCTION("""COMPUTED_VALUE"""),"Miranorte")</f>
        <v>Miranorte</v>
      </c>
      <c r="D256" s="115" t="str">
        <f ca="1">IFERROR(__xludf.DUMMYFUNCTION("""COMPUTED_VALUE"""),"A.A. C.E.NOSSA SENHORA DA PROVIDENCIA")</f>
        <v>A.A. C.E.NOSSA SENHORA DA PROVIDENCIA</v>
      </c>
      <c r="E256" s="114" t="str">
        <f ca="1">IFERROR(__xludf.DUMMYFUNCTION("""COMPUTED_VALUE"""),"Colégio Estadual Nossa Senhora da Providência")</f>
        <v>Colégio Estadual Nossa Senhora da Providência</v>
      </c>
      <c r="F256" s="116" t="str">
        <f ca="1">IFERROR(__xludf.DUMMYFUNCTION("""COMPUTED_VALUE"""),"17015367")</f>
        <v>17015367</v>
      </c>
      <c r="G256" s="114" t="str">
        <f ca="1">IFERROR(__xludf.DUMMYFUNCTION("""COMPUTED_VALUE"""),"01190186000151")</f>
        <v>01190186000151</v>
      </c>
      <c r="H256" s="116" t="str">
        <f ca="1">IFERROR(__xludf.DUMMYFUNCTION("""COMPUTED_VALUE"""),"001")</f>
        <v>001</v>
      </c>
      <c r="I256" s="116" t="str">
        <f ca="1">IFERROR(__xludf.DUMMYFUNCTION("""COMPUTED_VALUE"""),"4560")</f>
        <v>4560</v>
      </c>
      <c r="J256" s="116" t="str">
        <f ca="1">IFERROR(__xludf.DUMMYFUNCTION("""COMPUTED_VALUE"""),"7778X")</f>
        <v>7778X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/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IFERROR(__xludf.DUMMYFUNCTION("""COMPUTED_VALUE"""),"17047854")</f>
        <v>17047854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IFERROR(__xludf.DUMMYFUNCTION("""COMPUTED_VALUE"""),"Miranorte")</f>
        <v>Miranorte</v>
      </c>
      <c r="D257" s="115" t="str">
        <f ca="1">IFERROR(__xludf.DUMMYFUNCTION("""COMPUTED_VALUE"""),"A.A ESC. ESPECIAL CORAÇÃO DE MARIA")</f>
        <v>A.A ESC. ESPECIAL CORAÇÃO DE MARIA</v>
      </c>
      <c r="E257" s="114" t="str">
        <f ca="1">IFERROR(__xludf.DUMMYFUNCTION("""COMPUTED_VALUE"""),"Escola Especial Coração de Maria")</f>
        <v>Escola Especial Coração de Maria</v>
      </c>
      <c r="F257" s="116" t="str">
        <f ca="1">IFERROR(__xludf.DUMMYFUNCTION("""COMPUTED_VALUE"""),"17047854")</f>
        <v>17047854</v>
      </c>
      <c r="G257" s="114" t="str">
        <f ca="1">IFERROR(__xludf.DUMMYFUNCTION("""COMPUTED_VALUE"""),"07968866000130")</f>
        <v>07968866000130</v>
      </c>
      <c r="H257" s="116" t="str">
        <f ca="1">IFERROR(__xludf.DUMMYFUNCTION("""COMPUTED_VALUE"""),"001")</f>
        <v>001</v>
      </c>
      <c r="I257" s="116" t="str">
        <f ca="1">IFERROR(__xludf.DUMMYFUNCTION("""COMPUTED_VALUE"""),"0862")</f>
        <v>0862</v>
      </c>
      <c r="J257" s="116" t="str">
        <f ca="1">IFERROR(__xludf.DUMMYFUNCTION("""COMPUTED_VALUE"""),"265217")</f>
        <v>265217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IFERROR(__xludf.DUMMYFUNCTION("""COMPUTED_VALUE"""),"Parcial")</f>
        <v>Parcial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IFERROR(__xludf.DUMMYFUNCTION("""COMPUTED_VALUE"""),"17016932")</f>
        <v>17016932</v>
      </c>
      <c r="B258" s="114" t="str">
        <f ca="1">IFERROR(__xludf.DUMMYFUNCTION("""COMPUTED_VALUE"""),"Miracema")</f>
        <v>Miracema</v>
      </c>
      <c r="C258" s="114" t="str">
        <f ca="1">IFERROR(__xludf.DUMMYFUNCTION("""COMPUTED_VALUE"""),"Rio dos Bois")</f>
        <v>Rio dos Bois</v>
      </c>
      <c r="D258" s="115" t="str">
        <f ca="1">IFERROR(__xludf.DUMMYFUNCTION("""COMPUTED_VALUE"""),"A.A. ESC EST DR. VALDECY PINHEIRO")</f>
        <v>A.A. ESC EST DR. VALDECY PINHEIRO</v>
      </c>
      <c r="E258" s="114" t="str">
        <f ca="1">IFERROR(__xludf.DUMMYFUNCTION("""COMPUTED_VALUE"""),"Colégio Estadual Doutor Valdecy Pinheiro")</f>
        <v>Colégio Estadual Doutor Valdecy Pinheiro</v>
      </c>
      <c r="F258" s="116" t="str">
        <f ca="1">IFERROR(__xludf.DUMMYFUNCTION("""COMPUTED_VALUE"""),"17016932")</f>
        <v>17016932</v>
      </c>
      <c r="G258" s="114" t="str">
        <f ca="1">IFERROR(__xludf.DUMMYFUNCTION("""COMPUTED_VALUE"""),"01079937000167")</f>
        <v>01079937000167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IFERROR(__xludf.DUMMYFUNCTION("""COMPUTED_VALUE"""),"69116")</f>
        <v>69116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/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IFERROR(__xludf.DUMMYFUNCTION("""COMPUTED_VALUE"""),"17053455")</f>
        <v>17053455</v>
      </c>
      <c r="B259" s="114" t="str">
        <f ca="1">IFERROR(__xludf.DUMMYFUNCTION("""COMPUTED_VALUE"""),"Miracema")</f>
        <v>Miracema</v>
      </c>
      <c r="C259" s="114" t="str">
        <f ca="1">IFERROR(__xludf.DUMMYFUNCTION("""COMPUTED_VALUE"""),"Tocantinia")</f>
        <v>Tocantinia</v>
      </c>
      <c r="D259" s="115" t="str">
        <f ca="1">IFERROR(__xludf.DUMMYFUNCTION("""COMPUTED_VALUE"""),"ASS. APOIO AO CEM XERENTE WARA")</f>
        <v>ASS. APOIO AO CEM XERENTE WARA</v>
      </c>
      <c r="E259" s="114" t="str">
        <f ca="1">IFERROR(__xludf.DUMMYFUNCTION("""COMPUTED_VALUE"""),"Centro de Ensino Médio Indígena Xerente Wara")</f>
        <v>Centro de Ensino Médio Indígena Xerente Wara</v>
      </c>
      <c r="F259" s="116" t="str">
        <f ca="1">IFERROR(__xludf.DUMMYFUNCTION("""COMPUTED_VALUE"""),"17053455")</f>
        <v>17053455</v>
      </c>
      <c r="G259" s="114" t="str">
        <f ca="1">IFERROR(__xludf.DUMMYFUNCTION("""COMPUTED_VALUE"""),"07674098000101")</f>
        <v>07674098000101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IFERROR(__xludf.DUMMYFUNCTION("""COMPUTED_VALUE"""),"183407")</f>
        <v>183407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IFERROR(__xludf.DUMMYFUNCTION("""COMPUTED_VALUE"""),"Integral")</f>
        <v>Integral</v>
      </c>
      <c r="AF259" s="114" t="str">
        <f ca="1">IFERROR(__xludf.DUMMYFUNCTION("""COMPUTED_VALUE"""),"FE")</f>
        <v>FE</v>
      </c>
      <c r="AG259" s="114">
        <f ca="1">IFERROR(__xludf.DUMMYFUNCTION("""COMPUTED_VALUE"""),12)</f>
        <v>12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IFERROR(__xludf.DUMMYFUNCTION("""COMPUTED_VALUE"""),10)</f>
        <v>10</v>
      </c>
      <c r="AK259" s="114"/>
      <c r="AL259" s="117"/>
    </row>
    <row r="260" spans="1:38" ht="12.75">
      <c r="A260" s="113" t="str">
        <f ca="1">IFERROR(__xludf.DUMMYFUNCTION("""COMPUTED_VALUE"""),"17026946")</f>
        <v>17026946</v>
      </c>
      <c r="B260" s="114" t="str">
        <f ca="1">IFERROR(__xludf.DUMMYFUNCTION("""COMPUTED_VALUE"""),"Miracema")</f>
        <v>Miracema</v>
      </c>
      <c r="C260" s="114" t="str">
        <f ca="1">IFERROR(__xludf.DUMMYFUNCTION("""COMPUTED_VALUE"""),"Tocantinia")</f>
        <v>Tocantinia</v>
      </c>
      <c r="D260" s="115" t="str">
        <f ca="1">IFERROR(__xludf.DUMMYFUNCTION("""COMPUTED_VALUE"""),"A.COM.DO COLEGIO FREI ANTONIO CONVENIADO")</f>
        <v>A.COM.DO COLEGIO FREI ANTONIO CONVENIADO</v>
      </c>
      <c r="E260" s="114" t="str">
        <f ca="1">IFERROR(__xludf.DUMMYFUNCTION("""COMPUTED_VALUE"""),"Centro Educacional Fé E Alegria - Frei Antônio")</f>
        <v>Centro Educacional Fé E Alegria - Frei Antônio</v>
      </c>
      <c r="F260" s="116" t="str">
        <f ca="1">IFERROR(__xludf.DUMMYFUNCTION("""COMPUTED_VALUE"""),"17026946")</f>
        <v>17026946</v>
      </c>
      <c r="G260" s="114" t="str">
        <f ca="1">IFERROR(__xludf.DUMMYFUNCTION("""COMPUTED_VALUE"""),"01066427000155")</f>
        <v>01066427000155</v>
      </c>
      <c r="H260" s="116" t="str">
        <f ca="1">IFERROR(__xludf.DUMMYFUNCTION("""COMPUTED_VALUE"""),"001")</f>
        <v>001</v>
      </c>
      <c r="I260" s="116" t="str">
        <f ca="1">IFERROR(__xludf.DUMMYFUNCTION("""COMPUTED_VALUE"""),"0862")</f>
        <v>0862</v>
      </c>
      <c r="J260" s="116" t="str">
        <f ca="1">IFERROR(__xludf.DUMMYFUNCTION("""COMPUTED_VALUE"""),"68985")</f>
        <v>68985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 t="str">
        <f ca="1">IFERROR(__xludf.DUMMYFUNCTION("""COMPUTED_VALUE"""),"INDIGENA /QUILOMBOLA PARCIAL")</f>
        <v>INDIGENA /QUILOMBOLA PARCIAL</v>
      </c>
      <c r="AE260" s="114" t="str">
        <f ca="1">IFERROR(__xludf.DUMMYFUNCTION("""COMPUTED_VALUE"""),"Parcial/Integral")</f>
        <v>Parcial/Integral</v>
      </c>
      <c r="AF260" s="114" t="str">
        <f ca="1">IFERROR(__xludf.DUMMYFUNCTION("""COMPUTED_VALUE"""),"FE")</f>
        <v>FE</v>
      </c>
      <c r="AG260" s="114">
        <f ca="1">IFERROR(__xludf.DUMMYFUNCTION("""COMPUTED_VALUE"""),0)</f>
        <v>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IFERROR(__xludf.DUMMYFUNCTION("""COMPUTED_VALUE"""),20)</f>
        <v>20</v>
      </c>
      <c r="AK260" s="114"/>
      <c r="AL260" s="117"/>
    </row>
    <row r="261" spans="1:38" ht="12.75">
      <c r="A261" s="113" t="str">
        <f ca="1">IFERROR(__xludf.DUMMYFUNCTION("""COMPUTED_VALUE"""),"17026920")</f>
        <v>17026920</v>
      </c>
      <c r="B261" s="114" t="str">
        <f ca="1">IFERROR(__xludf.DUMMYFUNCTION("""COMPUTED_VALUE"""),"Miracema")</f>
        <v>Miracema</v>
      </c>
      <c r="C261" s="114" t="str">
        <f ca="1">IFERROR(__xludf.DUMMYFUNCTION("""COMPUTED_VALUE"""),"Tocantinia")</f>
        <v>Tocantinia</v>
      </c>
      <c r="D261" s="115" t="str">
        <f ca="1">IFERROR(__xludf.DUMMYFUNCTION("""COMPUTED_VALUE"""),"ASSOC. DE PAIS E MEST. DO COL. EST. BATISTA PROFª BEATRIZ R. DA SILVA")</f>
        <v>ASSOC. DE PAIS E MEST. DO COL. EST. BATISTA PROFª BEATRIZ R. DA SILVA</v>
      </c>
      <c r="E261" s="114" t="str">
        <f ca="1">IFERROR(__xludf.DUMMYFUNCTION("""COMPUTED_VALUE"""),"Colégio Estadual Batista Professora Beatriz Rodrigues da Silva")</f>
        <v>Colégio Estadual Batista Professora Beatriz Rodrigues da Silva</v>
      </c>
      <c r="F261" s="116" t="str">
        <f ca="1">IFERROR(__xludf.DUMMYFUNCTION("""COMPUTED_VALUE"""),"17026920")</f>
        <v>17026920</v>
      </c>
      <c r="G261" s="114" t="str">
        <f ca="1">IFERROR(__xludf.DUMMYFUNCTION("""COMPUTED_VALUE"""),"15132209000186")</f>
        <v>15132209000186</v>
      </c>
      <c r="H261" s="116" t="str">
        <f ca="1">IFERROR(__xludf.DUMMYFUNCTION("""COMPUTED_VALUE"""),"001")</f>
        <v>001</v>
      </c>
      <c r="I261" s="116" t="str">
        <f ca="1">IFERROR(__xludf.DUMMYFUNCTION("""COMPUTED_VALUE"""),"0862")</f>
        <v>0862</v>
      </c>
      <c r="J261" s="116" t="str">
        <f ca="1">IFERROR(__xludf.DUMMYFUNCTION("""COMPUTED_VALUE"""),"277037")</f>
        <v>277037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/>
      <c r="AE261" s="114" t="str">
        <f ca="1">IFERROR(__xludf.DUMMYFUNCTION("""COMPUTED_VALUE"""),"Parcial/Integral")</f>
        <v>Parcial/Integral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IFERROR(__xludf.DUMMYFUNCTION("""COMPUTED_VALUE"""),0)</f>
        <v>0</v>
      </c>
      <c r="AK261" s="114"/>
      <c r="AL261" s="117"/>
    </row>
    <row r="262" spans="1:38" ht="12.75">
      <c r="A262" s="113" t="str">
        <f ca="1">IFERROR(__xludf.DUMMYFUNCTION("""COMPUTED_VALUE"""),"17023394")</f>
        <v>17023394</v>
      </c>
      <c r="B262" s="114" t="str">
        <f ca="1">IFERROR(__xludf.DUMMYFUNCTION("""COMPUTED_VALUE"""),"Palmas")</f>
        <v>Palmas</v>
      </c>
      <c r="C262" s="114" t="str">
        <f ca="1">IFERROR(__xludf.DUMMYFUNCTION("""COMPUTED_VALUE"""),"Aparecida do Rio Negro")</f>
        <v>Aparecida do Rio Negro</v>
      </c>
      <c r="D262" s="115" t="str">
        <f ca="1">IFERROR(__xludf.DUMMYFUNCTION("""COMPUTED_VALUE"""),"ASS. DE AP. DO COL. EST. MEIRA MATOS")</f>
        <v>ASS. DE AP. DO COL. EST. MEIRA MATOS</v>
      </c>
      <c r="E262" s="114" t="str">
        <f ca="1">IFERROR(__xludf.DUMMYFUNCTION("""COMPUTED_VALUE"""),"Colégio Estadual de Tempo Integral Meira Matos")</f>
        <v>Colégio Estadual de Tempo Integral Meira Matos</v>
      </c>
      <c r="F262" s="116" t="str">
        <f ca="1">IFERROR(__xludf.DUMMYFUNCTION("""COMPUTED_VALUE"""),"17023394")</f>
        <v>17023394</v>
      </c>
      <c r="G262" s="114" t="str">
        <f ca="1">IFERROR(__xludf.DUMMYFUNCTION("""COMPUTED_VALUE"""),"01186452000172")</f>
        <v>01186452000172</v>
      </c>
      <c r="H262" s="116" t="str">
        <f ca="1">IFERROR(__xludf.DUMMYFUNCTION("""COMPUTED_VALUE"""),"001")</f>
        <v>001</v>
      </c>
      <c r="I262" s="116" t="str">
        <f ca="1">IFERROR(__xludf.DUMMYFUNCTION("""COMPUTED_VALUE"""),"1505")</f>
        <v>1505</v>
      </c>
      <c r="J262" s="116" t="str">
        <f ca="1">IFERROR(__xludf.DUMMYFUNCTION("""COMPUTED_VALUE"""),"327972")</f>
        <v>327972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IFERROR(__xludf.DUMMYFUNCTION("""COMPUTED_VALUE"""),"Parcial")</f>
        <v>Parcial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IFERROR(__xludf.DUMMYFUNCTION("""COMPUTED_VALUE"""),"17029864")</f>
        <v>17029864</v>
      </c>
      <c r="B263" s="114" t="str">
        <f ca="1">IFERROR(__xludf.DUMMYFUNCTION("""COMPUTED_VALUE"""),"Palmas")</f>
        <v>Palmas</v>
      </c>
      <c r="C263" s="114" t="str">
        <f ca="1">IFERROR(__xludf.DUMMYFUNCTION("""COMPUTED_VALUE"""),"Lagoa do Tocantins")</f>
        <v>Lagoa do Tocantins</v>
      </c>
      <c r="D263" s="115" t="str">
        <f ca="1">IFERROR(__xludf.DUMMYFUNCTION("""COMPUTED_VALUE"""),"ASS. DE AP. DA ESC. EST. SALMON DO A.BRITO")</f>
        <v>ASS. DE AP. DA ESC. EST. SALMON DO A.BRITO</v>
      </c>
      <c r="E263" s="114" t="str">
        <f ca="1">IFERROR(__xludf.DUMMYFUNCTION("""COMPUTED_VALUE"""),"Escola Estadual Salmon do Amaral Brito")</f>
        <v>Escola Estadual Salmon do Amaral Brito</v>
      </c>
      <c r="F263" s="116" t="str">
        <f ca="1">IFERROR(__xludf.DUMMYFUNCTION("""COMPUTED_VALUE"""),"17029864")</f>
        <v>17029864</v>
      </c>
      <c r="G263" s="114" t="str">
        <f ca="1">IFERROR(__xludf.DUMMYFUNCTION("""COMPUTED_VALUE"""),"01440941000109")</f>
        <v>01440941000109</v>
      </c>
      <c r="H263" s="116" t="str">
        <f ca="1">IFERROR(__xludf.DUMMYFUNCTION("""COMPUTED_VALUE"""),"001")</f>
        <v>001</v>
      </c>
      <c r="I263" s="116" t="str">
        <f ca="1">IFERROR(__xludf.DUMMYFUNCTION("""COMPUTED_VALUE"""),"1505")</f>
        <v>1505</v>
      </c>
      <c r="J263" s="116" t="str">
        <f ca="1">IFERROR(__xludf.DUMMYFUNCTION("""COMPUTED_VALUE"""),"465410")</f>
        <v>465410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IFERROR(__xludf.DUMMYFUNCTION("""COMPUTED_VALUE"""),"17023858")</f>
        <v>17023858</v>
      </c>
      <c r="B264" s="114" t="str">
        <f ca="1">IFERROR(__xludf.DUMMYFUNCTION("""COMPUTED_VALUE"""),"Palmas")</f>
        <v>Palmas</v>
      </c>
      <c r="C264" s="114" t="str">
        <f ca="1">IFERROR(__xludf.DUMMYFUNCTION("""COMPUTED_VALUE"""),"Lajeado")</f>
        <v>Lajeado</v>
      </c>
      <c r="D264" s="115" t="str">
        <f ca="1">IFERROR(__xludf.DUMMYFUNCTION("""COMPUTED_VALUE"""),"A.A. COM. E. E.N.SRA.DA PROVIDENCIA")</f>
        <v>A.A. COM. E. E.N.SRA.DA PROVIDENCIA</v>
      </c>
      <c r="E264" s="114" t="str">
        <f ca="1">IFERROR(__xludf.DUMMYFUNCTION("""COMPUTED_VALUE"""),"Colégio Estadual Nossa Senhora da Providência")</f>
        <v>Colégio Estadual Nossa Senhora da Providência</v>
      </c>
      <c r="F264" s="116" t="str">
        <f ca="1">IFERROR(__xludf.DUMMYFUNCTION("""COMPUTED_VALUE"""),"17023858")</f>
        <v>17023858</v>
      </c>
      <c r="G264" s="114" t="str">
        <f ca="1">IFERROR(__xludf.DUMMYFUNCTION("""COMPUTED_VALUE"""),"01138324000153")</f>
        <v>01138324000153</v>
      </c>
      <c r="H264" s="116" t="str">
        <f ca="1">IFERROR(__xludf.DUMMYFUNCTION("""COMPUTED_VALUE"""),"001")</f>
        <v>001</v>
      </c>
      <c r="I264" s="116" t="str">
        <f ca="1">IFERROR(__xludf.DUMMYFUNCTION("""COMPUTED_VALUE"""),"0862")</f>
        <v>0862</v>
      </c>
      <c r="J264" s="116" t="str">
        <f ca="1">IFERROR(__xludf.DUMMYFUNCTION("""COMPUTED_VALUE"""),"69132")</f>
        <v>69132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IFERROR(__xludf.DUMMYFUNCTION("""COMPUTED_VALUE"""),"Parcial")</f>
        <v>Parcial</v>
      </c>
      <c r="AF264" s="114" t="str">
        <f ca="1">IFERROR(__xludf.DUMMYFUNCTION("""COMPUTED_VALUE"""),"FE")</f>
        <v>FE</v>
      </c>
      <c r="AG264" s="114">
        <f ca="1">IFERROR(__xludf.DUMMYFUNCTION("""COMPUTED_VALUE"""),0)</f>
        <v>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IFERROR(__xludf.DUMMYFUNCTION("""COMPUTED_VALUE"""),0)</f>
        <v>0</v>
      </c>
      <c r="AK264" s="114"/>
      <c r="AL264" s="117"/>
    </row>
    <row r="265" spans="1:38" ht="12.75">
      <c r="A265" s="113" t="str">
        <f ca="1">IFERROR(__xludf.DUMMYFUNCTION("""COMPUTED_VALUE"""),"17030412")</f>
        <v>17030412</v>
      </c>
      <c r="B265" s="114" t="str">
        <f ca="1">IFERROR(__xludf.DUMMYFUNCTION("""COMPUTED_VALUE"""),"Palmas")</f>
        <v>Palmas</v>
      </c>
      <c r="C265" s="114" t="str">
        <f ca="1">IFERROR(__xludf.DUMMYFUNCTION("""COMPUTED_VALUE"""),"Mateiros")</f>
        <v>Mateiros</v>
      </c>
      <c r="D265" s="115" t="str">
        <f ca="1">IFERROR(__xludf.DUMMYFUNCTION("""COMPUTED_VALUE"""),"ASS. A. ESC. EST.ESTEFANIO TELES DAS CHAGAS")</f>
        <v>ASS. A. ESC. EST.ESTEFANIO TELES DAS CHAGAS</v>
      </c>
      <c r="E265" s="114" t="str">
        <f ca="1">IFERROR(__xludf.DUMMYFUNCTION("""COMPUTED_VALUE"""),"Escola Estadual Estefânio Teles das Chagas")</f>
        <v>Escola Estadual Estefânio Teles das Chagas</v>
      </c>
      <c r="F265" s="116" t="str">
        <f ca="1">IFERROR(__xludf.DUMMYFUNCTION("""COMPUTED_VALUE"""),"17030412")</f>
        <v>17030412</v>
      </c>
      <c r="G265" s="114" t="str">
        <f ca="1">IFERROR(__xludf.DUMMYFUNCTION("""COMPUTED_VALUE"""),"01206219000104")</f>
        <v>01206219000104</v>
      </c>
      <c r="H265" s="116" t="str">
        <f ca="1">IFERROR(__xludf.DUMMYFUNCTION("""COMPUTED_VALUE"""),"001")</f>
        <v>001</v>
      </c>
      <c r="I265" s="116" t="str">
        <f ca="1">IFERROR(__xludf.DUMMYFUNCTION("""COMPUTED_VALUE"""),"3962")</f>
        <v>3962</v>
      </c>
      <c r="J265" s="116" t="str">
        <f ca="1">IFERROR(__xludf.DUMMYFUNCTION("""COMPUTED_VALUE"""),"127795")</f>
        <v>127795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/>
      <c r="AE265" s="114" t="str">
        <f ca="1">IFERROR(__xludf.DUMMYFUNCTION("""COMPUTED_VALUE"""),"Parcial")</f>
        <v>Parcial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IFERROR(__xludf.DUMMYFUNCTION("""COMPUTED_VALUE"""),0)</f>
        <v>0</v>
      </c>
      <c r="AK265" s="114"/>
      <c r="AL265" s="117"/>
    </row>
    <row r="266" spans="1:38" ht="12.75">
      <c r="A266" s="113" t="str">
        <f ca="1">IFERROR(__xludf.DUMMYFUNCTION("""COMPUTED_VALUE"""),"17098807")</f>
        <v>17098807</v>
      </c>
      <c r="B266" s="114" t="str">
        <f ca="1">IFERROR(__xludf.DUMMYFUNCTION("""COMPUTED_VALUE"""),"Palmas")</f>
        <v>Palmas</v>
      </c>
      <c r="C266" s="114" t="str">
        <f ca="1">IFERROR(__xludf.DUMMYFUNCTION("""COMPUTED_VALUE"""),"Mateiros")</f>
        <v>Mateiros</v>
      </c>
      <c r="D266" s="115" t="str">
        <f ca="1">IFERROR(__xludf.DUMMYFUNCTION("""COMPUTED_VALUE"""),"ASSOC. DE APOIO A ESC. EST. SILVERIO RIBEIRO MATOS")</f>
        <v>ASSOC. DE APOIO A ESC. EST. SILVERIO RIBEIRO MATOS</v>
      </c>
      <c r="E266" s="114" t="str">
        <f ca="1">IFERROR(__xludf.DUMMYFUNCTION("""COMPUTED_VALUE"""),"Escola Estadual Silvério Ribeiro de Matos")</f>
        <v>Escola Estadual Silvério Ribeiro de Matos</v>
      </c>
      <c r="F266" s="116" t="str">
        <f ca="1">IFERROR(__xludf.DUMMYFUNCTION("""COMPUTED_VALUE"""),"17098807")</f>
        <v>17098807</v>
      </c>
      <c r="G266" s="114" t="str">
        <f ca="1">IFERROR(__xludf.DUMMYFUNCTION("""COMPUTED_VALUE"""),"13439520000147")</f>
        <v>13439520000147</v>
      </c>
      <c r="H266" s="116" t="str">
        <f ca="1">IFERROR(__xludf.DUMMYFUNCTION("""COMPUTED_VALUE"""),"001")</f>
        <v>001</v>
      </c>
      <c r="I266" s="116" t="str">
        <f ca="1">IFERROR(__xludf.DUMMYFUNCTION("""COMPUTED_VALUE"""),"3962")</f>
        <v>3962</v>
      </c>
      <c r="J266" s="116" t="str">
        <f ca="1">IFERROR(__xludf.DUMMYFUNCTION("""COMPUTED_VALUE"""),"261882")</f>
        <v>261882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 t="str">
        <f ca="1">IFERROR(__xludf.DUMMYFUNCTION("""COMPUTED_VALUE"""),"INDIGENA /QUILOMBOLA PARCIAL")</f>
        <v>INDIGENA /QUILOMBOLA PARCIAL</v>
      </c>
      <c r="AE266" s="114" t="str">
        <f ca="1">IFERROR(__xludf.DUMMYFUNCTION("""COMPUTED_VALUE"""),"Parcial")</f>
        <v>Parcial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IFERROR(__xludf.DUMMYFUNCTION("""COMPUTED_VALUE"""),"17030528")</f>
        <v>17030528</v>
      </c>
      <c r="B267" s="114" t="str">
        <f ca="1">IFERROR(__xludf.DUMMYFUNCTION("""COMPUTED_VALUE"""),"Palmas")</f>
        <v>Palmas</v>
      </c>
      <c r="C267" s="114" t="str">
        <f ca="1">IFERROR(__xludf.DUMMYFUNCTION("""COMPUTED_VALUE"""),"Novo Acordo")</f>
        <v>Novo Acordo</v>
      </c>
      <c r="D267" s="115" t="str">
        <f ca="1">IFERROR(__xludf.DUMMYFUNCTION("""COMPUTED_VALUE"""),"ASS. A. AO COL. EST. D. PEDRO I/N.ACORDO")</f>
        <v>ASS. A. AO COL. EST. D. PEDRO I/N.ACORDO</v>
      </c>
      <c r="E267" s="114" t="str">
        <f ca="1">IFERROR(__xludf.DUMMYFUNCTION("""COMPUTED_VALUE"""),"Colégio Estadual Professora Eliacena Moura Leitão / Esc Est Pedro I")</f>
        <v>Colégio Estadual Professora Eliacena Moura Leitão / Esc Est Pedro I</v>
      </c>
      <c r="F267" s="116" t="str">
        <f ca="1">IFERROR(__xludf.DUMMYFUNCTION("""COMPUTED_VALUE"""),"17030528")</f>
        <v>17030528</v>
      </c>
      <c r="G267" s="114" t="str">
        <f ca="1">IFERROR(__xludf.DUMMYFUNCTION("""COMPUTED_VALUE"""),"01133690000110")</f>
        <v>01133690000110</v>
      </c>
      <c r="H267" s="116" t="str">
        <f ca="1">IFERROR(__xludf.DUMMYFUNCTION("""COMPUTED_VALUE"""),"001")</f>
        <v>001</v>
      </c>
      <c r="I267" s="116" t="str">
        <f ca="1">IFERROR(__xludf.DUMMYFUNCTION("""COMPUTED_VALUE"""),"1505")</f>
        <v>1505</v>
      </c>
      <c r="J267" s="116" t="str">
        <f ca="1">IFERROR(__xludf.DUMMYFUNCTION("""COMPUTED_VALUE"""),"157856")</f>
        <v>157856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/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IFERROR(__xludf.DUMMYFUNCTION("""COMPUTED_VALUE"""),"17030536")</f>
        <v>17030536</v>
      </c>
      <c r="B268" s="114" t="str">
        <f ca="1">IFERROR(__xludf.DUMMYFUNCTION("""COMPUTED_VALUE"""),"Palmas")</f>
        <v>Palmas</v>
      </c>
      <c r="C268" s="114" t="str">
        <f ca="1">IFERROR(__xludf.DUMMYFUNCTION("""COMPUTED_VALUE"""),"Novo Acordo")</f>
        <v>Novo Acordo</v>
      </c>
      <c r="D268" s="115" t="str">
        <f ca="1">IFERROR(__xludf.DUMMYFUNCTION("""COMPUTED_VALUE"""),"A.A. DA ESC. EST.PEDRO MACEDO / N.ACORDO")</f>
        <v>A.A. DA ESC. EST.PEDRO MACEDO / N.ACORDO</v>
      </c>
      <c r="E268" s="114" t="str">
        <f ca="1">IFERROR(__xludf.DUMMYFUNCTION("""COMPUTED_VALUE"""),"Escola Estadual Pedro Macedo")</f>
        <v>Escola Estadual Pedro Macedo</v>
      </c>
      <c r="F268" s="116" t="str">
        <f ca="1">IFERROR(__xludf.DUMMYFUNCTION("""COMPUTED_VALUE"""),"17030536")</f>
        <v>17030536</v>
      </c>
      <c r="G268" s="114" t="str">
        <f ca="1">IFERROR(__xludf.DUMMYFUNCTION("""COMPUTED_VALUE"""),"01136004000164")</f>
        <v>01136004000164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IFERROR(__xludf.DUMMYFUNCTION("""COMPUTED_VALUE"""),"171166")</f>
        <v>171166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IFERROR(__xludf.DUMMYFUNCTION("""COMPUTED_VALUE"""),"17050294")</f>
        <v>17050294</v>
      </c>
      <c r="B269" s="114" t="str">
        <f ca="1">IFERROR(__xludf.DUMMYFUNCTION("""COMPUTED_VALUE"""),"Palmas")</f>
        <v>Palmas</v>
      </c>
      <c r="C269" s="114" t="str">
        <f ca="1">IFERROR(__xludf.DUMMYFUNCTION("""COMPUTED_VALUE"""),"Palmas")</f>
        <v>Palmas</v>
      </c>
      <c r="D269" s="115" t="str">
        <f ca="1">IFERROR(__xludf.DUMMYFUNCTION("""COMPUTED_VALUE"""),"A. DE CONSELHO ESCOLAR DO CEM 305 NORTE")</f>
        <v>A. DE CONSELHO ESCOLAR DO CEM 305 NORTE</v>
      </c>
      <c r="E269" s="114" t="str">
        <f ca="1">IFERROR(__xludf.DUMMYFUNCTION("""COMPUTED_VALUE"""),"Centro de Ensino Médio Castro Alves")</f>
        <v>Centro de Ensino Médio Castro Alves</v>
      </c>
      <c r="F269" s="116" t="str">
        <f ca="1">IFERROR(__xludf.DUMMYFUNCTION("""COMPUTED_VALUE"""),"17050294")</f>
        <v>17050294</v>
      </c>
      <c r="G269" s="114" t="str">
        <f ca="1">IFERROR(__xludf.DUMMYFUNCTION("""COMPUTED_VALUE"""),"04701394000166")</f>
        <v>04701394000166</v>
      </c>
      <c r="H269" s="116" t="str">
        <f ca="1">IFERROR(__xludf.DUMMYFUNCTION("""COMPUTED_VALUE"""),"001")</f>
        <v>001</v>
      </c>
      <c r="I269" s="116" t="str">
        <f ca="1">IFERROR(__xludf.DUMMYFUNCTION("""COMPUTED_VALUE"""),"1505")</f>
        <v>1505</v>
      </c>
      <c r="J269" s="116" t="str">
        <f ca="1">IFERROR(__xludf.DUMMYFUNCTION("""COMPUTED_VALUE"""),"455261")</f>
        <v>455261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IFERROR(__xludf.DUMMYFUNCTION("""COMPUTED_VALUE"""),"17047439")</f>
        <v>17047439</v>
      </c>
      <c r="B270" s="114" t="str">
        <f ca="1">IFERROR(__xludf.DUMMYFUNCTION("""COMPUTED_VALUE"""),"Palmas")</f>
        <v>Palmas</v>
      </c>
      <c r="C270" s="114" t="str">
        <f ca="1">IFERROR(__xludf.DUMMYFUNCTION("""COMPUTED_VALUE"""),"Palmas")</f>
        <v>Palmas</v>
      </c>
      <c r="D270" s="115" t="str">
        <f ca="1">IFERROR(__xludf.DUMMYFUNCTION("""COMPUTED_VALUE"""),"ASSOC. DE APOIO COL. EST. DE TAQUARALTO")</f>
        <v>ASSOC. DE APOIO COL. EST. DE TAQUARALTO</v>
      </c>
      <c r="E270" s="114" t="str">
        <f ca="1">IFERROR(__xludf.DUMMYFUNCTION("""COMPUTED_VALUE"""),"Centro de Ensino Médio de Taquaralto")</f>
        <v>Centro de Ensino Médio de Taquaralto</v>
      </c>
      <c r="F270" s="116" t="str">
        <f ca="1">IFERROR(__xludf.DUMMYFUNCTION("""COMPUTED_VALUE"""),"17047439")</f>
        <v>17047439</v>
      </c>
      <c r="G270" s="114" t="str">
        <f ca="1">IFERROR(__xludf.DUMMYFUNCTION("""COMPUTED_VALUE"""),"03233677000168")</f>
        <v>03233677000168</v>
      </c>
      <c r="H270" s="116" t="str">
        <f ca="1">IFERROR(__xludf.DUMMYFUNCTION("""COMPUTED_VALUE"""),"001")</f>
        <v>001</v>
      </c>
      <c r="I270" s="116" t="str">
        <f ca="1">IFERROR(__xludf.DUMMYFUNCTION("""COMPUTED_VALUE"""),"1505")</f>
        <v>1505</v>
      </c>
      <c r="J270" s="116" t="str">
        <f ca="1">IFERROR(__xludf.DUMMYFUNCTION("""COMPUTED_VALUE"""),"455059")</f>
        <v>455059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IFERROR(__xludf.DUMMYFUNCTION("""COMPUTED_VALUE"""),"17026172")</f>
        <v>17026172</v>
      </c>
      <c r="B271" s="114" t="str">
        <f ca="1">IFERROR(__xludf.DUMMYFUNCTION("""COMPUTED_VALUE"""),"Palmas")</f>
        <v>Palmas</v>
      </c>
      <c r="C271" s="114" t="str">
        <f ca="1">IFERROR(__xludf.DUMMYFUNCTION("""COMPUTED_VALUE"""),"Palmas")</f>
        <v>Palmas</v>
      </c>
      <c r="D271" s="115" t="str">
        <f ca="1">IFERROR(__xludf.DUMMYFUNCTION("""COMPUTED_VALUE"""),"A.AP. DO COL. EST. SANTA RITA DE CASSIA")</f>
        <v>A.AP. DO COL. EST. SANTA RITA DE CASSIA</v>
      </c>
      <c r="E271" s="114" t="str">
        <f ca="1">IFERROR(__xludf.DUMMYFUNCTION("""COMPUTED_VALUE"""),"Centro de Ensino Médio Santa Rita de Cássia")</f>
        <v>Centro de Ensino Médio Santa Rita de Cássia</v>
      </c>
      <c r="F271" s="116" t="str">
        <f ca="1">IFERROR(__xludf.DUMMYFUNCTION("""COMPUTED_VALUE"""),"17026172")</f>
        <v>17026172</v>
      </c>
      <c r="G271" s="114" t="str">
        <f ca="1">IFERROR(__xludf.DUMMYFUNCTION("""COMPUTED_VALUE"""),"01955414000137")</f>
        <v>01955414000137</v>
      </c>
      <c r="H271" s="116" t="str">
        <f ca="1">IFERROR(__xludf.DUMMYFUNCTION("""COMPUTED_VALUE"""),"001")</f>
        <v>001</v>
      </c>
      <c r="I271" s="116" t="str">
        <f ca="1">IFERROR(__xludf.DUMMYFUNCTION("""COMPUTED_VALUE"""),"1505")</f>
        <v>1505</v>
      </c>
      <c r="J271" s="116" t="str">
        <f ca="1">IFERROR(__xludf.DUMMYFUNCTION("""COMPUTED_VALUE"""),"256579")</f>
        <v>256579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/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IFERROR(__xludf.DUMMYFUNCTION("""COMPUTED_VALUE"""),16)</f>
        <v>16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IFERROR(__xludf.DUMMYFUNCTION("""COMPUTED_VALUE"""),"17026229")</f>
        <v>17026229</v>
      </c>
      <c r="B272" s="114" t="str">
        <f ca="1">IFERROR(__xludf.DUMMYFUNCTION("""COMPUTED_VALUE"""),"Palmas")</f>
        <v>Palmas</v>
      </c>
      <c r="C272" s="114" t="str">
        <f ca="1">IFERROR(__xludf.DUMMYFUNCTION("""COMPUTED_VALUE"""),"Palmas")</f>
        <v>Palmas</v>
      </c>
      <c r="D272" s="115" t="str">
        <f ca="1">IFERROR(__xludf.DUMMYFUNCTION("""COMPUTED_VALUE"""),"ASSOC. COMUN.ESCOLAR DA ESC. EST. TIRADENTES")</f>
        <v>ASSOC. COMUN.ESCOLAR DA ESC. EST. TIRADENTES</v>
      </c>
      <c r="E272" s="114" t="str">
        <f ca="1">IFERROR(__xludf.DUMMYFUNCTION("""COMPUTED_VALUE"""),"Centro de Ensino Médio Tiradentes")</f>
        <v>Centro de Ensino Médio Tiradentes</v>
      </c>
      <c r="F272" s="116" t="str">
        <f ca="1">IFERROR(__xludf.DUMMYFUNCTION("""COMPUTED_VALUE"""),"17026229")</f>
        <v>17026229</v>
      </c>
      <c r="G272" s="114" t="str">
        <f ca="1">IFERROR(__xludf.DUMMYFUNCTION("""COMPUTED_VALUE"""),"00862122000197")</f>
        <v>00862122000197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IFERROR(__xludf.DUMMYFUNCTION("""COMPUTED_VALUE"""),"250562")</f>
        <v>250562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IFERROR(__xludf.DUMMYFUNCTION("""COMPUTED_VALUE"""),0)</f>
        <v>0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IFERROR(__xludf.DUMMYFUNCTION("""COMPUTED_VALUE"""),"17026164")</f>
        <v>17026164</v>
      </c>
      <c r="B273" s="114" t="str">
        <f ca="1">IFERROR(__xludf.DUMMYFUNCTION("""COMPUTED_VALUE"""),"Palmas")</f>
        <v>Palmas</v>
      </c>
      <c r="C273" s="114" t="str">
        <f ca="1">IFERROR(__xludf.DUMMYFUNCTION("""COMPUTED_VALUE"""),"Palmas")</f>
        <v>Palmas</v>
      </c>
      <c r="D273" s="115" t="str">
        <f ca="1">IFERROR(__xludf.DUMMYFUNCTION("""COMPUTED_VALUE"""),"ASSOC. DE APOIO COL. DA POLICIA MILITAR DO TOCANTINS")</f>
        <v>ASSOC. DE APOIO COL. DA POLICIA MILITAR DO TOCANTINS</v>
      </c>
      <c r="E273" s="114" t="str">
        <f ca="1">IFERROR(__xludf.DUMMYFUNCTION("""COMPUTED_VALUE"""),"Colégio da Polícia Antonio Luiz Maya - Unidade II")</f>
        <v>Colégio da Polícia Antonio Luiz Maya - Unidade II</v>
      </c>
      <c r="F273" s="116" t="str">
        <f ca="1">IFERROR(__xludf.DUMMYFUNCTION("""COMPUTED_VALUE"""),"17026164")</f>
        <v>17026164</v>
      </c>
      <c r="G273" s="114" t="str">
        <f ca="1">IFERROR(__xludf.DUMMYFUNCTION("""COMPUTED_VALUE"""),"02050257000183")</f>
        <v>02050257000183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IFERROR(__xludf.DUMMYFUNCTION("""COMPUTED_VALUE"""),"455466")</f>
        <v>455466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IFERROR(__xludf.DUMMYFUNCTION("""COMPUTED_VALUE"""),56)</f>
        <v>56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IFERROR(__xludf.DUMMYFUNCTION("""COMPUTED_VALUE"""),"17068800")</f>
        <v>17068800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IFERROR(__xludf.DUMMYFUNCTION("""COMPUTED_VALUE"""),"ASSOCIAÇÃO DE APOIO A ESC. ESTADUAL DA 403 SUL")</f>
        <v>ASSOCIAÇÃO DE APOIO A ESC. ESTADUAL DA 403 SUL</v>
      </c>
      <c r="E274" s="114" t="str">
        <f ca="1">IFERROR(__xludf.DUMMYFUNCTION("""COMPUTED_VALUE"""),"Colégio da Polícia Militar do Estado do Tocantins - Unidade I")</f>
        <v>Colégio da Polícia Militar do Estado do Tocantins - Unidade I</v>
      </c>
      <c r="F274" s="116" t="str">
        <f ca="1">IFERROR(__xludf.DUMMYFUNCTION("""COMPUTED_VALUE"""),"17068800")</f>
        <v>17068800</v>
      </c>
      <c r="G274" s="114" t="str">
        <f ca="1">IFERROR(__xludf.DUMMYFUNCTION("""COMPUTED_VALUE"""),"11332101000186")</f>
        <v>11332101000186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IFERROR(__xludf.DUMMYFUNCTION("""COMPUTED_VALUE"""),"467588")</f>
        <v>467588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IFERROR(__xludf.DUMMYFUNCTION("""COMPUTED_VALUE"""),0)</f>
        <v>0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IFERROR(__xludf.DUMMYFUNCTION("""COMPUTED_VALUE"""),61)</f>
        <v>61</v>
      </c>
      <c r="AK274" s="114"/>
      <c r="AL274" s="117"/>
    </row>
    <row r="275" spans="1:38" ht="12.75">
      <c r="A275" s="113" t="str">
        <f ca="1">IFERROR(__xludf.DUMMYFUNCTION("""COMPUTED_VALUE"""),"17026253")</f>
        <v>17026253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IFERROR(__xludf.DUMMYFUNCTION("""COMPUTED_VALUE"""),"A.C.ESC.M.FUT. C.E. CRIANCA ESPERANCA")</f>
        <v>A.C.ESC.M.FUT. C.E. CRIANCA ESPERANCA</v>
      </c>
      <c r="E275" s="114" t="str">
        <f ca="1">IFERROR(__xludf.DUMMYFUNCTION("""COMPUTED_VALUE"""),"Colégio Estadual Criança Esperança")</f>
        <v>Colégio Estadual Criança Esperança</v>
      </c>
      <c r="F275" s="116" t="str">
        <f ca="1">IFERROR(__xludf.DUMMYFUNCTION("""COMPUTED_VALUE"""),"17026253")</f>
        <v>17026253</v>
      </c>
      <c r="G275" s="114" t="str">
        <f ca="1">IFERROR(__xludf.DUMMYFUNCTION("""COMPUTED_VALUE"""),"01920781000103")</f>
        <v>01920781000103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IFERROR(__xludf.DUMMYFUNCTION("""COMPUTED_VALUE"""),"455369")</f>
        <v>455369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IFERROR(__xludf.DUMMYFUNCTION("""COMPUTED_VALUE"""),0)</f>
        <v>0</v>
      </c>
      <c r="AK275" s="114"/>
      <c r="AL275" s="117"/>
    </row>
    <row r="276" spans="1:38" ht="12.75">
      <c r="A276" s="113" t="str">
        <f ca="1">IFERROR(__xludf.DUMMYFUNCTION("""COMPUTED_VALUE"""),"17026270")</f>
        <v>17026270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 COM. E-E. E. DOM ALANO MARIE DU NODAY")</f>
        <v>A. COM. E-E. E. DOM ALANO MARIE DU NODAY</v>
      </c>
      <c r="E276" s="114" t="str">
        <f ca="1">IFERROR(__xludf.DUMMYFUNCTION("""COMPUTED_VALUE"""),"Colégio Estadual dom Alano Marie Du Noday")</f>
        <v>Colégio Estadual dom Alano Marie Du Noday</v>
      </c>
      <c r="F276" s="116" t="str">
        <f ca="1">IFERROR(__xludf.DUMMYFUNCTION("""COMPUTED_VALUE"""),"17026270")</f>
        <v>17026270</v>
      </c>
      <c r="G276" s="114" t="str">
        <f ca="1">IFERROR(__xludf.DUMMYFUNCTION("""COMPUTED_VALUE"""),"01343125000187")</f>
        <v>01343125000187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IFERROR(__xludf.DUMMYFUNCTION("""COMPUTED_VALUE"""),"265810")</f>
        <v>265810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IFERROR(__xludf.DUMMYFUNCTION("""COMPUTED_VALUE"""),0)</f>
        <v>0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IFERROR(__xludf.DUMMYFUNCTION("""COMPUTED_VALUE"""),"17026288")</f>
        <v>17026288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IFERROR(__xludf.DUMMYFUNCTION("""COMPUTED_VALUE"""),"ACE COL. EST. DUQUE DE CAXIAS")</f>
        <v>ACE COL. EST. DUQUE DE CAXIAS</v>
      </c>
      <c r="E277" s="114" t="str">
        <f ca="1">IFERROR(__xludf.DUMMYFUNCTION("""COMPUTED_VALUE"""),"Colégio Estadual Duque de Caxias")</f>
        <v>Colégio Estadual Duque de Caxias</v>
      </c>
      <c r="F277" s="116" t="str">
        <f ca="1">IFERROR(__xludf.DUMMYFUNCTION("""COMPUTED_VALUE"""),"17026288")</f>
        <v>17026288</v>
      </c>
      <c r="G277" s="114" t="str">
        <f ca="1">IFERROR(__xludf.DUMMYFUNCTION("""COMPUTED_VALUE"""),"01588669000109")</f>
        <v>01588669000109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IFERROR(__xludf.DUMMYFUNCTION("""COMPUTED_VALUE"""),"254002")</f>
        <v>254002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IFERROR(__xludf.DUMMYFUNCTION("""COMPUTED_VALUE"""),"17026350")</f>
        <v>17026350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IFERROR(__xludf.DUMMYFUNCTION("""COMPUTED_VALUE"""),"A.A. AO COLEGIO ESTADUAL SAO JOSE")</f>
        <v>A.A. AO COLEGIO ESTADUAL SAO JOSE</v>
      </c>
      <c r="E278" s="114" t="str">
        <f ca="1">IFERROR(__xludf.DUMMYFUNCTION("""COMPUTED_VALUE"""),"Colégio Estadual São José")</f>
        <v>Colégio Estadual São José</v>
      </c>
      <c r="F278" s="116" t="str">
        <f ca="1">IFERROR(__xludf.DUMMYFUNCTION("""COMPUTED_VALUE"""),"17026350")</f>
        <v>17026350</v>
      </c>
      <c r="G278" s="114" t="str">
        <f ca="1">IFERROR(__xludf.DUMMYFUNCTION("""COMPUTED_VALUE"""),"01913809000177")</f>
        <v>01913809000177</v>
      </c>
      <c r="H278" s="116" t="str">
        <f ca="1">IFERROR(__xludf.DUMMYFUNCTION("""COMPUTED_VALUE"""),"001")</f>
        <v>001</v>
      </c>
      <c r="I278" s="116" t="str">
        <f ca="1">IFERROR(__xludf.DUMMYFUNCTION("""COMPUTED_VALUE"""),"1886")</f>
        <v>1886</v>
      </c>
      <c r="J278" s="116" t="str">
        <f ca="1">IFERROR(__xludf.DUMMYFUNCTION("""COMPUTED_VALUE"""),"325252")</f>
        <v>325252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IFERROR(__xludf.DUMMYFUNCTION("""COMPUTED_VALUE"""),15)</f>
        <v>15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IFERROR(__xludf.DUMMYFUNCTION("""COMPUTED_VALUE"""),"17049237")</f>
        <v>17049237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IFERROR(__xludf.DUMMYFUNCTION("""COMPUTED_VALUE"""),"A.A. COL GIRASSOL TEMPO INTEGRAL RAQUEL QUEIROZ")</f>
        <v>A.A. COL GIRASSOL TEMPO INTEGRAL RAQUEL QUEIROZ</v>
      </c>
      <c r="E279" s="114" t="str">
        <f ca="1">IFERROR(__xludf.DUMMYFUNCTION("""COMPUTED_VALUE"""),"Colégio Girassol de Tempo Integral Rachel de Queiroz")</f>
        <v>Colégio Girassol de Tempo Integral Rachel de Queiroz</v>
      </c>
      <c r="F279" s="116" t="str">
        <f ca="1">IFERROR(__xludf.DUMMYFUNCTION("""COMPUTED_VALUE"""),"17049237")</f>
        <v>17049237</v>
      </c>
      <c r="G279" s="114" t="str">
        <f ca="1">IFERROR(__xludf.DUMMYFUNCTION("""COMPUTED_VALUE"""),"13748657000183")</f>
        <v>13748657000183</v>
      </c>
      <c r="H279" s="116" t="str">
        <f ca="1">IFERROR(__xludf.DUMMYFUNCTION("""COMPUTED_VALUE"""),"001")</f>
        <v>001</v>
      </c>
      <c r="I279" s="116" t="str">
        <f ca="1">IFERROR(__xludf.DUMMYFUNCTION("""COMPUTED_VALUE"""),"1867")</f>
        <v>1867</v>
      </c>
      <c r="J279" s="116" t="str">
        <f ca="1">IFERROR(__xludf.DUMMYFUNCTION("""COMPUTED_VALUE"""),"856312")</f>
        <v>856312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IFERROR(__xludf.DUMMYFUNCTION("""COMPUTED_VALUE"""),0)</f>
        <v>0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IFERROR(__xludf.DUMMYFUNCTION("""COMPUTED_VALUE"""),0)</f>
        <v>0</v>
      </c>
      <c r="AK279" s="114"/>
      <c r="AL279" s="117"/>
    </row>
    <row r="280" spans="1:38" ht="12.75">
      <c r="A280" s="113" t="str">
        <f ca="1">IFERROR(__xludf.DUMMYFUNCTION("""COMPUTED_VALUE"""),"17040906")</f>
        <v>17040906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IFERROR(__xludf.DUMMYFUNCTION("""COMPUTED_VALUE"""),"ASSOCIAÇÃO DE APOIO DA ESCOLA ESPECIAL INTEGRAÇÃO DE PALMAS")</f>
        <v>ASSOCIAÇÃO DE APOIO DA ESCOLA ESPECIAL INTEGRAÇÃO DE PALMAS</v>
      </c>
      <c r="E280" s="114" t="str">
        <f ca="1">IFERROR(__xludf.DUMMYFUNCTION("""COMPUTED_VALUE"""),"Escola Especial Integração de Palmas")</f>
        <v>Escola Especial Integração de Palmas</v>
      </c>
      <c r="F280" s="116" t="str">
        <f ca="1">IFERROR(__xludf.DUMMYFUNCTION("""COMPUTED_VALUE"""),"17040906")</f>
        <v>17040906</v>
      </c>
      <c r="G280" s="114" t="str">
        <f ca="1">IFERROR(__xludf.DUMMYFUNCTION("""COMPUTED_VALUE"""),"07958777000102")</f>
        <v>07958777000102</v>
      </c>
      <c r="H280" s="116" t="str">
        <f ca="1">IFERROR(__xludf.DUMMYFUNCTION("""COMPUTED_VALUE"""),"001")</f>
        <v>001</v>
      </c>
      <c r="I280" s="116" t="str">
        <f ca="1">IFERROR(__xludf.DUMMYFUNCTION("""COMPUTED_VALUE"""),"1505")</f>
        <v>1505</v>
      </c>
      <c r="J280" s="116" t="str">
        <f ca="1">IFERROR(__xludf.DUMMYFUNCTION("""COMPUTED_VALUE"""),"385328")</f>
        <v>385328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IFERROR(__xludf.DUMMYFUNCTION("""COMPUTED_VALUE"""),"17026245")</f>
        <v>17026245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IFERROR(__xludf.DUMMYFUNCTION("""COMPUTED_VALUE"""),"A.COM. ESC. E. E.BEIRA RIO/PORTO NACIONAL")</f>
        <v>A.COM. ESC. E. E.BEIRA RIO/PORTO NACIONAL</v>
      </c>
      <c r="E281" s="114" t="str">
        <f ca="1">IFERROR(__xludf.DUMMYFUNCTION("""COMPUTED_VALUE"""),"Escola Estadual Beira Rio")</f>
        <v>Escola Estadual Beira Rio</v>
      </c>
      <c r="F281" s="116" t="str">
        <f ca="1">IFERROR(__xludf.DUMMYFUNCTION("""COMPUTED_VALUE"""),"17026245")</f>
        <v>17026245</v>
      </c>
      <c r="G281" s="114" t="str">
        <f ca="1">IFERROR(__xludf.DUMMYFUNCTION("""COMPUTED_VALUE"""),"01797298000175")</f>
        <v>01797298000175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IFERROR(__xludf.DUMMYFUNCTION("""COMPUTED_VALUE"""),"209929")</f>
        <v>209929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IFERROR(__xludf.DUMMYFUNCTION("""COMPUTED_VALUE"""),"17026318")</f>
        <v>17026318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IFERROR(__xludf.DUMMYFUNCTION("""COMPUTED_VALUE"""),"A.P.E M. DA ESC. EST. MADRE BELEM")</f>
        <v>A.P.E M. DA ESC. EST. MADRE BELEM</v>
      </c>
      <c r="E282" s="114" t="str">
        <f ca="1">IFERROR(__xludf.DUMMYFUNCTION("""COMPUTED_VALUE"""),"Escola Estadual Elizangela Gloria Cardoso")</f>
        <v>Escola Estadual Elizangela Gloria Cardoso</v>
      </c>
      <c r="F282" s="116" t="str">
        <f ca="1">IFERROR(__xludf.DUMMYFUNCTION("""COMPUTED_VALUE"""),"17026318")</f>
        <v>17026318</v>
      </c>
      <c r="G282" s="114" t="str">
        <f ca="1">IFERROR(__xludf.DUMMYFUNCTION("""COMPUTED_VALUE"""),"01034134000196")</f>
        <v>01034134000196</v>
      </c>
      <c r="H282" s="116" t="str">
        <f ca="1">IFERROR(__xludf.DUMMYFUNCTION("""COMPUTED_VALUE"""),"001")</f>
        <v>001</v>
      </c>
      <c r="I282" s="116" t="str">
        <f ca="1">IFERROR(__xludf.DUMMYFUNCTION("""COMPUTED_VALUE"""),"1886")</f>
        <v>1886</v>
      </c>
      <c r="J282" s="116" t="str">
        <f ca="1">IFERROR(__xludf.DUMMYFUNCTION("""COMPUTED_VALUE"""),"519855")</f>
        <v>519855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IFERROR(__xludf.DUMMYFUNCTION("""COMPUTED_VALUE"""),"Parcial/Integral")</f>
        <v>Parcial/Integral</v>
      </c>
      <c r="AF282" s="114" t="str">
        <f ca="1">IFERROR(__xludf.DUMMYFUNCTION("""COMPUTED_VALUE"""),"FE")</f>
        <v>FE</v>
      </c>
      <c r="AG282" s="114">
        <f ca="1">IFERROR(__xludf.DUMMYFUNCTION("""COMPUTED_VALUE"""),52)</f>
        <v>52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IFERROR(__xludf.DUMMYFUNCTION("""COMPUTED_VALUE"""),"17026296")</f>
        <v>17026296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IFERROR(__xludf.DUMMYFUNCTION("""COMPUTED_VALUE"""),"ACE UN.ESC. FREDEDERICO J. PEDRERA NETO")</f>
        <v>ACE UN.ESC. FREDEDERICO J. PEDRERA NETO</v>
      </c>
      <c r="E283" s="114" t="str">
        <f ca="1">IFERROR(__xludf.DUMMYFUNCTION("""COMPUTED_VALUE"""),"Escola Estadual Frederico José Pedreira Neto")</f>
        <v>Escola Estadual Frederico José Pedreira Neto</v>
      </c>
      <c r="F283" s="116" t="str">
        <f ca="1">IFERROR(__xludf.DUMMYFUNCTION("""COMPUTED_VALUE"""),"17026296")</f>
        <v>17026296</v>
      </c>
      <c r="G283" s="114" t="str">
        <f ca="1">IFERROR(__xludf.DUMMYFUNCTION("""COMPUTED_VALUE"""),"01862534000190")</f>
        <v>01862534000190</v>
      </c>
      <c r="H283" s="116" t="str">
        <f ca="1">IFERROR(__xludf.DUMMYFUNCTION("""COMPUTED_VALUE"""),"001")</f>
        <v>001</v>
      </c>
      <c r="I283" s="116" t="str">
        <f ca="1">IFERROR(__xludf.DUMMYFUNCTION("""COMPUTED_VALUE"""),"1867")</f>
        <v>1867</v>
      </c>
      <c r="J283" s="116" t="str">
        <f ca="1">IFERROR(__xludf.DUMMYFUNCTION("""COMPUTED_VALUE"""),"1079972")</f>
        <v>1079972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IFERROR(__xludf.DUMMYFUNCTION("""COMPUTED_VALUE"""),"Integral")</f>
        <v>Integral</v>
      </c>
      <c r="AF283" s="114" t="str">
        <f ca="1">IFERROR(__xludf.DUMMYFUNCTION("""COMPUTED_VALUE"""),"FE")</f>
        <v>FE</v>
      </c>
      <c r="AG283" s="114">
        <f ca="1">IFERROR(__xludf.DUMMYFUNCTION("""COMPUTED_VALUE"""),0)</f>
        <v>0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IFERROR(__xludf.DUMMYFUNCTION("""COMPUTED_VALUE"""),"17026300")</f>
        <v>17026300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IFERROR(__xludf.DUMMYFUNCTION("""COMPUTED_VALUE"""),"A.CONS.ESCOLAR E. EST.I GRAU LIBERDADE")</f>
        <v>A.CONS.ESCOLAR E. EST.I GRAU LIBERDADE</v>
      </c>
      <c r="E284" s="114" t="str">
        <f ca="1">IFERROR(__xludf.DUMMYFUNCTION("""COMPUTED_VALUE"""),"Escola Estadual Liberdade")</f>
        <v>Escola Estadual Liberdade</v>
      </c>
      <c r="F284" s="116" t="str">
        <f ca="1">IFERROR(__xludf.DUMMYFUNCTION("""COMPUTED_VALUE"""),"17026300")</f>
        <v>17026300</v>
      </c>
      <c r="G284" s="114" t="str">
        <f ca="1">IFERROR(__xludf.DUMMYFUNCTION("""COMPUTED_VALUE"""),"01936355000150")</f>
        <v>01936355000150</v>
      </c>
      <c r="H284" s="116" t="str">
        <f ca="1">IFERROR(__xludf.DUMMYFUNCTION("""COMPUTED_VALUE"""),"001")</f>
        <v>001</v>
      </c>
      <c r="I284" s="116" t="str">
        <f ca="1">IFERROR(__xludf.DUMMYFUNCTION("""COMPUTED_VALUE"""),"1505")</f>
        <v>1505</v>
      </c>
      <c r="J284" s="116" t="str">
        <f ca="1">IFERROR(__xludf.DUMMYFUNCTION("""COMPUTED_VALUE"""),"257028")</f>
        <v>257028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IFERROR(__xludf.DUMMYFUNCTION("""COMPUTED_VALUE"""),"Parcial")</f>
        <v>Parcial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IFERROR(__xludf.DUMMYFUNCTION("""COMPUTED_VALUE"""),"17054060")</f>
        <v>17054060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IFERROR(__xludf.DUMMYFUNCTION("""COMPUTED_VALUE"""),"ASSOC APOIO ESC EST MARIA DOS REIS ALVES BARROS")</f>
        <v>ASSOC APOIO ESC EST MARIA DOS REIS ALVES BARROS</v>
      </c>
      <c r="E285" s="114" t="str">
        <f ca="1">IFERROR(__xludf.DUMMYFUNCTION("""COMPUTED_VALUE"""),"Escola Estadual Maria dos Reis Alves Barros")</f>
        <v>Escola Estadual Maria dos Reis Alves Barros</v>
      </c>
      <c r="F285" s="116" t="str">
        <f ca="1">IFERROR(__xludf.DUMMYFUNCTION("""COMPUTED_VALUE"""),"17054060")</f>
        <v>17054060</v>
      </c>
      <c r="G285" s="114" t="str">
        <f ca="1">IFERROR(__xludf.DUMMYFUNCTION("""COMPUTED_VALUE"""),"08641263000191")</f>
        <v>08641263000191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IFERROR(__xludf.DUMMYFUNCTION("""COMPUTED_VALUE"""),"413666")</f>
        <v>413666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IFERROR(__xludf.DUMMYFUNCTION("""COMPUTED_VALUE"""),"17026334")</f>
        <v>17026334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IFERROR(__xludf.DUMMYFUNCTION("""COMPUTED_VALUE"""),"A.COM. DA ESC. EST. NOVO HORIZONTE")</f>
        <v>A.COM. DA ESC. EST. NOVO HORIZONTE</v>
      </c>
      <c r="E286" s="114" t="str">
        <f ca="1">IFERROR(__xludf.DUMMYFUNCTION("""COMPUTED_VALUE"""),"Escola Estadual Novo Horizonte")</f>
        <v>Escola Estadual Novo Horizonte</v>
      </c>
      <c r="F286" s="116" t="str">
        <f ca="1">IFERROR(__xludf.DUMMYFUNCTION("""COMPUTED_VALUE"""),"17026334")</f>
        <v>17026334</v>
      </c>
      <c r="G286" s="114" t="str">
        <f ca="1">IFERROR(__xludf.DUMMYFUNCTION("""COMPUTED_VALUE"""),"01221539000133")</f>
        <v>01221539000133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IFERROR(__xludf.DUMMYFUNCTION("""COMPUTED_VALUE"""),"351687")</f>
        <v>351687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IFERROR(__xludf.DUMMYFUNCTION("""COMPUTED_VALUE"""),"17054532")</f>
        <v>17054532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IFERROR(__xludf.DUMMYFUNCTION("""COMPUTED_VALUE"""),"ASSOC.COMUNIDADE ESC. ESTADUAL RURAL ENTRE RIOS")</f>
        <v>ASSOC.COMUNIDADE ESC. ESTADUAL RURAL ENTRE RIOS</v>
      </c>
      <c r="E287" s="114" t="str">
        <f ca="1">IFERROR(__xludf.DUMMYFUNCTION("""COMPUTED_VALUE"""),"Escola Estadual Rural Entre Rios")</f>
        <v>Escola Estadual Rural Entre Rios</v>
      </c>
      <c r="F287" s="116" t="str">
        <f ca="1">IFERROR(__xludf.DUMMYFUNCTION("""COMPUTED_VALUE"""),"17054532")</f>
        <v>17054532</v>
      </c>
      <c r="G287" s="114" t="str">
        <f ca="1">IFERROR(__xludf.DUMMYFUNCTION("""COMPUTED_VALUE"""),"11257180000108")</f>
        <v>11257180000108</v>
      </c>
      <c r="H287" s="116" t="str">
        <f ca="1">IFERROR(__xludf.DUMMYFUNCTION("""COMPUTED_VALUE"""),"001")</f>
        <v>001</v>
      </c>
      <c r="I287" s="116" t="str">
        <f ca="1">IFERROR(__xludf.DUMMYFUNCTION("""COMPUTED_VALUE"""),"1886")</f>
        <v>1886</v>
      </c>
      <c r="J287" s="116" t="str">
        <f ca="1">IFERROR(__xludf.DUMMYFUNCTION("""COMPUTED_VALUE"""),"1464884")</f>
        <v>1464884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 t="str">
        <f ca="1">IFERROR(__xludf.DUMMYFUNCTION("""COMPUTED_VALUE"""),"AGRÍCOLA")</f>
        <v>AGRÍCOLA</v>
      </c>
      <c r="AE287" s="114" t="str">
        <f ca="1">IFERROR(__xludf.DUMMYFUNCTION("""COMPUTED_VALUE"""),"Parcial")</f>
        <v>Parcial</v>
      </c>
      <c r="AF287" s="114" t="str">
        <f ca="1">IFERROR(__xludf.DUMMYFUNCTION("""COMPUTED_VALUE"""),"FE")</f>
        <v>FE</v>
      </c>
      <c r="AG287" s="114">
        <f ca="1">IFERROR(__xludf.DUMMYFUNCTION("""COMPUTED_VALUE"""),0)</f>
        <v>0</v>
      </c>
      <c r="AH287" s="114">
        <f ca="1">IFERROR(__xludf.DUMMYFUNCTION("""COMPUTED_VALUE"""),0)</f>
        <v>0</v>
      </c>
      <c r="AI287" s="114">
        <f ca="1">IFERROR(__xludf.DUMMYFUNCTION("""COMPUTED_VALUE"""),3)</f>
        <v>3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IFERROR(__xludf.DUMMYFUNCTION("""COMPUTED_VALUE"""),"17026342")</f>
        <v>17026342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IFERROR(__xludf.DUMMYFUNCTION("""COMPUTED_VALUE"""),"A.A. DA COM. ESCOLAR - ESC. EST. SANTA FE")</f>
        <v>A.A. DA COM. ESCOLAR - ESC. EST. SANTA FE</v>
      </c>
      <c r="E288" s="114" t="str">
        <f ca="1">IFERROR(__xludf.DUMMYFUNCTION("""COMPUTED_VALUE"""),"Escola Estadual Santa Fé")</f>
        <v>Escola Estadual Santa Fé</v>
      </c>
      <c r="F288" s="116" t="str">
        <f ca="1">IFERROR(__xludf.DUMMYFUNCTION("""COMPUTED_VALUE"""),"17026342")</f>
        <v>17026342</v>
      </c>
      <c r="G288" s="114" t="str">
        <f ca="1">IFERROR(__xludf.DUMMYFUNCTION("""COMPUTED_VALUE"""),"01932049000145")</f>
        <v>01932049000145</v>
      </c>
      <c r="H288" s="116" t="str">
        <f ca="1">IFERROR(__xludf.DUMMYFUNCTION("""COMPUTED_VALUE"""),"001")</f>
        <v>001</v>
      </c>
      <c r="I288" s="116" t="str">
        <f ca="1">IFERROR(__xludf.DUMMYFUNCTION("""COMPUTED_VALUE"""),"2781")</f>
        <v>2781</v>
      </c>
      <c r="J288" s="116" t="str">
        <f ca="1">IFERROR(__xludf.DUMMYFUNCTION("""COMPUTED_VALUE"""),"261904")</f>
        <v>261904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/>
      <c r="AE288" s="114" t="str">
        <f ca="1">IFERROR(__xludf.DUMMYFUNCTION("""COMPUTED_VALUE"""),"Parcial")</f>
        <v>Parcial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IFERROR(__xludf.DUMMYFUNCTION("""COMPUTED_VALUE"""),0)</f>
        <v>0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IFERROR(__xludf.DUMMYFUNCTION("""COMPUTED_VALUE"""),"17026369")</f>
        <v>17026369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IFERROR(__xludf.DUMMYFUNCTION("""COMPUTED_VALUE"""),"A.COMUN.ESCOLA-DA ESC. EST. SETOR SUL")</f>
        <v>A.COMUN.ESCOLA-DA ESC. EST. SETOR SUL</v>
      </c>
      <c r="E289" s="114" t="str">
        <f ca="1">IFERROR(__xludf.DUMMYFUNCTION("""COMPUTED_VALUE"""),"Escola Estadual Setor Sul")</f>
        <v>Escola Estadual Setor Sul</v>
      </c>
      <c r="F289" s="116" t="str">
        <f ca="1">IFERROR(__xludf.DUMMYFUNCTION("""COMPUTED_VALUE"""),"17026369")</f>
        <v>17026369</v>
      </c>
      <c r="G289" s="114" t="str">
        <f ca="1">IFERROR(__xludf.DUMMYFUNCTION("""COMPUTED_VALUE"""),"01926545000196")</f>
        <v>01926545000196</v>
      </c>
      <c r="H289" s="116" t="str">
        <f ca="1">IFERROR(__xludf.DUMMYFUNCTION("""COMPUTED_VALUE"""),"001")</f>
        <v>001</v>
      </c>
      <c r="I289" s="116" t="str">
        <f ca="1">IFERROR(__xludf.DUMMYFUNCTION("""COMPUTED_VALUE"""),"1505")</f>
        <v>1505</v>
      </c>
      <c r="J289" s="116" t="str">
        <f ca="1">IFERROR(__xludf.DUMMYFUNCTION("""COMPUTED_VALUE"""),"258105")</f>
        <v>258105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IFERROR(__xludf.DUMMYFUNCTION("""COMPUTED_VALUE"""),"Integral")</f>
        <v>Integral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IFERROR(__xludf.DUMMYFUNCTION("""COMPUTED_VALUE"""),"17026377")</f>
        <v>17026377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IFERROR(__xludf.DUMMYFUNCTION("""COMPUTED_VALUE"""),"A.COMUNIDADE ESCOLA/E. EST. VALE DO SOL")</f>
        <v>A.COMUNIDADE ESCOLA/E. EST. VALE DO SOL</v>
      </c>
      <c r="E290" s="114" t="str">
        <f ca="1">IFERROR(__xludf.DUMMYFUNCTION("""COMPUTED_VALUE"""),"Escola Estadual Vale do Sol")</f>
        <v>Escola Estadual Vale do Sol</v>
      </c>
      <c r="F290" s="116" t="str">
        <f ca="1">IFERROR(__xludf.DUMMYFUNCTION("""COMPUTED_VALUE"""),"17026377")</f>
        <v>17026377</v>
      </c>
      <c r="G290" s="114" t="str">
        <f ca="1">IFERROR(__xludf.DUMMYFUNCTION("""COMPUTED_VALUE"""),"01873442000105")</f>
        <v>01873442000105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IFERROR(__xludf.DUMMYFUNCTION("""COMPUTED_VALUE"""),"256404")</f>
        <v>256404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IFERROR(__xludf.DUMMYFUNCTION("""COMPUTED_VALUE"""),"Parcial")</f>
        <v>Parcial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IFERROR(__xludf.DUMMYFUNCTION("""COMPUTED_VALUE"""),"17026261")</f>
        <v>17026261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IFERROR(__xludf.DUMMYFUNCTION("""COMPUTED_VALUE"""),"A.P.M.DA ESC. EST. DE I GRAU VILA UNIAO")</f>
        <v>A.P.M.DA ESC. EST. DE I GRAU VILA UNIAO</v>
      </c>
      <c r="E291" s="114" t="str">
        <f ca="1">IFERROR(__xludf.DUMMYFUNCTION("""COMPUTED_VALUE"""),"Escola Estadual Vila União")</f>
        <v>Escola Estadual Vila União</v>
      </c>
      <c r="F291" s="116" t="str">
        <f ca="1">IFERROR(__xludf.DUMMYFUNCTION("""COMPUTED_VALUE"""),"17026261")</f>
        <v>17026261</v>
      </c>
      <c r="G291" s="114" t="str">
        <f ca="1">IFERROR(__xludf.DUMMYFUNCTION("""COMPUTED_VALUE"""),"01926551000143")</f>
        <v>01926551000143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IFERROR(__xludf.DUMMYFUNCTION("""COMPUTED_VALUE"""),"255734")</f>
        <v>255734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IFERROR(__xludf.DUMMYFUNCTION("""COMPUTED_VALUE"""),"Integral")</f>
        <v>Integral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IFERROR(__xludf.DUMMYFUNCTION("""COMPUTED_VALUE"""),"17050120")</f>
        <v>17050120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IFERROR(__xludf.DUMMYFUNCTION("""COMPUTED_VALUE"""),"AÇÃO SOCIAL JESUS DE NAZARÉ/ESC JOÃO PAULO II")</f>
        <v>AÇÃO SOCIAL JESUS DE NAZARÉ/ESC JOÃO PAULO II</v>
      </c>
      <c r="E292" s="114" t="str">
        <f ca="1">IFERROR(__xludf.DUMMYFUNCTION("""COMPUTED_VALUE"""),"Escola João Paulo II")</f>
        <v>Escola João Paulo II</v>
      </c>
      <c r="F292" s="116" t="str">
        <f ca="1">IFERROR(__xludf.DUMMYFUNCTION("""COMPUTED_VALUE"""),"17050120")</f>
        <v>17050120</v>
      </c>
      <c r="G292" s="114" t="str">
        <f ca="1">IFERROR(__xludf.DUMMYFUNCTION("""COMPUTED_VALUE"""),"03005522000174")</f>
        <v>03005522000174</v>
      </c>
      <c r="H292" s="116" t="str">
        <f ca="1">IFERROR(__xludf.DUMMYFUNCTION("""COMPUTED_VALUE"""),"001")</f>
        <v>001</v>
      </c>
      <c r="I292" s="116" t="str">
        <f ca="1">IFERROR(__xludf.DUMMYFUNCTION("""COMPUTED_VALUE"""),"1505")</f>
        <v>1505</v>
      </c>
      <c r="J292" s="116" t="str">
        <f ca="1">IFERROR(__xludf.DUMMYFUNCTION("""COMPUTED_VALUE"""),"423475")</f>
        <v>423475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/>
      <c r="AE292" s="114" t="str">
        <f ca="1">IFERROR(__xludf.DUMMYFUNCTION("""COMPUTED_VALUE"""),"Parcial")</f>
        <v>Parcial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IFERROR(__xludf.DUMMYFUNCTION("""COMPUTED_VALUE"""),0)</f>
        <v>0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IFERROR(__xludf.DUMMYFUNCTION("""COMPUTED_VALUE"""),"17051975")</f>
        <v>17051975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IFERROR(__xludf.DUMMYFUNCTION("""COMPUTED_VALUE"""),"A.A. DO INST.PRESB.EDUC.SOC.REV.ROBERT CA")</f>
        <v>A.A. DO INST.PRESB.EDUC.SOC.REV.ROBERT CA</v>
      </c>
      <c r="E293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3" s="116" t="str">
        <f ca="1">IFERROR(__xludf.DUMMYFUNCTION("""COMPUTED_VALUE"""),"17051975")</f>
        <v>17051975</v>
      </c>
      <c r="G293" s="114" t="str">
        <f ca="1">IFERROR(__xludf.DUMMYFUNCTION("""COMPUTED_VALUE"""),"05470057000178")</f>
        <v>05470057000178</v>
      </c>
      <c r="H293" s="116" t="str">
        <f ca="1">IFERROR(__xludf.DUMMYFUNCTION("""COMPUTED_VALUE"""),"001")</f>
        <v>001</v>
      </c>
      <c r="I293" s="116" t="str">
        <f ca="1">IFERROR(__xludf.DUMMYFUNCTION("""COMPUTED_VALUE"""),"1505")</f>
        <v>1505</v>
      </c>
      <c r="J293" s="116" t="str">
        <f ca="1">IFERROR(__xludf.DUMMYFUNCTION("""COMPUTED_VALUE"""),"45110X")</f>
        <v>45110X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 t="str">
        <f ca="1">IFERROR(__xludf.DUMMYFUNCTION("""COMPUTED_VALUE"""),"CRECHE")</f>
        <v>CRECHE</v>
      </c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IFERROR(__xludf.DUMMYFUNCTION("""COMPUTED_VALUE"""),"17031540")</f>
        <v>17031540</v>
      </c>
      <c r="B294" s="114" t="str">
        <f ca="1">IFERROR(__xludf.DUMMYFUNCTION("""COMPUTED_VALUE"""),"Palmas")</f>
        <v>Palmas</v>
      </c>
      <c r="C294" s="114" t="str">
        <f ca="1">IFERROR(__xludf.DUMMYFUNCTION("""COMPUTED_VALUE"""),"Rio Sono")</f>
        <v>Rio Sono</v>
      </c>
      <c r="D294" s="115" t="str">
        <f ca="1">IFERROR(__xludf.DUMMYFUNCTION("""COMPUTED_VALUE"""),"A. DE PAIS E MESTRES DO COL. EST.RIO SONO")</f>
        <v>A. DE PAIS E MESTRES DO COL. EST.RIO SONO</v>
      </c>
      <c r="E294" s="114" t="str">
        <f ca="1">IFERROR(__xludf.DUMMYFUNCTION("""COMPUTED_VALUE"""),"Colégio Estadual Rio Sono")</f>
        <v>Colégio Estadual Rio Sono</v>
      </c>
      <c r="F294" s="116" t="str">
        <f ca="1">IFERROR(__xludf.DUMMYFUNCTION("""COMPUTED_VALUE"""),"17031540")</f>
        <v>17031540</v>
      </c>
      <c r="G294" s="114" t="str">
        <f ca="1">IFERROR(__xludf.DUMMYFUNCTION("""COMPUTED_VALUE"""),"01184376000166")</f>
        <v>01184376000166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IFERROR(__xludf.DUMMYFUNCTION("""COMPUTED_VALUE"""),"530042")</f>
        <v>530042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/>
      <c r="AE294" s="114" t="str">
        <f ca="1">IFERROR(__xludf.DUMMYFUNCTION("""COMPUTED_VALUE"""),"Parcial")</f>
        <v>Parcial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IFERROR(__xludf.DUMMYFUNCTION("""COMPUTED_VALUE"""),"17031567")</f>
        <v>17031567</v>
      </c>
      <c r="B295" s="114" t="str">
        <f ca="1">IFERROR(__xludf.DUMMYFUNCTION("""COMPUTED_VALUE"""),"Palmas")</f>
        <v>Palmas</v>
      </c>
      <c r="C295" s="114" t="str">
        <f ca="1">IFERROR(__xludf.DUMMYFUNCTION("""COMPUTED_VALUE"""),"Rio Sono")</f>
        <v>Rio Sono</v>
      </c>
      <c r="D295" s="115" t="str">
        <f ca="1">IFERROR(__xludf.DUMMYFUNCTION("""COMPUTED_VALUE"""),"A.A.  ESCOLA EST. IMACULADA CONCEICAO")</f>
        <v>A.A.  ESCOLA EST. IMACULADA CONCEICAO</v>
      </c>
      <c r="E295" s="114" t="str">
        <f ca="1">IFERROR(__xludf.DUMMYFUNCTION("""COMPUTED_VALUE"""),"Escola Estadual Imaculada Conceicao")</f>
        <v>Escola Estadual Imaculada Conceicao</v>
      </c>
      <c r="F295" s="116" t="str">
        <f ca="1">IFERROR(__xludf.DUMMYFUNCTION("""COMPUTED_VALUE"""),"17031567")</f>
        <v>17031567</v>
      </c>
      <c r="G295" s="114" t="str">
        <f ca="1">IFERROR(__xludf.DUMMYFUNCTION("""COMPUTED_VALUE"""),"01197175000101")</f>
        <v>01197175000101</v>
      </c>
      <c r="H295" s="116" t="str">
        <f ca="1">IFERROR(__xludf.DUMMYFUNCTION("""COMPUTED_VALUE"""),"001")</f>
        <v>001</v>
      </c>
      <c r="I295" s="116" t="str">
        <f ca="1">IFERROR(__xludf.DUMMYFUNCTION("""COMPUTED_VALUE"""),"0862")</f>
        <v>0862</v>
      </c>
      <c r="J295" s="116" t="str">
        <f ca="1">IFERROR(__xludf.DUMMYFUNCTION("""COMPUTED_VALUE"""),"161497")</f>
        <v>161497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IFERROR(__xludf.DUMMYFUNCTION("""COMPUTED_VALUE"""),"17031990")</f>
        <v>17031990</v>
      </c>
      <c r="B296" s="114" t="str">
        <f ca="1">IFERROR(__xludf.DUMMYFUNCTION("""COMPUTED_VALUE"""),"Palmas")</f>
        <v>Palmas</v>
      </c>
      <c r="C296" s="114" t="str">
        <f ca="1">IFERROR(__xludf.DUMMYFUNCTION("""COMPUTED_VALUE"""),"Santa Tereza do Tocantins")</f>
        <v>Santa Tereza do Tocantins</v>
      </c>
      <c r="D296" s="115" t="str">
        <f ca="1">IFERROR(__xludf.DUMMYFUNCTION("""COMPUTED_VALUE"""),"A.A. C.EST. MANOEL S.DOURADO")</f>
        <v>A.A. C.EST. MANOEL S.DOURADO</v>
      </c>
      <c r="E296" s="114" t="str">
        <f ca="1">IFERROR(__xludf.DUMMYFUNCTION("""COMPUTED_VALUE"""),"Colégio Estadual Professor Manoel Silvério dourado")</f>
        <v>Colégio Estadual Professor Manoel Silvério dourado</v>
      </c>
      <c r="F296" s="116" t="str">
        <f ca="1">IFERROR(__xludf.DUMMYFUNCTION("""COMPUTED_VALUE"""),"17031990")</f>
        <v>17031990</v>
      </c>
      <c r="G296" s="114" t="str">
        <f ca="1">IFERROR(__xludf.DUMMYFUNCTION("""COMPUTED_VALUE"""),"01136013000155")</f>
        <v>01136013000155</v>
      </c>
      <c r="H296" s="116" t="str">
        <f ca="1">IFERROR(__xludf.DUMMYFUNCTION("""COMPUTED_VALUE"""),"001")</f>
        <v>001</v>
      </c>
      <c r="I296" s="116" t="str">
        <f ca="1">IFERROR(__xludf.DUMMYFUNCTION("""COMPUTED_VALUE"""),"1117")</f>
        <v>1117</v>
      </c>
      <c r="J296" s="116" t="str">
        <f ca="1">IFERROR(__xludf.DUMMYFUNCTION("""COMPUTED_VALUE"""),"313033")</f>
        <v>313033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IFERROR(__xludf.DUMMYFUNCTION("""COMPUTED_VALUE"""),"Parcial")</f>
        <v>Parcial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IFERROR(__xludf.DUMMYFUNCTION("""COMPUTED_VALUE"""),"17032091")</f>
        <v>17032091</v>
      </c>
      <c r="B297" s="114" t="str">
        <f ca="1">IFERROR(__xludf.DUMMYFUNCTION("""COMPUTED_VALUE"""),"Palmas")</f>
        <v>Palmas</v>
      </c>
      <c r="C297" s="114" t="str">
        <f ca="1">IFERROR(__xludf.DUMMYFUNCTION("""COMPUTED_VALUE"""),"Sao Felix do Tocantins")</f>
        <v>Sao Felix do Tocantins</v>
      </c>
      <c r="D297" s="115" t="str">
        <f ca="1">IFERROR(__xludf.DUMMYFUNCTION("""COMPUTED_VALUE"""),"A. DE AP.ESC. EST. SAGRADO CORACAO DE JESUS")</f>
        <v>A. DE AP.ESC. EST. SAGRADO CORACAO DE JESUS</v>
      </c>
      <c r="E297" s="114" t="str">
        <f ca="1">IFERROR(__xludf.DUMMYFUNCTION("""COMPUTED_VALUE"""),"Escola Estadual Sagrado Coração de Jesus")</f>
        <v>Escola Estadual Sagrado Coração de Jesus</v>
      </c>
      <c r="F297" s="116" t="str">
        <f ca="1">IFERROR(__xludf.DUMMYFUNCTION("""COMPUTED_VALUE"""),"17032091")</f>
        <v>17032091</v>
      </c>
      <c r="G297" s="114" t="str">
        <f ca="1">IFERROR(__xludf.DUMMYFUNCTION("""COMPUTED_VALUE"""),"01656550000126")</f>
        <v>01656550000126</v>
      </c>
      <c r="H297" s="116" t="str">
        <f ca="1">IFERROR(__xludf.DUMMYFUNCTION("""COMPUTED_VALUE"""),"001")</f>
        <v>001</v>
      </c>
      <c r="I297" s="116" t="str">
        <f ca="1">IFERROR(__xludf.DUMMYFUNCTION("""COMPUTED_VALUE"""),"3962")</f>
        <v>3962</v>
      </c>
      <c r="J297" s="116" t="str">
        <f ca="1">IFERROR(__xludf.DUMMYFUNCTION("""COMPUTED_VALUE"""),"147605")</f>
        <v>147605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IFERROR(__xludf.DUMMYFUNCTION("""COMPUTED_VALUE"""),"17010535")</f>
        <v>17010535</v>
      </c>
      <c r="B298" s="114" t="str">
        <f ca="1">IFERROR(__xludf.DUMMYFUNCTION("""COMPUTED_VALUE"""),"Paraíso")</f>
        <v>Paraíso</v>
      </c>
      <c r="C298" s="114" t="str">
        <f ca="1">IFERROR(__xludf.DUMMYFUNCTION("""COMPUTED_VALUE"""),"Abreulandia")</f>
        <v>Abreulandia</v>
      </c>
      <c r="D298" s="115" t="str">
        <f ca="1">IFERROR(__xludf.DUMMYFUNCTION("""COMPUTED_VALUE"""),"ASS. DE APOIO DA ESCOLA EST. SAO PEDRO")</f>
        <v>ASS. DE APOIO DA ESCOLA EST. SAO PEDRO</v>
      </c>
      <c r="E298" s="114" t="str">
        <f ca="1">IFERROR(__xludf.DUMMYFUNCTION("""COMPUTED_VALUE"""),"Colégio Estadual São Pedro")</f>
        <v>Colégio Estadual São Pedro</v>
      </c>
      <c r="F298" s="116" t="str">
        <f ca="1">IFERROR(__xludf.DUMMYFUNCTION("""COMPUTED_VALUE"""),"17010535")</f>
        <v>17010535</v>
      </c>
      <c r="G298" s="114" t="str">
        <f ca="1">IFERROR(__xludf.DUMMYFUNCTION("""COMPUTED_VALUE"""),"01071408000117")</f>
        <v>01071408000117</v>
      </c>
      <c r="H298" s="116" t="str">
        <f ca="1">IFERROR(__xludf.DUMMYFUNCTION("""COMPUTED_VALUE"""),"001")</f>
        <v>001</v>
      </c>
      <c r="I298" s="116" t="str">
        <f ca="1">IFERROR(__xludf.DUMMYFUNCTION("""COMPUTED_VALUE"""),"0804")</f>
        <v>0804</v>
      </c>
      <c r="J298" s="116" t="str">
        <f ca="1">IFERROR(__xludf.DUMMYFUNCTION("""COMPUTED_VALUE"""),"286893")</f>
        <v>286893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/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IFERROR(__xludf.DUMMYFUNCTION("""COMPUTED_VALUE"""),"17010748")</f>
        <v>17010748</v>
      </c>
      <c r="B299" s="114" t="str">
        <f ca="1">IFERROR(__xludf.DUMMYFUNCTION("""COMPUTED_VALUE"""),"Paraíso")</f>
        <v>Paraíso</v>
      </c>
      <c r="C299" s="114" t="str">
        <f ca="1">IFERROR(__xludf.DUMMYFUNCTION("""COMPUTED_VALUE"""),"Araguacema")</f>
        <v>Araguacema</v>
      </c>
      <c r="D299" s="115" t="str">
        <f ca="1">IFERROR(__xludf.DUMMYFUNCTION("""COMPUTED_VALUE"""),"ASSOC. DE APOIO AO COL. EST. DE ARAGUACEMA")</f>
        <v>ASSOC. DE APOIO AO COL. EST. DE ARAGUACEMA</v>
      </c>
      <c r="E299" s="114" t="str">
        <f ca="1">IFERROR(__xludf.DUMMYFUNCTION("""COMPUTED_VALUE"""),"Colegio Estadual de Araguacema")</f>
        <v>Colegio Estadual de Araguacema</v>
      </c>
      <c r="F299" s="116" t="str">
        <f ca="1">IFERROR(__xludf.DUMMYFUNCTION("""COMPUTED_VALUE"""),"17010748")</f>
        <v>17010748</v>
      </c>
      <c r="G299" s="114" t="str">
        <f ca="1">IFERROR(__xludf.DUMMYFUNCTION("""COMPUTED_VALUE"""),"01187107000153")</f>
        <v>01187107000153</v>
      </c>
      <c r="H299" s="116" t="str">
        <f ca="1">IFERROR(__xludf.DUMMYFUNCTION("""COMPUTED_VALUE"""),"001")</f>
        <v>001</v>
      </c>
      <c r="I299" s="116" t="str">
        <f ca="1">IFERROR(__xludf.DUMMYFUNCTION("""COMPUTED_VALUE"""),"0804")</f>
        <v>0804</v>
      </c>
      <c r="J299" s="116" t="str">
        <f ca="1">IFERROR(__xludf.DUMMYFUNCTION("""COMPUTED_VALUE"""),"286532")</f>
        <v>286532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IFERROR(__xludf.DUMMYFUNCTION("""COMPUTED_VALUE"""),"17010772")</f>
        <v>17010772</v>
      </c>
      <c r="B300" s="114" t="str">
        <f ca="1">IFERROR(__xludf.DUMMYFUNCTION("""COMPUTED_VALUE"""),"Paraíso")</f>
        <v>Paraíso</v>
      </c>
      <c r="C300" s="114" t="str">
        <f ca="1">IFERROR(__xludf.DUMMYFUNCTION("""COMPUTED_VALUE"""),"Araguacema")</f>
        <v>Araguacema</v>
      </c>
      <c r="D300" s="115" t="str">
        <f ca="1">IFERROR(__xludf.DUMMYFUNCTION("""COMPUTED_VALUE"""),"ASSOC. DE APOIO COLEGIO MENNO SIMONS")</f>
        <v>ASSOC. DE APOIO COLEGIO MENNO SIMONS</v>
      </c>
      <c r="E300" s="114" t="str">
        <f ca="1">IFERROR(__xludf.DUMMYFUNCTION("""COMPUTED_VALUE"""),"Escola Conveniada Menno Simons")</f>
        <v>Escola Conveniada Menno Simons</v>
      </c>
      <c r="F300" s="116" t="str">
        <f ca="1">IFERROR(__xludf.DUMMYFUNCTION("""COMPUTED_VALUE"""),"17010772")</f>
        <v>17010772</v>
      </c>
      <c r="G300" s="114" t="str">
        <f ca="1">IFERROR(__xludf.DUMMYFUNCTION("""COMPUTED_VALUE"""),"01138321000110")</f>
        <v>01138321000110</v>
      </c>
      <c r="H300" s="116" t="str">
        <f ca="1">IFERROR(__xludf.DUMMYFUNCTION("""COMPUTED_VALUE"""),"001")</f>
        <v>001</v>
      </c>
      <c r="I300" s="116" t="str">
        <f ca="1">IFERROR(__xludf.DUMMYFUNCTION("""COMPUTED_VALUE"""),"0804")</f>
        <v>0804</v>
      </c>
      <c r="J300" s="116" t="str">
        <f ca="1">IFERROR(__xludf.DUMMYFUNCTION("""COMPUTED_VALUE"""),"300764")</f>
        <v>300764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IFERROR(__xludf.DUMMYFUNCTION("""COMPUTED_VALUE"""),"17010926")</f>
        <v>17010926</v>
      </c>
      <c r="B301" s="114" t="str">
        <f ca="1">IFERROR(__xludf.DUMMYFUNCTION("""COMPUTED_VALUE"""),"Paraíso")</f>
        <v>Paraíso</v>
      </c>
      <c r="C301" s="114" t="str">
        <f ca="1">IFERROR(__xludf.DUMMYFUNCTION("""COMPUTED_VALUE"""),"Barrolandia")</f>
        <v>Barrolandia</v>
      </c>
      <c r="D301" s="115" t="str">
        <f ca="1">IFERROR(__xludf.DUMMYFUNCTION("""COMPUTED_VALUE"""),"ASSOC. DE A. DO COL. EST. PRES. TANCREDO NEVES")</f>
        <v>ASSOC. DE A. DO COL. EST. PRES. TANCREDO NEVES</v>
      </c>
      <c r="E301" s="114" t="str">
        <f ca="1">IFERROR(__xludf.DUMMYFUNCTION("""COMPUTED_VALUE"""),"Colégio Estadual Presidente Tancredo Neves")</f>
        <v>Colégio Estadual Presidente Tancredo Neves</v>
      </c>
      <c r="F301" s="116" t="str">
        <f ca="1">IFERROR(__xludf.DUMMYFUNCTION("""COMPUTED_VALUE"""),"17010926")</f>
        <v>17010926</v>
      </c>
      <c r="G301" s="114" t="str">
        <f ca="1">IFERROR(__xludf.DUMMYFUNCTION("""COMPUTED_VALUE"""),"01086975000147")</f>
        <v>01086975000147</v>
      </c>
      <c r="H301" s="116" t="str">
        <f ca="1">IFERROR(__xludf.DUMMYFUNCTION("""COMPUTED_VALUE"""),"001")</f>
        <v>001</v>
      </c>
      <c r="I301" s="116" t="str">
        <f ca="1">IFERROR(__xludf.DUMMYFUNCTION("""COMPUTED_VALUE"""),"0862")</f>
        <v>0862</v>
      </c>
      <c r="J301" s="116" t="str">
        <f ca="1">IFERROR(__xludf.DUMMYFUNCTION("""COMPUTED_VALUE"""),"244155")</f>
        <v>244155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 t="str">
        <f ca="1">IFERROR(__xludf.DUMMYFUNCTION("""COMPUTED_VALUE"""),"CRECHE")</f>
        <v>CRECHE</v>
      </c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IFERROR(__xludf.DUMMYFUNCTION("""COMPUTED_VALUE"""),8)</f>
        <v>8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IFERROR(__xludf.DUMMYFUNCTION("""COMPUTED_VALUE"""),"17041902")</f>
        <v>17041902</v>
      </c>
      <c r="B302" s="114" t="str">
        <f ca="1">IFERROR(__xludf.DUMMYFUNCTION("""COMPUTED_VALUE"""),"Paraíso")</f>
        <v>Paraíso</v>
      </c>
      <c r="C302" s="114" t="str">
        <f ca="1">IFERROR(__xludf.DUMMYFUNCTION("""COMPUTED_VALUE"""),"Barrolandia")</f>
        <v>Barrolandia</v>
      </c>
      <c r="D302" s="115" t="str">
        <f ca="1">IFERROR(__xludf.DUMMYFUNCTION("""COMPUTED_VALUE"""),"A..A. ESC. ESPECIAL AMOR DE DEUS")</f>
        <v>A..A. ESC. ESPECIAL AMOR DE DEUS</v>
      </c>
      <c r="E302" s="114" t="str">
        <f ca="1">IFERROR(__xludf.DUMMYFUNCTION("""COMPUTED_VALUE"""),"Escola Especial Amor de deus")</f>
        <v>Escola Especial Amor de deus</v>
      </c>
      <c r="F302" s="116" t="str">
        <f ca="1">IFERROR(__xludf.DUMMYFUNCTION("""COMPUTED_VALUE"""),"17041902")</f>
        <v>17041902</v>
      </c>
      <c r="G302" s="114" t="str">
        <f ca="1">IFERROR(__xludf.DUMMYFUNCTION("""COMPUTED_VALUE"""),"07935641000187")</f>
        <v>07935641000187</v>
      </c>
      <c r="H302" s="116" t="str">
        <f ca="1">IFERROR(__xludf.DUMMYFUNCTION("""COMPUTED_VALUE"""),"001")</f>
        <v>001</v>
      </c>
      <c r="I302" s="116" t="str">
        <f ca="1">IFERROR(__xludf.DUMMYFUNCTION("""COMPUTED_VALUE"""),"0804")</f>
        <v>0804</v>
      </c>
      <c r="J302" s="116" t="str">
        <f ca="1">IFERROR(__xludf.DUMMYFUNCTION("""COMPUTED_VALUE"""),"279501")</f>
        <v>279501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/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IFERROR(__xludf.DUMMYFUNCTION("""COMPUTED_VALUE"""),0)</f>
        <v>0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IFERROR(__xludf.DUMMYFUNCTION("""COMPUTED_VALUE"""),"17010950")</f>
        <v>17010950</v>
      </c>
      <c r="B303" s="114" t="str">
        <f ca="1">IFERROR(__xludf.DUMMYFUNCTION("""COMPUTED_VALUE"""),"Paraíso")</f>
        <v>Paraíso</v>
      </c>
      <c r="C303" s="114" t="str">
        <f ca="1">IFERROR(__xludf.DUMMYFUNCTION("""COMPUTED_VALUE"""),"Barrolandia")</f>
        <v>Barrolandia</v>
      </c>
      <c r="D303" s="115" t="str">
        <f ca="1">IFERROR(__xludf.DUMMYFUNCTION("""COMPUTED_VALUE"""),"ASS. APOIO DA ESC EST PAULINA CAMARA")</f>
        <v>ASS. APOIO DA ESC EST PAULINA CAMARA</v>
      </c>
      <c r="E303" s="114" t="str">
        <f ca="1">IFERROR(__xludf.DUMMYFUNCTION("""COMPUTED_VALUE"""),"Escola Estadual Paulina Câmara")</f>
        <v>Escola Estadual Paulina Câmara</v>
      </c>
      <c r="F303" s="116" t="str">
        <f ca="1">IFERROR(__xludf.DUMMYFUNCTION("""COMPUTED_VALUE"""),"17010950")</f>
        <v>17010950</v>
      </c>
      <c r="G303" s="114" t="str">
        <f ca="1">IFERROR(__xludf.DUMMYFUNCTION("""COMPUTED_VALUE"""),"01071402000140")</f>
        <v>01071402000140</v>
      </c>
      <c r="H303" s="116" t="str">
        <f ca="1">IFERROR(__xludf.DUMMYFUNCTION("""COMPUTED_VALUE"""),"001")</f>
        <v>001</v>
      </c>
      <c r="I303" s="116" t="str">
        <f ca="1">IFERROR(__xludf.DUMMYFUNCTION("""COMPUTED_VALUE"""),"0862")</f>
        <v>0862</v>
      </c>
      <c r="J303" s="116" t="str">
        <f ca="1">IFERROR(__xludf.DUMMYFUNCTION("""COMPUTED_VALUE"""),"68926")</f>
        <v>68926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IFERROR(__xludf.DUMMYFUNCTION("""COMPUTED_VALUE"""),"17010934")</f>
        <v>17010934</v>
      </c>
      <c r="B304" s="114" t="str">
        <f ca="1">IFERROR(__xludf.DUMMYFUNCTION("""COMPUTED_VALUE"""),"Paraíso")</f>
        <v>Paraíso</v>
      </c>
      <c r="C304" s="114" t="str">
        <f ca="1">IFERROR(__xludf.DUMMYFUNCTION("""COMPUTED_VALUE"""),"Barrolandia")</f>
        <v>Barrolandia</v>
      </c>
      <c r="D304" s="115" t="str">
        <f ca="1">IFERROR(__xludf.DUMMYFUNCTION("""COMPUTED_VALUE"""),"A.A. COLEGIO ESTADUAL COSTA E SILVA")</f>
        <v>A.A. COLEGIO ESTADUAL COSTA E SILVA</v>
      </c>
      <c r="E304" s="114" t="str">
        <f ca="1">IFERROR(__xludf.DUMMYFUNCTION("""COMPUTED_VALUE"""),"Escola Estadual Presidente Costa E Silva")</f>
        <v>Escola Estadual Presidente Costa E Silva</v>
      </c>
      <c r="F304" s="116" t="str">
        <f ca="1">IFERROR(__xludf.DUMMYFUNCTION("""COMPUTED_VALUE"""),"17010934")</f>
        <v>17010934</v>
      </c>
      <c r="G304" s="114" t="str">
        <f ca="1">IFERROR(__xludf.DUMMYFUNCTION("""COMPUTED_VALUE"""),"01100434000126")</f>
        <v>01100434000126</v>
      </c>
      <c r="H304" s="116" t="str">
        <f ca="1">IFERROR(__xludf.DUMMYFUNCTION("""COMPUTED_VALUE"""),"001")</f>
        <v>001</v>
      </c>
      <c r="I304" s="116" t="str">
        <f ca="1">IFERROR(__xludf.DUMMYFUNCTION("""COMPUTED_VALUE"""),"0862")</f>
        <v>0862</v>
      </c>
      <c r="J304" s="116" t="str">
        <f ca="1">IFERROR(__xludf.DUMMYFUNCTION("""COMPUTED_VALUE"""),"68942")</f>
        <v>68942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IFERROR(__xludf.DUMMYFUNCTION("""COMPUTED_VALUE"""),"17011736")</f>
        <v>17011736</v>
      </c>
      <c r="B305" s="114" t="str">
        <f ca="1">IFERROR(__xludf.DUMMYFUNCTION("""COMPUTED_VALUE"""),"Paraíso")</f>
        <v>Paraíso</v>
      </c>
      <c r="C305" s="114" t="str">
        <f ca="1">IFERROR(__xludf.DUMMYFUNCTION("""COMPUTED_VALUE"""),"Caseara")</f>
        <v>Caseara</v>
      </c>
      <c r="D305" s="115" t="str">
        <f ca="1">IFERROR(__xludf.DUMMYFUNCTION("""COMPUTED_VALUE"""),"A.A. AO COLEGIO EST. TRAJANO DE ALMEIDA")</f>
        <v>A.A. AO COLEGIO EST. TRAJANO DE ALMEIDA</v>
      </c>
      <c r="E305" s="114" t="str">
        <f ca="1">IFERROR(__xludf.DUMMYFUNCTION("""COMPUTED_VALUE"""),"Colégio Estadual Trajano de Almeida - Caseara")</f>
        <v>Colégio Estadual Trajano de Almeida - Caseara</v>
      </c>
      <c r="F305" s="116" t="str">
        <f ca="1">IFERROR(__xludf.DUMMYFUNCTION("""COMPUTED_VALUE"""),"17011736")</f>
        <v>17011736</v>
      </c>
      <c r="G305" s="114" t="str">
        <f ca="1">IFERROR(__xludf.DUMMYFUNCTION("""COMPUTED_VALUE"""),"01136037000104")</f>
        <v>01136037000104</v>
      </c>
      <c r="H305" s="116" t="str">
        <f ca="1">IFERROR(__xludf.DUMMYFUNCTION("""COMPUTED_VALUE"""),"001")</f>
        <v>001</v>
      </c>
      <c r="I305" s="116" t="str">
        <f ca="1">IFERROR(__xludf.DUMMYFUNCTION("""COMPUTED_VALUE"""),"0804")</f>
        <v>0804</v>
      </c>
      <c r="J305" s="116" t="str">
        <f ca="1">IFERROR(__xludf.DUMMYFUNCTION("""COMPUTED_VALUE"""),"110558")</f>
        <v>110558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IFERROR(__xludf.DUMMYFUNCTION("""COMPUTED_VALUE"""),"17011744")</f>
        <v>17011744</v>
      </c>
      <c r="B306" s="114" t="str">
        <f ca="1">IFERROR(__xludf.DUMMYFUNCTION("""COMPUTED_VALUE"""),"Paraíso")</f>
        <v>Paraíso</v>
      </c>
      <c r="C306" s="114" t="str">
        <f ca="1">IFERROR(__xludf.DUMMYFUNCTION("""COMPUTED_VALUE"""),"Caseara")</f>
        <v>Caseara</v>
      </c>
      <c r="D306" s="115" t="str">
        <f ca="1">IFERROR(__xludf.DUMMYFUNCTION("""COMPUTED_VALUE"""),"A. DE APOIO A ESC. EST. JOSE ALVES DE ASSIS")</f>
        <v>A. DE APOIO A ESC. EST. JOSE ALVES DE ASSIS</v>
      </c>
      <c r="E306" s="114" t="str">
        <f ca="1">IFERROR(__xludf.DUMMYFUNCTION("""COMPUTED_VALUE"""),"Escola Estadual José Alves de Assis - Caseara")</f>
        <v>Escola Estadual José Alves de Assis - Caseara</v>
      </c>
      <c r="F306" s="116" t="str">
        <f ca="1">IFERROR(__xludf.DUMMYFUNCTION("""COMPUTED_VALUE"""),"17011744")</f>
        <v>17011744</v>
      </c>
      <c r="G306" s="114" t="str">
        <f ca="1">IFERROR(__xludf.DUMMYFUNCTION("""COMPUTED_VALUE"""),"01138318000104")</f>
        <v>01138318000104</v>
      </c>
      <c r="H306" s="116" t="str">
        <f ca="1">IFERROR(__xludf.DUMMYFUNCTION("""COMPUTED_VALUE"""),"104")</f>
        <v>104</v>
      </c>
      <c r="I306" s="116" t="str">
        <f ca="1">IFERROR(__xludf.DUMMYFUNCTION("""COMPUTED_VALUE"""),"1141")</f>
        <v>1141</v>
      </c>
      <c r="J306" s="116" t="str">
        <f ca="1">IFERROR(__xludf.DUMMYFUNCTION("""COMPUTED_VALUE"""),"307968")</f>
        <v>307968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/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IFERROR(__xludf.DUMMYFUNCTION("""COMPUTED_VALUE"""),0)</f>
        <v>0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IFERROR(__xludf.DUMMYFUNCTION("""COMPUTED_VALUE"""),"17017653")</f>
        <v>17017653</v>
      </c>
      <c r="B307" s="114" t="str">
        <f ca="1">IFERROR(__xludf.DUMMYFUNCTION("""COMPUTED_VALUE"""),"Paraíso")</f>
        <v>Paraíso</v>
      </c>
      <c r="C307" s="114" t="str">
        <f ca="1">IFERROR(__xludf.DUMMYFUNCTION("""COMPUTED_VALUE"""),"Cristalandia")</f>
        <v>Cristalandia</v>
      </c>
      <c r="D307" s="115" t="str">
        <f ca="1">IFERROR(__xludf.DUMMYFUNCTION("""COMPUTED_VALUE"""),"ASS. APOIO DO COL. EST. DE CRISTALANDIA")</f>
        <v>ASS. APOIO DO COL. EST. DE CRISTALANDIA</v>
      </c>
      <c r="E307" s="114" t="str">
        <f ca="1">IFERROR(__xludf.DUMMYFUNCTION("""COMPUTED_VALUE"""),"Colégio Estadual de Cristalândia")</f>
        <v>Colégio Estadual de Cristalândia</v>
      </c>
      <c r="F307" s="116" t="str">
        <f ca="1">IFERROR(__xludf.DUMMYFUNCTION("""COMPUTED_VALUE"""),"17017653")</f>
        <v>17017653</v>
      </c>
      <c r="G307" s="114" t="str">
        <f ca="1">IFERROR(__xludf.DUMMYFUNCTION("""COMPUTED_VALUE"""),"01186467000130")</f>
        <v>01186467000130</v>
      </c>
      <c r="H307" s="116" t="str">
        <f ca="1">IFERROR(__xludf.DUMMYFUNCTION("""COMPUTED_VALUE"""),"001")</f>
        <v>001</v>
      </c>
      <c r="I307" s="116" t="str">
        <f ca="1">IFERROR(__xludf.DUMMYFUNCTION("""COMPUTED_VALUE"""),"3638")</f>
        <v>3638</v>
      </c>
      <c r="J307" s="116" t="str">
        <f ca="1">IFERROR(__xludf.DUMMYFUNCTION("""COMPUTED_VALUE"""),"17469")</f>
        <v>17469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IFERROR(__xludf.DUMMYFUNCTION("""COMPUTED_VALUE"""),"17047200")</f>
        <v>17047200</v>
      </c>
      <c r="B308" s="114" t="str">
        <f ca="1">IFERROR(__xludf.DUMMYFUNCTION("""COMPUTED_VALUE"""),"Paraíso")</f>
        <v>Paraíso</v>
      </c>
      <c r="C308" s="114" t="str">
        <f ca="1">IFERROR(__xludf.DUMMYFUNCTION("""COMPUTED_VALUE"""),"Cristalandia")</f>
        <v>Cristalandia</v>
      </c>
      <c r="D308" s="115" t="str">
        <f ca="1">IFERROR(__xludf.DUMMYFUNCTION("""COMPUTED_VALUE"""),"APAE DE CRISTALÂNDIA")</f>
        <v>APAE DE CRISTALÂNDIA</v>
      </c>
      <c r="E308" s="114" t="str">
        <f ca="1">IFERROR(__xludf.DUMMYFUNCTION("""COMPUTED_VALUE"""),"Escola Especial Espaço Feliz")</f>
        <v>Escola Especial Espaço Feliz</v>
      </c>
      <c r="F308" s="116" t="str">
        <f ca="1">IFERROR(__xludf.DUMMYFUNCTION("""COMPUTED_VALUE"""),"17047200")</f>
        <v>17047200</v>
      </c>
      <c r="G308" s="114" t="str">
        <f ca="1">IFERROR(__xludf.DUMMYFUNCTION("""COMPUTED_VALUE"""),"01995319000167")</f>
        <v>01995319000167</v>
      </c>
      <c r="H308" s="116" t="str">
        <f ca="1">IFERROR(__xludf.DUMMYFUNCTION("""COMPUTED_VALUE"""),"001")</f>
        <v>001</v>
      </c>
      <c r="I308" s="116" t="str">
        <f ca="1">IFERROR(__xludf.DUMMYFUNCTION("""COMPUTED_VALUE"""),"3638")</f>
        <v>3638</v>
      </c>
      <c r="J308" s="116" t="str">
        <f ca="1">IFERROR(__xludf.DUMMYFUNCTION("""COMPUTED_VALUE"""),"71315")</f>
        <v>71315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 t="str">
        <f ca="1">IFERROR(__xludf.DUMMYFUNCTION("""COMPUTED_VALUE"""),"CRECHE")</f>
        <v>CRECHE</v>
      </c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IFERROR(__xludf.DUMMYFUNCTION("""COMPUTED_VALUE"""),"17017718")</f>
        <v>17017718</v>
      </c>
      <c r="B309" s="114" t="str">
        <f ca="1">IFERROR(__xludf.DUMMYFUNCTION("""COMPUTED_VALUE"""),"Paraíso")</f>
        <v>Paraíso</v>
      </c>
      <c r="C309" s="114" t="str">
        <f ca="1">IFERROR(__xludf.DUMMYFUNCTION("""COMPUTED_VALUE"""),"Cristalandia")</f>
        <v>Cristalandia</v>
      </c>
      <c r="D309" s="115" t="str">
        <f ca="1">IFERROR(__xludf.DUMMYFUNCTION("""COMPUTED_VALUE"""),"A.A. ESCOLA MUL.OTACILIO MARQUES ROSAL")</f>
        <v>A.A. ESCOLA MUL.OTACILIO MARQUES ROSAL</v>
      </c>
      <c r="E309" s="114" t="str">
        <f ca="1">IFERROR(__xludf.DUMMYFUNCTION("""COMPUTED_VALUE"""),"Escola Estadual Otacilio Marques Rosal")</f>
        <v>Escola Estadual Otacilio Marques Rosal</v>
      </c>
      <c r="F309" s="116" t="str">
        <f ca="1">IFERROR(__xludf.DUMMYFUNCTION("""COMPUTED_VALUE"""),"17017718")</f>
        <v>17017718</v>
      </c>
      <c r="G309" s="114" t="str">
        <f ca="1">IFERROR(__xludf.DUMMYFUNCTION("""COMPUTED_VALUE"""),"01071438000123")</f>
        <v>01071438000123</v>
      </c>
      <c r="H309" s="116" t="str">
        <f ca="1">IFERROR(__xludf.DUMMYFUNCTION("""COMPUTED_VALUE"""),"001")</f>
        <v>001</v>
      </c>
      <c r="I309" s="116" t="str">
        <f ca="1">IFERROR(__xludf.DUMMYFUNCTION("""COMPUTED_VALUE"""),"3638")</f>
        <v>3638</v>
      </c>
      <c r="J309" s="116" t="str">
        <f ca="1">IFERROR(__xludf.DUMMYFUNCTION("""COMPUTED_VALUE"""),"7120X")</f>
        <v>7120X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 t="str">
        <f ca="1">IFERROR(__xludf.DUMMYFUNCTION("""COMPUTED_VALUE"""),"E.M. INTEGRADO")</f>
        <v>E.M. INTEGRADO</v>
      </c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IFERROR(__xludf.DUMMYFUNCTION("""COMPUTED_VALUE"""),"17012104")</f>
        <v>17012104</v>
      </c>
      <c r="B310" s="114" t="str">
        <f ca="1">IFERROR(__xludf.DUMMYFUNCTION("""COMPUTED_VALUE"""),"Paraíso")</f>
        <v>Paraíso</v>
      </c>
      <c r="C310" s="114" t="str">
        <f ca="1">IFERROR(__xludf.DUMMYFUNCTION("""COMPUTED_VALUE"""),"Divinopolis do Tocantins")</f>
        <v>Divinopolis do Tocantins</v>
      </c>
      <c r="D310" s="115" t="str">
        <f ca="1">IFERROR(__xludf.DUMMYFUNCTION("""COMPUTED_VALUE"""),"A.A. DO COLEGIO MUL. JOAO DIAS SOBRINHO")</f>
        <v>A.A. DO COLEGIO MUL. JOAO DIAS SOBRINHO</v>
      </c>
      <c r="E310" s="114" t="str">
        <f ca="1">IFERROR(__xludf.DUMMYFUNCTION("""COMPUTED_VALUE"""),"Colégio Estadual João Dias Sobrinho")</f>
        <v>Colégio Estadual João Dias Sobrinho</v>
      </c>
      <c r="F310" s="116" t="str">
        <f ca="1">IFERROR(__xludf.DUMMYFUNCTION("""COMPUTED_VALUE"""),"17012104")</f>
        <v>17012104</v>
      </c>
      <c r="G310" s="114" t="str">
        <f ca="1">IFERROR(__xludf.DUMMYFUNCTION("""COMPUTED_VALUE"""),"01184383000168")</f>
        <v>01184383000168</v>
      </c>
      <c r="H310" s="116" t="str">
        <f ca="1">IFERROR(__xludf.DUMMYFUNCTION("""COMPUTED_VALUE"""),"001")</f>
        <v>001</v>
      </c>
      <c r="I310" s="116" t="str">
        <f ca="1">IFERROR(__xludf.DUMMYFUNCTION("""COMPUTED_VALUE"""),"3812")</f>
        <v>3812</v>
      </c>
      <c r="J310" s="116" t="str">
        <f ca="1">IFERROR(__xludf.DUMMYFUNCTION("""COMPUTED_VALUE"""),"275069")</f>
        <v>275069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/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IFERROR(__xludf.DUMMYFUNCTION("""COMPUTED_VALUE"""),"17012112")</f>
        <v>17012112</v>
      </c>
      <c r="B311" s="114" t="str">
        <f ca="1">IFERROR(__xludf.DUMMYFUNCTION("""COMPUTED_VALUE"""),"Paraíso")</f>
        <v>Paraíso</v>
      </c>
      <c r="C311" s="114" t="str">
        <f ca="1">IFERROR(__xludf.DUMMYFUNCTION("""COMPUTED_VALUE"""),"Divinopolis do Tocantins")</f>
        <v>Divinopolis do Tocantins</v>
      </c>
      <c r="D311" s="115" t="str">
        <f ca="1">IFERROR(__xludf.DUMMYFUNCTION("""COMPUTED_VALUE"""),"ASS. APOIO ESC. EST. D. CANDIDA DE FREITAS")</f>
        <v>ASS. APOIO ESC. EST. D. CANDIDA DE FREITAS</v>
      </c>
      <c r="E311" s="114" t="str">
        <f ca="1">IFERROR(__xludf.DUMMYFUNCTION("""COMPUTED_VALUE"""),"Escola Estadual dona Candida de Freitas")</f>
        <v>Escola Estadual dona Candida de Freitas</v>
      </c>
      <c r="F311" s="116" t="str">
        <f ca="1">IFERROR(__xludf.DUMMYFUNCTION("""COMPUTED_VALUE"""),"17012112")</f>
        <v>17012112</v>
      </c>
      <c r="G311" s="114" t="str">
        <f ca="1">IFERROR(__xludf.DUMMYFUNCTION("""COMPUTED_VALUE"""),"01296363000189")</f>
        <v>01296363000189</v>
      </c>
      <c r="H311" s="116" t="str">
        <f ca="1">IFERROR(__xludf.DUMMYFUNCTION("""COMPUTED_VALUE"""),"001")</f>
        <v>001</v>
      </c>
      <c r="I311" s="116" t="str">
        <f ca="1">IFERROR(__xludf.DUMMYFUNCTION("""COMPUTED_VALUE"""),"3812")</f>
        <v>3812</v>
      </c>
      <c r="J311" s="116" t="str">
        <f ca="1">IFERROR(__xludf.DUMMYFUNCTION("""COMPUTED_VALUE"""),"70629")</f>
        <v>70629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IFERROR(__xludf.DUMMYFUNCTION("""COMPUTED_VALUE"""),"17018994")</f>
        <v>17018994</v>
      </c>
      <c r="B312" s="114" t="str">
        <f ca="1">IFERROR(__xludf.DUMMYFUNCTION("""COMPUTED_VALUE"""),"Paraíso")</f>
        <v>Paraíso</v>
      </c>
      <c r="C312" s="114" t="str">
        <f ca="1">IFERROR(__xludf.DUMMYFUNCTION("""COMPUTED_VALUE"""),"Lagoa da Confusao")</f>
        <v>Lagoa da Confusao</v>
      </c>
      <c r="D312" s="115" t="str">
        <f ca="1">IFERROR(__xludf.DUMMYFUNCTION("""COMPUTED_VALUE"""),"A.A.  ESTUD COL. EST. LAGOA DA CONFUSAO")</f>
        <v>A.A.  ESTUD COL. EST. LAGOA DA CONFUSAO</v>
      </c>
      <c r="E312" s="114" t="str">
        <f ca="1">IFERROR(__xludf.DUMMYFUNCTION("""COMPUTED_VALUE"""),"Colégio Estadual Lagoa da Confusão")</f>
        <v>Colégio Estadual Lagoa da Confusão</v>
      </c>
      <c r="F312" s="116" t="str">
        <f ca="1">IFERROR(__xludf.DUMMYFUNCTION("""COMPUTED_VALUE"""),"17018994")</f>
        <v>17018994</v>
      </c>
      <c r="G312" s="114" t="str">
        <f ca="1">IFERROR(__xludf.DUMMYFUNCTION("""COMPUTED_VALUE"""),"01179116000100")</f>
        <v>01179116000100</v>
      </c>
      <c r="H312" s="116" t="str">
        <f ca="1">IFERROR(__xludf.DUMMYFUNCTION("""COMPUTED_VALUE"""),"001")</f>
        <v>001</v>
      </c>
      <c r="I312" s="116" t="str">
        <f ca="1">IFERROR(__xludf.DUMMYFUNCTION("""COMPUTED_VALUE"""),"3983")</f>
        <v>3983</v>
      </c>
      <c r="J312" s="116" t="str">
        <f ca="1">IFERROR(__xludf.DUMMYFUNCTION("""COMPUTED_VALUE"""),"84735")</f>
        <v>84735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IFERROR(__xludf.DUMMYFUNCTION("""COMPUTED_VALUE"""),"17053374")</f>
        <v>17053374</v>
      </c>
      <c r="B313" s="114" t="str">
        <f ca="1">IFERROR(__xludf.DUMMYFUNCTION("""COMPUTED_VALUE"""),"Paraíso")</f>
        <v>Paraíso</v>
      </c>
      <c r="C313" s="114" t="str">
        <f ca="1">IFERROR(__xludf.DUMMYFUNCTION("""COMPUTED_VALUE"""),"Lagoa da Confusao")</f>
        <v>Lagoa da Confusao</v>
      </c>
      <c r="D313" s="115" t="str">
        <f ca="1">IFERROR(__xludf.DUMMYFUNCTION("""COMPUTED_VALUE"""),"ASSOCIAÇÃO DA ESCOLA ESPECIAL LAGOA DA CONFUSÃO")</f>
        <v>ASSOCIAÇÃO DA ESCOLA ESPECIAL LAGOA DA CONFUSÃO</v>
      </c>
      <c r="E313" s="114" t="str">
        <f ca="1">IFERROR(__xludf.DUMMYFUNCTION("""COMPUTED_VALUE"""),"Escola Especial Lagoa da Confusão")</f>
        <v>Escola Especial Lagoa da Confusão</v>
      </c>
      <c r="F313" s="116" t="str">
        <f ca="1">IFERROR(__xludf.DUMMYFUNCTION("""COMPUTED_VALUE"""),"17053374")</f>
        <v>17053374</v>
      </c>
      <c r="G313" s="114" t="str">
        <f ca="1">IFERROR(__xludf.DUMMYFUNCTION("""COMPUTED_VALUE"""),"08755554000100")</f>
        <v>08755554000100</v>
      </c>
      <c r="H313" s="116" t="str">
        <f ca="1">IFERROR(__xludf.DUMMYFUNCTION("""COMPUTED_VALUE"""),"001")</f>
        <v>001</v>
      </c>
      <c r="I313" s="116" t="str">
        <f ca="1">IFERROR(__xludf.DUMMYFUNCTION("""COMPUTED_VALUE"""),"3983")</f>
        <v>3983</v>
      </c>
      <c r="J313" s="116" t="str">
        <f ca="1">IFERROR(__xludf.DUMMYFUNCTION("""COMPUTED_VALUE"""),"83712")</f>
        <v>83712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 t="str">
        <f ca="1">IFERROR(__xludf.DUMMYFUNCTION("""COMPUTED_VALUE"""),"CRECHE")</f>
        <v>CRECHE</v>
      </c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IFERROR(__xludf.DUMMYFUNCTION("""COMPUTED_VALUE"""),"17014522")</f>
        <v>17014522</v>
      </c>
      <c r="B314" s="114" t="str">
        <f ca="1">IFERROR(__xludf.DUMMYFUNCTION("""COMPUTED_VALUE"""),"Paraíso")</f>
        <v>Paraíso</v>
      </c>
      <c r="C314" s="114" t="str">
        <f ca="1">IFERROR(__xludf.DUMMYFUNCTION("""COMPUTED_VALUE"""),"Marianopolis do Tocantins")</f>
        <v>Marianopolis do Tocantins</v>
      </c>
      <c r="D314" s="115" t="str">
        <f ca="1">IFERROR(__xludf.DUMMYFUNCTION("""COMPUTED_VALUE"""),"A.A. DO COL. EST. DAVID BARBOSA ROLINS")</f>
        <v>A.A. DO COL. EST. DAVID BARBOSA ROLINS</v>
      </c>
      <c r="E314" s="114" t="str">
        <f ca="1">IFERROR(__xludf.DUMMYFUNCTION("""COMPUTED_VALUE"""),"Colégio Estadual david Barbosa Rolins")</f>
        <v>Colégio Estadual david Barbosa Rolins</v>
      </c>
      <c r="F314" s="116" t="str">
        <f ca="1">IFERROR(__xludf.DUMMYFUNCTION("""COMPUTED_VALUE"""),"17014522")</f>
        <v>17014522</v>
      </c>
      <c r="G314" s="114" t="str">
        <f ca="1">IFERROR(__xludf.DUMMYFUNCTION("""COMPUTED_VALUE"""),"01980050000145")</f>
        <v>01980050000145</v>
      </c>
      <c r="H314" s="116" t="str">
        <f ca="1">IFERROR(__xludf.DUMMYFUNCTION("""COMPUTED_VALUE"""),"001")</f>
        <v>001</v>
      </c>
      <c r="I314" s="116" t="str">
        <f ca="1">IFERROR(__xludf.DUMMYFUNCTION("""COMPUTED_VALUE"""),"0804")</f>
        <v>0804</v>
      </c>
      <c r="J314" s="116" t="str">
        <f ca="1">IFERROR(__xludf.DUMMYFUNCTION("""COMPUTED_VALUE"""),"219045")</f>
        <v>219045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/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IFERROR(__xludf.DUMMYFUNCTION("""COMPUTED_VALUE"""),"17019095")</f>
        <v>17019095</v>
      </c>
      <c r="B315" s="114" t="str">
        <f ca="1">IFERROR(__xludf.DUMMYFUNCTION("""COMPUTED_VALUE"""),"Paraíso")</f>
        <v>Paraíso</v>
      </c>
      <c r="C315" s="114" t="str">
        <f ca="1">IFERROR(__xludf.DUMMYFUNCTION("""COMPUTED_VALUE"""),"Nova Rosalandia")</f>
        <v>Nova Rosalandia</v>
      </c>
      <c r="D315" s="115" t="str">
        <f ca="1">IFERROR(__xludf.DUMMYFUNCTION("""COMPUTED_VALUE"""),"A. ESC. COM. ESC. EST.PEDRO XAVIER TEIXEIRA")</f>
        <v>A. ESC. COM. ESC. EST.PEDRO XAVIER TEIXEIRA</v>
      </c>
      <c r="E315" s="114" t="str">
        <f ca="1">IFERROR(__xludf.DUMMYFUNCTION("""COMPUTED_VALUE"""),"Colégio Estadual Vereador Pedro Xavier Teixeira")</f>
        <v>Colégio Estadual Vereador Pedro Xavier Teixeira</v>
      </c>
      <c r="F315" s="116" t="str">
        <f ca="1">IFERROR(__xludf.DUMMYFUNCTION("""COMPUTED_VALUE"""),"17019095")</f>
        <v>17019095</v>
      </c>
      <c r="G315" s="114" t="str">
        <f ca="1">IFERROR(__xludf.DUMMYFUNCTION("""COMPUTED_VALUE"""),"01068367000100")</f>
        <v>01068367000100</v>
      </c>
      <c r="H315" s="116" t="str">
        <f ca="1">IFERROR(__xludf.DUMMYFUNCTION("""COMPUTED_VALUE"""),"001")</f>
        <v>001</v>
      </c>
      <c r="I315" s="116" t="str">
        <f ca="1">IFERROR(__xludf.DUMMYFUNCTION("""COMPUTED_VALUE"""),"0804")</f>
        <v>0804</v>
      </c>
      <c r="J315" s="116" t="str">
        <f ca="1">IFERROR(__xludf.DUMMYFUNCTION("""COMPUTED_VALUE"""),"234265")</f>
        <v>234265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IFERROR(__xludf.DUMMYFUNCTION("""COMPUTED_VALUE"""),"17019117")</f>
        <v>17019117</v>
      </c>
      <c r="B316" s="114" t="str">
        <f ca="1">IFERROR(__xludf.DUMMYFUNCTION("""COMPUTED_VALUE"""),"Paraíso")</f>
        <v>Paraíso</v>
      </c>
      <c r="C316" s="114" t="str">
        <f ca="1">IFERROR(__xludf.DUMMYFUNCTION("""COMPUTED_VALUE"""),"Nova Rosalandia")</f>
        <v>Nova Rosalandia</v>
      </c>
      <c r="D316" s="115" t="str">
        <f ca="1">IFERROR(__xludf.DUMMYFUNCTION("""COMPUTED_VALUE"""),"A.A. A ESCOLA ESTADUAL CAMPO MAIOR")</f>
        <v>A.A. A ESCOLA ESTADUAL CAMPO MAIOR</v>
      </c>
      <c r="E316" s="114" t="str">
        <f ca="1">IFERROR(__xludf.DUMMYFUNCTION("""COMPUTED_VALUE"""),"Escola Estadual Campo Maior")</f>
        <v>Escola Estadual Campo Maior</v>
      </c>
      <c r="F316" s="116" t="str">
        <f ca="1">IFERROR(__xludf.DUMMYFUNCTION("""COMPUTED_VALUE"""),"17019117")</f>
        <v>17019117</v>
      </c>
      <c r="G316" s="114" t="str">
        <f ca="1">IFERROR(__xludf.DUMMYFUNCTION("""COMPUTED_VALUE"""),"01068373000167")</f>
        <v>01068373000167</v>
      </c>
      <c r="H316" s="116" t="str">
        <f ca="1">IFERROR(__xludf.DUMMYFUNCTION("""COMPUTED_VALUE"""),"001")</f>
        <v>001</v>
      </c>
      <c r="I316" s="116" t="str">
        <f ca="1">IFERROR(__xludf.DUMMYFUNCTION("""COMPUTED_VALUE"""),"0804")</f>
        <v>0804</v>
      </c>
      <c r="J316" s="116" t="str">
        <f ca="1">IFERROR(__xludf.DUMMYFUNCTION("""COMPUTED_VALUE"""),"341290")</f>
        <v>341290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IFERROR(__xludf.DUMMYFUNCTION("""COMPUTED_VALUE"""),"17019125")</f>
        <v>17019125</v>
      </c>
      <c r="B317" s="114" t="str">
        <f ca="1">IFERROR(__xludf.DUMMYFUNCTION("""COMPUTED_VALUE"""),"Paraíso")</f>
        <v>Paraíso</v>
      </c>
      <c r="C317" s="114" t="str">
        <f ca="1">IFERROR(__xludf.DUMMYFUNCTION("""COMPUTED_VALUE"""),"Nova Rosalandia")</f>
        <v>Nova Rosalandia</v>
      </c>
      <c r="D317" s="115" t="str">
        <f ca="1">IFERROR(__xludf.DUMMYFUNCTION("""COMPUTED_VALUE"""),"ASSOC.COM. ESC EST.REGINA SIQUEIRA CAMPOS")</f>
        <v>ASSOC.COM. ESC EST.REGINA SIQUEIRA CAMPOS</v>
      </c>
      <c r="E317" s="114" t="str">
        <f ca="1">IFERROR(__xludf.DUMMYFUNCTION("""COMPUTED_VALUE"""),"Escola Estadual Regina Siqueira Campos")</f>
        <v>Escola Estadual Regina Siqueira Campos</v>
      </c>
      <c r="F317" s="116" t="str">
        <f ca="1">IFERROR(__xludf.DUMMYFUNCTION("""COMPUTED_VALUE"""),"17019125")</f>
        <v>17019125</v>
      </c>
      <c r="G317" s="114" t="str">
        <f ca="1">IFERROR(__xludf.DUMMYFUNCTION("""COMPUTED_VALUE"""),"01181170000182")</f>
        <v>01181170000182</v>
      </c>
      <c r="H317" s="116" t="str">
        <f ca="1">IFERROR(__xludf.DUMMYFUNCTION("""COMPUTED_VALUE"""),"001")</f>
        <v>001</v>
      </c>
      <c r="I317" s="116" t="str">
        <f ca="1">IFERROR(__xludf.DUMMYFUNCTION("""COMPUTED_VALUE"""),"0804")</f>
        <v>0804</v>
      </c>
      <c r="J317" s="116" t="str">
        <f ca="1">IFERROR(__xludf.DUMMYFUNCTION("""COMPUTED_VALUE"""),"16383X")</f>
        <v>16383X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IFERROR(__xludf.DUMMYFUNCTION("""COMPUTED_VALUE"""),"Integral")</f>
        <v>Integral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IFERROR(__xludf.DUMMYFUNCTION("""COMPUTED_VALUE"""),11)</f>
        <v>11</v>
      </c>
      <c r="AK317" s="114"/>
      <c r="AL317" s="117"/>
    </row>
    <row r="318" spans="1:38" ht="12.75">
      <c r="A318" s="113" t="str">
        <f ca="1">IFERROR(__xludf.DUMMYFUNCTION("""COMPUTED_VALUE"""),"17122813")</f>
        <v>17122813</v>
      </c>
      <c r="B318" s="114" t="str">
        <f ca="1">IFERROR(__xludf.DUMMYFUNCTION("""COMPUTED_VALUE"""),"Paraíso")</f>
        <v>Paraíso</v>
      </c>
      <c r="C318" s="114" t="str">
        <f ca="1">IFERROR(__xludf.DUMMYFUNCTION("""COMPUTED_VALUE"""),"Paraiso do Tocantins")</f>
        <v>Paraiso do Tocantins</v>
      </c>
      <c r="D318" s="115" t="str">
        <f ca="1">IFERROR(__xludf.DUMMYFUNCTION("""COMPUTED_VALUE"""),"A.A. ESC. EST.ISOL.INDIG REG PARAISO DO TO")</f>
        <v>A.A. ESC. EST.ISOL.INDIG REG PARAISO DO TO</v>
      </c>
      <c r="E318" s="114" t="str">
        <f ca="1">IFERROR(__xludf.DUMMYFUNCTION("""COMPUTED_VALUE"""),"A.A. Esc.Est.Isol.Indig Reg Paraiso do To")</f>
        <v>A.A. Esc.Est.Isol.Indig Reg Paraiso do To</v>
      </c>
      <c r="F318" s="116" t="str">
        <f ca="1">IFERROR(__xludf.DUMMYFUNCTION("""COMPUTED_VALUE"""),"17122813")</f>
        <v>17122813</v>
      </c>
      <c r="G318" s="114" t="str">
        <f ca="1">IFERROR(__xludf.DUMMYFUNCTION("""COMPUTED_VALUE"""),"05099542000187")</f>
        <v>05099542000187</v>
      </c>
      <c r="H318" s="116" t="str">
        <f ca="1">IFERROR(__xludf.DUMMYFUNCTION("""COMPUTED_VALUE"""),"001")</f>
        <v>001</v>
      </c>
      <c r="I318" s="116" t="str">
        <f ca="1">IFERROR(__xludf.DUMMYFUNCTION("""COMPUTED_VALUE"""),"0804")</f>
        <v>0804</v>
      </c>
      <c r="J318" s="116" t="str">
        <f ca="1">IFERROR(__xludf.DUMMYFUNCTION("""COMPUTED_VALUE"""),"111678")</f>
        <v>111678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/>
      <c r="AE318" s="114" t="str">
        <f ca="1">IFERROR(__xludf.DUMMYFUNCTION("""COMPUTED_VALUE"""),"Parcial")</f>
        <v>Parcial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IFERROR(__xludf.DUMMYFUNCTION("""COMPUTED_VALUE"""),0)</f>
        <v>0</v>
      </c>
      <c r="AK318" s="114"/>
      <c r="AL318" s="117"/>
    </row>
    <row r="319" spans="1:38" ht="12.75">
      <c r="A319" s="113" t="str">
        <f ca="1">IFERROR(__xludf.DUMMYFUNCTION("""COMPUTED_VALUE"""),"17122805")</f>
        <v>17122805</v>
      </c>
      <c r="B319" s="114" t="str">
        <f ca="1">IFERROR(__xludf.DUMMYFUNCTION("""COMPUTED_VALUE"""),"Paraíso")</f>
        <v>Paraíso</v>
      </c>
      <c r="C319" s="114" t="str">
        <f ca="1">IFERROR(__xludf.DUMMYFUNCTION("""COMPUTED_VALUE"""),"Paraiso do Tocantins")</f>
        <v>Paraiso do Tocantins</v>
      </c>
      <c r="D319" s="115" t="str">
        <f ca="1">IFERROR(__xludf.DUMMYFUNCTION("""COMPUTED_VALUE"""),"A.A. COLÉGIO MILITAR DIACONÍZIO BEZERRA DA SILVA")</f>
        <v>A.A. COLÉGIO MILITAR DIACONÍZIO BEZERRA DA SILVA</v>
      </c>
      <c r="E319" s="114" t="str">
        <f ca="1">IFERROR(__xludf.DUMMYFUNCTION("""COMPUTED_VALUE"""),"Centro de Ensino Médio Diaconizio Bezerra da Silva")</f>
        <v>Centro de Ensino Médio Diaconizio Bezerra da Silva</v>
      </c>
      <c r="F319" s="116" t="str">
        <f ca="1">IFERROR(__xludf.DUMMYFUNCTION("""COMPUTED_VALUE"""),"17122805")</f>
        <v>17122805</v>
      </c>
      <c r="G319" s="114" t="str">
        <f ca="1">IFERROR(__xludf.DUMMYFUNCTION("""COMPUTED_VALUE"""),"11675300000197")</f>
        <v>11675300000197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IFERROR(__xludf.DUMMYFUNCTION("""COMPUTED_VALUE"""),"320781")</f>
        <v>320781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IFERROR(__xludf.DUMMYFUNCTION("""COMPUTED_VALUE"""),"17019176")</f>
        <v>17019176</v>
      </c>
      <c r="B320" s="114" t="str">
        <f ca="1">IFERROR(__xludf.DUMMYFUNCTION("""COMPUTED_VALUE"""),"Paraíso")</f>
        <v>Paraíso</v>
      </c>
      <c r="C320" s="114" t="str">
        <f ca="1">IFERROR(__xludf.DUMMYFUNCTION("""COMPUTED_VALUE"""),"Paraiso do Tocantins")</f>
        <v>Paraiso do Tocantins</v>
      </c>
      <c r="D320" s="115" t="str">
        <f ca="1">IFERROR(__xludf.DUMMYFUNCTION("""COMPUTED_VALUE"""),"ASSOC. APOIO AO CEM JOSE ALVES DE ASSIS")</f>
        <v>ASSOC. APOIO AO CEM JOSE ALVES DE ASSIS</v>
      </c>
      <c r="E320" s="114" t="str">
        <f ca="1">IFERROR(__xludf.DUMMYFUNCTION("""COMPUTED_VALUE"""),"Centro de Ensino Médio José Alves de Assis")</f>
        <v>Centro de Ensino Médio José Alves de Assis</v>
      </c>
      <c r="F320" s="116" t="str">
        <f ca="1">IFERROR(__xludf.DUMMYFUNCTION("""COMPUTED_VALUE"""),"17019176")</f>
        <v>17019176</v>
      </c>
      <c r="G320" s="114" t="str">
        <f ca="1">IFERROR(__xludf.DUMMYFUNCTION("""COMPUTED_VALUE"""),"01181169000158")</f>
        <v>01181169000158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IFERROR(__xludf.DUMMYFUNCTION("""COMPUTED_VALUE"""),"286257")</f>
        <v>286257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IFERROR(__xludf.DUMMYFUNCTION("""COMPUTED_VALUE"""),"17019192")</f>
        <v>17019192</v>
      </c>
      <c r="B321" s="114" t="str">
        <f ca="1">IFERROR(__xludf.DUMMYFUNCTION("""COMPUTED_VALUE"""),"Paraíso")</f>
        <v>Paraíso</v>
      </c>
      <c r="C321" s="114" t="str">
        <f ca="1">IFERROR(__xludf.DUMMYFUNCTION("""COMPUTED_VALUE"""),"Paraiso do Tocantins")</f>
        <v>Paraiso do Tocantins</v>
      </c>
      <c r="D321" s="115" t="str">
        <f ca="1">IFERROR(__xludf.DUMMYFUNCTION("""COMPUTED_VALUE"""),"ASSOC. DE APOIO ESC. EST.IDALINA DE PAULA")</f>
        <v>ASSOC. DE APOIO ESC. EST.IDALINA DE PAULA</v>
      </c>
      <c r="E321" s="114" t="str">
        <f ca="1">IFERROR(__xludf.DUMMYFUNCTION("""COMPUTED_VALUE"""),"Colégio Estadual Idalina de Paula")</f>
        <v>Colégio Estadual Idalina de Paula</v>
      </c>
      <c r="F321" s="116" t="str">
        <f ca="1">IFERROR(__xludf.DUMMYFUNCTION("""COMPUTED_VALUE"""),"17019192")</f>
        <v>17019192</v>
      </c>
      <c r="G321" s="114" t="str">
        <f ca="1">IFERROR(__xludf.DUMMYFUNCTION("""COMPUTED_VALUE"""),"01066419000109")</f>
        <v>01066419000109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IFERROR(__xludf.DUMMYFUNCTION("""COMPUTED_VALUE"""),"115797")</f>
        <v>115797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IFERROR(__xludf.DUMMYFUNCTION("""COMPUTED_VALUE"""),"17019290")</f>
        <v>17019290</v>
      </c>
      <c r="B322" s="114" t="str">
        <f ca="1">IFERROR(__xludf.DUMMYFUNCTION("""COMPUTED_VALUE"""),"Paraíso")</f>
        <v>Paraíso</v>
      </c>
      <c r="C322" s="114" t="str">
        <f ca="1">IFERROR(__xludf.DUMMYFUNCTION("""COMPUTED_VALUE"""),"Paraiso do Tocantins")</f>
        <v>Paraiso do Tocantins</v>
      </c>
      <c r="D322" s="115" t="str">
        <f ca="1">IFERROR(__xludf.DUMMYFUNCTION("""COMPUTED_VALUE"""),"ASS. APOIO ESC. EST.PROF. JOSE NEZIO RAMOS")</f>
        <v>ASS. APOIO ESC. EST.PROF. JOSE NEZIO RAMOS</v>
      </c>
      <c r="E322" s="114" t="str">
        <f ca="1">IFERROR(__xludf.DUMMYFUNCTION("""COMPUTED_VALUE"""),"Colégio Estadual Professor José Nézio Ramos ")</f>
        <v xml:space="preserve">Colégio Estadual Professor José Nézio Ramos </v>
      </c>
      <c r="F322" s="116" t="str">
        <f ca="1">IFERROR(__xludf.DUMMYFUNCTION("""COMPUTED_VALUE"""),"17019290")</f>
        <v>17019290</v>
      </c>
      <c r="G322" s="114" t="str">
        <f ca="1">IFERROR(__xludf.DUMMYFUNCTION("""COMPUTED_VALUE"""),"01233716000100")</f>
        <v>01233716000100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IFERROR(__xludf.DUMMYFUNCTION("""COMPUTED_VALUE"""),"0263656")</f>
        <v>0263656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 t="str">
        <f ca="1">IFERROR(__xludf.DUMMYFUNCTION("""COMPUTED_VALUE"""),"INDIGENA /QUILOMBOLA PARCIAL")</f>
        <v>INDIGENA /QUILOMBOLA PARCIAL</v>
      </c>
      <c r="AE322" s="114" t="str">
        <f ca="1">IFERROR(__xludf.DUMMYFUNCTION("""COMPUTED_VALUE"""),"Parcial")</f>
        <v>Parcial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IFERROR(__xludf.DUMMYFUNCTION("""COMPUTED_VALUE"""),0)</f>
        <v>0</v>
      </c>
      <c r="AK322" s="114"/>
      <c r="AL322" s="117"/>
    </row>
    <row r="323" spans="1:38" ht="12.75">
      <c r="A323" s="113" t="str">
        <f ca="1">IFERROR(__xludf.DUMMYFUNCTION("""COMPUTED_VALUE"""),"17040868")</f>
        <v>17040868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IFERROR(__xludf.DUMMYFUNCTION("""COMPUTED_VALUE"""),"AAE. ESPECIAL LUZ DA VIDA")</f>
        <v>AAE. ESPECIAL LUZ DA VIDA</v>
      </c>
      <c r="E323" s="114" t="str">
        <f ca="1">IFERROR(__xludf.DUMMYFUNCTION("""COMPUTED_VALUE"""),"Escola Especial Luz da Vida")</f>
        <v>Escola Especial Luz da Vida</v>
      </c>
      <c r="F323" s="116" t="str">
        <f ca="1">IFERROR(__xludf.DUMMYFUNCTION("""COMPUTED_VALUE"""),"17040868")</f>
        <v>17040868</v>
      </c>
      <c r="G323" s="114" t="str">
        <f ca="1">IFERROR(__xludf.DUMMYFUNCTION("""COMPUTED_VALUE"""),"07905330000175")</f>
        <v>07905330000175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IFERROR(__xludf.DUMMYFUNCTION("""COMPUTED_VALUE"""),"331724")</f>
        <v>331724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/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IFERROR(__xludf.DUMMYFUNCTION("""COMPUTED_VALUE"""),"17019184")</f>
        <v>17019184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IFERROR(__xludf.DUMMYFUNCTION("""COMPUTED_VALUE"""),"ASS. DE APOIO ESC. EST. AMANCIO DE MORAES")</f>
        <v>ASS. DE APOIO ESC. EST. AMANCIO DE MORAES</v>
      </c>
      <c r="E324" s="114" t="str">
        <f ca="1">IFERROR(__xludf.DUMMYFUNCTION("""COMPUTED_VALUE"""),"Escola Estadual Amâncio de Moraes")</f>
        <v>Escola Estadual Amâncio de Moraes</v>
      </c>
      <c r="F324" s="116" t="str">
        <f ca="1">IFERROR(__xludf.DUMMYFUNCTION("""COMPUTED_VALUE"""),"17019184")</f>
        <v>17019184</v>
      </c>
      <c r="G324" s="114" t="str">
        <f ca="1">IFERROR(__xludf.DUMMYFUNCTION("""COMPUTED_VALUE"""),"01068375000156")</f>
        <v>01068375000156</v>
      </c>
      <c r="H324" s="116" t="str">
        <f ca="1">IFERROR(__xludf.DUMMYFUNCTION("""COMPUTED_VALUE"""),"104")</f>
        <v>104</v>
      </c>
      <c r="I324" s="116" t="str">
        <f ca="1">IFERROR(__xludf.DUMMYFUNCTION("""COMPUTED_VALUE"""),"1141")</f>
        <v>1141</v>
      </c>
      <c r="J324" s="116" t="str">
        <f ca="1">IFERROR(__xludf.DUMMYFUNCTION("""COMPUTED_VALUE"""),"308140")</f>
        <v>308140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 t="str">
        <f ca="1">IFERROR(__xludf.DUMMYFUNCTION("""COMPUTED_VALUE"""),"CRECHE")</f>
        <v>CRECHE</v>
      </c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IFERROR(__xludf.DUMMYFUNCTION("""COMPUTED_VALUE"""),"17040205")</f>
        <v>17040205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IFERROR(__xludf.DUMMYFUNCTION("""COMPUTED_VALUE"""),"A.A. ESCOLA ESTADUAL DEUSA DE MORAES")</f>
        <v>A.A. ESCOLA ESTADUAL DEUSA DE MORAES</v>
      </c>
      <c r="E325" s="114" t="str">
        <f ca="1">IFERROR(__xludf.DUMMYFUNCTION("""COMPUTED_VALUE"""),"Escola Estadual Deusa Moraes")</f>
        <v>Escola Estadual Deusa Moraes</v>
      </c>
      <c r="F325" s="116" t="str">
        <f ca="1">IFERROR(__xludf.DUMMYFUNCTION("""COMPUTED_VALUE"""),"17040205")</f>
        <v>17040205</v>
      </c>
      <c r="G325" s="114" t="str">
        <f ca="1">IFERROR(__xludf.DUMMYFUNCTION("""COMPUTED_VALUE"""),"01068362000187")</f>
        <v>01068362000187</v>
      </c>
      <c r="H325" s="116" t="str">
        <f ca="1">IFERROR(__xludf.DUMMYFUNCTION("""COMPUTED_VALUE"""),"001")</f>
        <v>001</v>
      </c>
      <c r="I325" s="116" t="str">
        <f ca="1">IFERROR(__xludf.DUMMYFUNCTION("""COMPUTED_VALUE"""),"0804")</f>
        <v>0804</v>
      </c>
      <c r="J325" s="116" t="str">
        <f ca="1">IFERROR(__xludf.DUMMYFUNCTION("""COMPUTED_VALUE"""),"304549")</f>
        <v>304549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/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IFERROR(__xludf.DUMMYFUNCTION("""COMPUTED_VALUE"""),"17019265")</f>
        <v>17019265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IFERROR(__xludf.DUMMYFUNCTION("""COMPUTED_VALUE"""),"A. ESC COM. DA ESC EST J.K. DE OLIVEIRA")</f>
        <v>A. ESC COM. DA ESC EST J.K. DE OLIVEIRA</v>
      </c>
      <c r="E326" s="114" t="str">
        <f ca="1">IFERROR(__xludf.DUMMYFUNCTION("""COMPUTED_VALUE"""),"Escola Estadual Juscelino Kubitschek de Oliveira")</f>
        <v>Escola Estadual Juscelino Kubitschek de Oliveira</v>
      </c>
      <c r="F326" s="116" t="str">
        <f ca="1">IFERROR(__xludf.DUMMYFUNCTION("""COMPUTED_VALUE"""),"17019265")</f>
        <v>17019265</v>
      </c>
      <c r="G326" s="114" t="str">
        <f ca="1">IFERROR(__xludf.DUMMYFUNCTION("""COMPUTED_VALUE"""),"00921537000194")</f>
        <v>00921537000194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IFERROR(__xludf.DUMMYFUNCTION("""COMPUTED_VALUE"""),"163821")</f>
        <v>163821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IFERROR(__xludf.DUMMYFUNCTION("""COMPUTED_VALUE"""),"17019303")</f>
        <v>17019303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IFERROR(__xludf.DUMMYFUNCTION("""COMPUTED_VALUE"""),"A.A.  ESCOLA EST. SAO JOSE OPERARIO")</f>
        <v>A.A.  ESCOLA EST. SAO JOSE OPERARIO</v>
      </c>
      <c r="E327" s="114" t="str">
        <f ca="1">IFERROR(__xludf.DUMMYFUNCTION("""COMPUTED_VALUE"""),"Escola Estadual São José Operário")</f>
        <v>Escola Estadual São José Operário</v>
      </c>
      <c r="F327" s="116" t="str">
        <f ca="1">IFERROR(__xludf.DUMMYFUNCTION("""COMPUTED_VALUE"""),"17019303")</f>
        <v>17019303</v>
      </c>
      <c r="G327" s="114" t="str">
        <f ca="1">IFERROR(__xludf.DUMMYFUNCTION("""COMPUTED_VALUE"""),"01186454000161")</f>
        <v>01186454000161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IFERROR(__xludf.DUMMYFUNCTION("""COMPUTED_VALUE"""),"285986")</f>
        <v>285986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 t="str">
        <f ca="1">IFERROR(__xludf.DUMMYFUNCTION("""COMPUTED_VALUE"""),"E.M. INTEGRADO")</f>
        <v>E.M. INTEGRADO</v>
      </c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IFERROR(__xludf.DUMMYFUNCTION("""COMPUTED_VALUE"""),"17019206")</f>
        <v>17019206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IFERROR(__xludf.DUMMYFUNCTION("""COMPUTED_VALUE"""),"A.A. DO COL. PRESB. VALE DO TOCANTINS")</f>
        <v>A.A. DO COL. PRESB. VALE DO TOCANTINS</v>
      </c>
      <c r="E328" s="114" t="str">
        <f ca="1">IFERROR(__xludf.DUMMYFUNCTION("""COMPUTED_VALUE"""),"Instituto Presbiteriano Vale do Tocantins")</f>
        <v>Instituto Presbiteriano Vale do Tocantins</v>
      </c>
      <c r="F328" s="116" t="str">
        <f ca="1">IFERROR(__xludf.DUMMYFUNCTION("""COMPUTED_VALUE"""),"17019206")</f>
        <v>17019206</v>
      </c>
      <c r="G328" s="114" t="str">
        <f ca="1">IFERROR(__xludf.DUMMYFUNCTION("""COMPUTED_VALUE"""),"01071426000107")</f>
        <v>01071426000107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IFERROR(__xludf.DUMMYFUNCTION("""COMPUTED_VALUE"""),"311618")</f>
        <v>311618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/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IFERROR(__xludf.DUMMYFUNCTION("""COMPUTED_VALUE"""),"17057108")</f>
        <v>17057108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IFERROR(__xludf.DUMMYFUNCTION("""COMPUTED_VALUE"""),"ASS. A. ESCOLA EST. DE TEMPO INTEGRAL PROFESSORA RITA ANDRADE SANTOS")</f>
        <v>ASS. A. ESCOLA EST. DE TEMPO INTEGRAL PROFESSORA RITA ANDRADE SANTOS</v>
      </c>
      <c r="E329" s="114" t="str">
        <f ca="1">IFERROR(__xludf.DUMMYFUNCTION("""COMPUTED_VALUE"""),"Escola de Tempo Integral Professora Rita Andrade Santos")</f>
        <v>Escola de Tempo Integral Professora Rita Andrade Santos</v>
      </c>
      <c r="F329" s="116" t="str">
        <f ca="1">IFERROR(__xludf.DUMMYFUNCTION("""COMPUTED_VALUE"""),"17057108")</f>
        <v>17057108</v>
      </c>
      <c r="G329" s="114" t="str">
        <f ca="1">IFERROR(__xludf.DUMMYFUNCTION("""COMPUTED_VALUE"""),"48740961000169")</f>
        <v>48740961000169</v>
      </c>
      <c r="H329" s="116" t="str">
        <f ca="1">IFERROR(__xludf.DUMMYFUNCTION("""COMPUTED_VALUE"""),"001")</f>
        <v>001</v>
      </c>
      <c r="I329" s="116" t="str">
        <f ca="1">IFERROR(__xludf.DUMMYFUNCTION("""COMPUTED_VALUE"""),"0804")</f>
        <v>0804</v>
      </c>
      <c r="J329" s="116" t="str">
        <f ca="1">IFERROR(__xludf.DUMMYFUNCTION("""COMPUTED_VALUE"""),"58858X")</f>
        <v>58858X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/>
      <c r="AE329" s="114" t="str">
        <f ca="1">IFERROR(__xludf.DUMMYFUNCTION("""COMPUTED_VALUE"""),"Integral")</f>
        <v>Integral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IFERROR(__xludf.DUMMYFUNCTION("""COMPUTED_VALUE"""),38)</f>
        <v>38</v>
      </c>
      <c r="AK329" s="114"/>
      <c r="AL329" s="117"/>
    </row>
    <row r="330" spans="1:38" ht="12.75">
      <c r="A330" s="113" t="str">
        <f ca="1">IFERROR(__xludf.DUMMYFUNCTION("""COMPUTED_VALUE"""),"17019729")</f>
        <v>17019729</v>
      </c>
      <c r="B330" s="114" t="str">
        <f ca="1">IFERROR(__xludf.DUMMYFUNCTION("""COMPUTED_VALUE"""),"Paraíso")</f>
        <v>Paraíso</v>
      </c>
      <c r="C330" s="114" t="str">
        <f ca="1">IFERROR(__xludf.DUMMYFUNCTION("""COMPUTED_VALUE"""),"Pium")</f>
        <v>Pium</v>
      </c>
      <c r="D330" s="115" t="str">
        <f ca="1">IFERROR(__xludf.DUMMYFUNCTION("""COMPUTED_VALUE"""),"A.A. COLEGIO ESTADUAL BARTOLOMEU BUENO")</f>
        <v>A.A. COLEGIO ESTADUAL BARTOLOMEU BUENO</v>
      </c>
      <c r="E330" s="114" t="str">
        <f ca="1">IFERROR(__xludf.DUMMYFUNCTION("""COMPUTED_VALUE"""),"Colégio Estadual Bartolomeu Bueno")</f>
        <v>Colégio Estadual Bartolomeu Bueno</v>
      </c>
      <c r="F330" s="116" t="str">
        <f ca="1">IFERROR(__xludf.DUMMYFUNCTION("""COMPUTED_VALUE"""),"17019729")</f>
        <v>17019729</v>
      </c>
      <c r="G330" s="114" t="str">
        <f ca="1">IFERROR(__xludf.DUMMYFUNCTION("""COMPUTED_VALUE"""),"01071436000134")</f>
        <v>01071436000134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IFERROR(__xludf.DUMMYFUNCTION("""COMPUTED_VALUE"""),"286206")</f>
        <v>286206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 t="str">
        <f ca="1">IFERROR(__xludf.DUMMYFUNCTION("""COMPUTED_VALUE"""),"E.M. INTEGRADO")</f>
        <v>E.M. INTEGRADO</v>
      </c>
      <c r="AE330" s="114" t="str">
        <f ca="1">IFERROR(__xludf.DUMMYFUNCTION("""COMPUTED_VALUE"""),"Parcial")</f>
        <v>Parcial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IFERROR(__xludf.DUMMYFUNCTION("""COMPUTED_VALUE"""),0)</f>
        <v>0</v>
      </c>
      <c r="AK330" s="114"/>
      <c r="AL330" s="117"/>
    </row>
    <row r="331" spans="1:38" ht="12.75">
      <c r="A331" s="113" t="str">
        <f ca="1">IFERROR(__xludf.DUMMYFUNCTION("""COMPUTED_VALUE"""),"17046386")</f>
        <v>17046386</v>
      </c>
      <c r="B331" s="114" t="str">
        <f ca="1">IFERROR(__xludf.DUMMYFUNCTION("""COMPUTED_VALUE"""),"Paraíso")</f>
        <v>Paraíso</v>
      </c>
      <c r="C331" s="114" t="str">
        <f ca="1">IFERROR(__xludf.DUMMYFUNCTION("""COMPUTED_VALUE"""),"Pugmil")</f>
        <v>Pugmil</v>
      </c>
      <c r="D331" s="115" t="str">
        <f ca="1">IFERROR(__xludf.DUMMYFUNCTION("""COMPUTED_VALUE"""),"A.A. DA ESC. EST. DARCY RIBEIRO")</f>
        <v>A.A. DA ESC. EST. DARCY RIBEIRO</v>
      </c>
      <c r="E331" s="114" t="str">
        <f ca="1">IFERROR(__xludf.DUMMYFUNCTION("""COMPUTED_VALUE"""),"Colégio Estadual darcy Ribeiro")</f>
        <v>Colégio Estadual darcy Ribeiro</v>
      </c>
      <c r="F331" s="116" t="str">
        <f ca="1">IFERROR(__xludf.DUMMYFUNCTION("""COMPUTED_VALUE"""),"17046386")</f>
        <v>17046386</v>
      </c>
      <c r="G331" s="114" t="str">
        <f ca="1">IFERROR(__xludf.DUMMYFUNCTION("""COMPUTED_VALUE"""),"02382845000114")</f>
        <v>02382845000114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IFERROR(__xludf.DUMMYFUNCTION("""COMPUTED_VALUE"""),"286648")</f>
        <v>286648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/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IFERROR(__xludf.DUMMYFUNCTION("""COMPUTED_VALUE"""),"17023530")</f>
        <v>17023530</v>
      </c>
      <c r="B332" s="114" t="str">
        <f ca="1">IFERROR(__xludf.DUMMYFUNCTION("""COMPUTED_VALUE"""),"Pedro Afonso")</f>
        <v>Pedro Afonso</v>
      </c>
      <c r="C332" s="114" t="str">
        <f ca="1">IFERROR(__xludf.DUMMYFUNCTION("""COMPUTED_VALUE"""),"Bom Jesus do Tocantins")</f>
        <v>Bom Jesus do Tocantins</v>
      </c>
      <c r="D332" s="115" t="str">
        <f ca="1">IFERROR(__xludf.DUMMYFUNCTION("""COMPUTED_VALUE"""),"ASSOC. DE AP.A ESC. EST. ALFREDO NASSER")</f>
        <v>ASSOC. DE AP.A ESC. EST. ALFREDO NASSER</v>
      </c>
      <c r="E332" s="114" t="str">
        <f ca="1">IFERROR(__xludf.DUMMYFUNCTION("""COMPUTED_VALUE"""),"Escola Estadual Alfredo Nasser")</f>
        <v>Escola Estadual Alfredo Nasser</v>
      </c>
      <c r="F332" s="116" t="str">
        <f ca="1">IFERROR(__xludf.DUMMYFUNCTION("""COMPUTED_VALUE"""),"17023530")</f>
        <v>17023530</v>
      </c>
      <c r="G332" s="114" t="str">
        <f ca="1">IFERROR(__xludf.DUMMYFUNCTION("""COMPUTED_VALUE"""),"01138329000186")</f>
        <v>01138329000186</v>
      </c>
      <c r="H332" s="116" t="str">
        <f ca="1">IFERROR(__xludf.DUMMYFUNCTION("""COMPUTED_VALUE"""),"001")</f>
        <v>001</v>
      </c>
      <c r="I332" s="116" t="str">
        <f ca="1">IFERROR(__xludf.DUMMYFUNCTION("""COMPUTED_VALUE"""),"1595")</f>
        <v>1595</v>
      </c>
      <c r="J332" s="116" t="str">
        <f ca="1">IFERROR(__xludf.DUMMYFUNCTION("""COMPUTED_VALUE"""),"59277")</f>
        <v>59277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 t="str">
        <f ca="1">IFERROR(__xludf.DUMMYFUNCTION("""COMPUTED_VALUE"""),"E.M. INTEGRADO")</f>
        <v>E.M. INTEGRADO</v>
      </c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IFERROR(__xludf.DUMMYFUNCTION("""COMPUTED_VALUE"""),"17027705")</f>
        <v>17027705</v>
      </c>
      <c r="B333" s="114" t="str">
        <f ca="1">IFERROR(__xludf.DUMMYFUNCTION("""COMPUTED_VALUE"""),"Pedro Afonso")</f>
        <v>Pedro Afonso</v>
      </c>
      <c r="C333" s="114" t="str">
        <f ca="1">IFERROR(__xludf.DUMMYFUNCTION("""COMPUTED_VALUE"""),"Centenario")</f>
        <v>Centenario</v>
      </c>
      <c r="D333" s="115" t="str">
        <f ca="1">IFERROR(__xludf.DUMMYFUNCTION("""COMPUTED_VALUE"""),"A. ESC. COM. DO COL. EST. OTONIEL C.DE JESUS")</f>
        <v>A. ESC. COM. DO COL. EST. OTONIEL C.DE JESUS</v>
      </c>
      <c r="E333" s="114" t="str">
        <f ca="1">IFERROR(__xludf.DUMMYFUNCTION("""COMPUTED_VALUE"""),"Colégio Estadual Otoniel Cavalcante de Jesus")</f>
        <v>Colégio Estadual Otoniel Cavalcante de Jesus</v>
      </c>
      <c r="F333" s="116" t="str">
        <f ca="1">IFERROR(__xludf.DUMMYFUNCTION("""COMPUTED_VALUE"""),"17027705")</f>
        <v>17027705</v>
      </c>
      <c r="G333" s="114" t="str">
        <f ca="1">IFERROR(__xludf.DUMMYFUNCTION("""COMPUTED_VALUE"""),"02008180000183")</f>
        <v>02008180000183</v>
      </c>
      <c r="H333" s="116" t="str">
        <f ca="1">IFERROR(__xludf.DUMMYFUNCTION("""COMPUTED_VALUE"""),"001")</f>
        <v>001</v>
      </c>
      <c r="I333" s="116" t="str">
        <f ca="1">IFERROR(__xludf.DUMMYFUNCTION("""COMPUTED_VALUE"""),"1595")</f>
        <v>1595</v>
      </c>
      <c r="J333" s="116" t="str">
        <f ca="1">IFERROR(__xludf.DUMMYFUNCTION("""COMPUTED_VALUE"""),"10081")</f>
        <v>10081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/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IFERROR(__xludf.DUMMYFUNCTION("""COMPUTED_VALUE"""),"17028795")</f>
        <v>17028795</v>
      </c>
      <c r="B334" s="114" t="str">
        <f ca="1">IFERROR(__xludf.DUMMYFUNCTION("""COMPUTED_VALUE"""),"Pedro Afonso")</f>
        <v>Pedro Afonso</v>
      </c>
      <c r="C334" s="114" t="str">
        <f ca="1">IFERROR(__xludf.DUMMYFUNCTION("""COMPUTED_VALUE"""),"Itacaja")</f>
        <v>Itacaja</v>
      </c>
      <c r="D334" s="115" t="str">
        <f ca="1">IFERROR(__xludf.DUMMYFUNCTION("""COMPUTED_VALUE"""),"A.A. COLEGIO ESTADUAL DE ITACAJA")</f>
        <v>A.A. COLEGIO ESTADUAL DE ITACAJA</v>
      </c>
      <c r="E334" s="114" t="str">
        <f ca="1">IFERROR(__xludf.DUMMYFUNCTION("""COMPUTED_VALUE"""),"Colégio Estadual de Itacajá")</f>
        <v>Colégio Estadual de Itacajá</v>
      </c>
      <c r="F334" s="116" t="str">
        <f ca="1">IFERROR(__xludf.DUMMYFUNCTION("""COMPUTED_VALUE"""),"17028795")</f>
        <v>17028795</v>
      </c>
      <c r="G334" s="114" t="str">
        <f ca="1">IFERROR(__xludf.DUMMYFUNCTION("""COMPUTED_VALUE"""),"01138428000168")</f>
        <v>01138428000168</v>
      </c>
      <c r="H334" s="116" t="str">
        <f ca="1">IFERROR(__xludf.DUMMYFUNCTION("""COMPUTED_VALUE"""),"001")</f>
        <v>001</v>
      </c>
      <c r="I334" s="116" t="str">
        <f ca="1">IFERROR(__xludf.DUMMYFUNCTION("""COMPUTED_VALUE"""),"1595")</f>
        <v>1595</v>
      </c>
      <c r="J334" s="116" t="str">
        <f ca="1">IFERROR(__xludf.DUMMYFUNCTION("""COMPUTED_VALUE"""),"59773")</f>
        <v>59773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IFERROR(__xludf.DUMMYFUNCTION("""COMPUTED_VALUE"""),"Parcial")</f>
        <v>Parcial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IFERROR(__xludf.DUMMYFUNCTION("""COMPUTED_VALUE"""),0)</f>
        <v>0</v>
      </c>
      <c r="AK334" s="114"/>
      <c r="AL334" s="117"/>
    </row>
    <row r="335" spans="1:38" ht="12.75">
      <c r="A335" s="113" t="str">
        <f ca="1">IFERROR(__xludf.DUMMYFUNCTION("""COMPUTED_VALUE"""),"17028809")</f>
        <v>17028809</v>
      </c>
      <c r="B335" s="114" t="str">
        <f ca="1">IFERROR(__xludf.DUMMYFUNCTION("""COMPUTED_VALUE"""),"Pedro Afonso")</f>
        <v>Pedro Afonso</v>
      </c>
      <c r="C335" s="114" t="str">
        <f ca="1">IFERROR(__xludf.DUMMYFUNCTION("""COMPUTED_VALUE"""),"Itacaja")</f>
        <v>Itacaja</v>
      </c>
      <c r="D335" s="115" t="str">
        <f ca="1">IFERROR(__xludf.DUMMYFUNCTION("""COMPUTED_VALUE"""),"ASSOC. APOIO ESC. EST. ALMEIDA SARDINHA")</f>
        <v>ASSOC. APOIO ESC. EST. ALMEIDA SARDINHA</v>
      </c>
      <c r="E335" s="114" t="str">
        <f ca="1">IFERROR(__xludf.DUMMYFUNCTION("""COMPUTED_VALUE"""),"Escola Estadual Almeida Sardinha")</f>
        <v>Escola Estadual Almeida Sardinha</v>
      </c>
      <c r="F335" s="116" t="str">
        <f ca="1">IFERROR(__xludf.DUMMYFUNCTION("""COMPUTED_VALUE"""),"17028809")</f>
        <v>17028809</v>
      </c>
      <c r="G335" s="114" t="str">
        <f ca="1">IFERROR(__xludf.DUMMYFUNCTION("""COMPUTED_VALUE"""),"01138335000133")</f>
        <v>01138335000133</v>
      </c>
      <c r="H335" s="116" t="str">
        <f ca="1">IFERROR(__xludf.DUMMYFUNCTION("""COMPUTED_VALUE"""),"001")</f>
        <v>001</v>
      </c>
      <c r="I335" s="116" t="str">
        <f ca="1">IFERROR(__xludf.DUMMYFUNCTION("""COMPUTED_VALUE"""),"2094")</f>
        <v>2094</v>
      </c>
      <c r="J335" s="116" t="str">
        <f ca="1">IFERROR(__xludf.DUMMYFUNCTION("""COMPUTED_VALUE"""),"466484")</f>
        <v>466484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 t="str">
        <f ca="1">IFERROR(__xludf.DUMMYFUNCTION("""COMPUTED_VALUE"""),"E.M. INTEGRADO")</f>
        <v>E.M. INTEGRADO</v>
      </c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IFERROR(__xludf.DUMMYFUNCTION("""COMPUTED_VALUE"""),"17056268")</f>
        <v>17056268</v>
      </c>
      <c r="B336" s="114" t="str">
        <f ca="1">IFERROR(__xludf.DUMMYFUNCTION("""COMPUTED_VALUE"""),"Pedro Afonso")</f>
        <v>Pedro Afonso</v>
      </c>
      <c r="C336" s="114" t="str">
        <f ca="1">IFERROR(__xludf.DUMMYFUNCTION("""COMPUTED_VALUE"""),"Itacajá")</f>
        <v>Itacajá</v>
      </c>
      <c r="D336" s="115" t="str">
        <f ca="1">IFERROR(__xludf.DUMMYFUNCTION("""COMPUTED_VALUE"""),"A.A. ESCOLAS ESTADUAIS INDIGENAS DE ITACAJA II")</f>
        <v>A.A. ESCOLAS ESTADUAIS INDIGENAS DE ITACAJA II</v>
      </c>
      <c r="E336" s="114" t="str">
        <f ca="1">IFERROR(__xludf.DUMMYFUNCTION("""COMPUTED_VALUE"""),"A.A. Escolas Estaduais Indígenas de Itacajá II")</f>
        <v>A.A. Escolas Estaduais Indígenas de Itacajá II</v>
      </c>
      <c r="F336" s="116" t="str">
        <f ca="1">IFERROR(__xludf.DUMMYFUNCTION("""COMPUTED_VALUE"""),"17056268")</f>
        <v>17056268</v>
      </c>
      <c r="G336" s="114" t="str">
        <f ca="1">IFERROR(__xludf.DUMMYFUNCTION("""COMPUTED_VALUE"""),"43551682000133")</f>
        <v>43551682000133</v>
      </c>
      <c r="H336" s="116" t="str">
        <f ca="1">IFERROR(__xludf.DUMMYFUNCTION("""COMPUTED_VALUE"""),"001")</f>
        <v>001</v>
      </c>
      <c r="I336" s="116" t="str">
        <f ca="1">IFERROR(__xludf.DUMMYFUNCTION("""COMPUTED_VALUE"""),"1595")</f>
        <v>1595</v>
      </c>
      <c r="J336" s="116" t="str">
        <f ca="1">IFERROR(__xludf.DUMMYFUNCTION("""COMPUTED_VALUE"""),"327905")</f>
        <v>327905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 t="str">
        <f ca="1">IFERROR(__xludf.DUMMYFUNCTION("""COMPUTED_VALUE"""),"INDIGENA /QUILOMBOLA PARCIAL")</f>
        <v>INDIGENA /QUILOMBOLA PARCIAL</v>
      </c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IFERROR(__xludf.DUMMYFUNCTION("""COMPUTED_VALUE"""),"17029341")</f>
        <v>17029341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IFERROR(__xludf.DUMMYFUNCTION("""COMPUTED_VALUE"""),"Pedro Afonso")</f>
        <v>Pedro Afonso</v>
      </c>
      <c r="D337" s="115" t="str">
        <f ca="1">IFERROR(__xludf.DUMMYFUNCTION("""COMPUTED_VALUE"""),"A.A. EC.INDIGENAS")</f>
        <v>A.A. EC.INDIGENAS</v>
      </c>
      <c r="E337" s="114" t="str">
        <f ca="1">IFERROR(__xludf.DUMMYFUNCTION("""COMPUTED_VALUE"""),"A.A. Ec.Indigenas")</f>
        <v>A.A. Ec.Indigenas</v>
      </c>
      <c r="F337" s="116" t="str">
        <f ca="1">IFERROR(__xludf.DUMMYFUNCTION("""COMPUTED_VALUE"""),"17029341")</f>
        <v>17029341</v>
      </c>
      <c r="G337" s="114" t="str">
        <f ca="1">IFERROR(__xludf.DUMMYFUNCTION("""COMPUTED_VALUE"""),"06135108000178")</f>
        <v>06135108000178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IFERROR(__xludf.DUMMYFUNCTION("""COMPUTED_VALUE"""),"114499")</f>
        <v>114499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/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IFERROR(__xludf.DUMMYFUNCTION("""COMPUTED_VALUE"""),"17024358")</f>
        <v>17024358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IFERROR(__xludf.DUMMYFUNCTION("""COMPUTED_VALUE"""),"Pedro Afonso")</f>
        <v>Pedro Afonso</v>
      </c>
      <c r="D338" s="115" t="str">
        <f ca="1">IFERROR(__xludf.DUMMYFUNCTION("""COMPUTED_VALUE"""),"A.A. E. EST.IS.DA REG.DE ENS.DE GUARAI")</f>
        <v>A.A. E. EST.IS.DA REG.DE ENS.DE GUARAI</v>
      </c>
      <c r="E338" s="114" t="str">
        <f ca="1">IFERROR(__xludf.DUMMYFUNCTION("""COMPUTED_VALUE"""),"A.A. Escolas Isoladas de  Pedro Afonso ( Escola Est. de Anajanópolis)")</f>
        <v>A.A. Escolas Isoladas de  Pedro Afonso ( Escola Est. de Anajanópolis)</v>
      </c>
      <c r="F338" s="116" t="str">
        <f ca="1">IFERROR(__xludf.DUMMYFUNCTION("""COMPUTED_VALUE"""),"17024358")</f>
        <v>17024358</v>
      </c>
      <c r="G338" s="114" t="str">
        <f ca="1">IFERROR(__xludf.DUMMYFUNCTION("""COMPUTED_VALUE"""),"02508361000179")</f>
        <v>02508361000179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IFERROR(__xludf.DUMMYFUNCTION("""COMPUTED_VALUE"""),"110663")</f>
        <v>110663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IFERROR(__xludf.DUMMYFUNCTION("""COMPUTED_VALUE"""),"17024307")</f>
        <v>17024307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IFERROR(__xludf.DUMMYFUNCTION("""COMPUTED_VALUE"""),"Pedro Afonso")</f>
        <v>Pedro Afonso</v>
      </c>
      <c r="D339" s="115" t="str">
        <f ca="1">IFERROR(__xludf.DUMMYFUNCTION("""COMPUTED_VALUE"""),"A.A. ESCOLAR DO COLEGIO EST.CRISTO REI")</f>
        <v>A.A. ESCOLAR DO COLEGIO EST.CRISTO REI</v>
      </c>
      <c r="E339" s="114" t="str">
        <f ca="1">IFERROR(__xludf.DUMMYFUNCTION("""COMPUTED_VALUE"""),"Colégio Cristo Rei")</f>
        <v>Colégio Cristo Rei</v>
      </c>
      <c r="F339" s="116" t="str">
        <f ca="1">IFERROR(__xludf.DUMMYFUNCTION("""COMPUTED_VALUE"""),"17024307")</f>
        <v>17024307</v>
      </c>
      <c r="G339" s="114" t="str">
        <f ca="1">IFERROR(__xludf.DUMMYFUNCTION("""COMPUTED_VALUE"""),"02250658000187")</f>
        <v>02250658000187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IFERROR(__xludf.DUMMYFUNCTION("""COMPUTED_VALUE"""),"66141")</f>
        <v>66141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 t="str">
        <f ca="1">IFERROR(__xludf.DUMMYFUNCTION("""COMPUTED_VALUE"""),"INDIGENA /QUILOMBOLA PARCIAL")</f>
        <v>INDIGENA /QUILOMBOLA PARCIAL</v>
      </c>
      <c r="AE339" s="114" t="str">
        <f ca="1">IFERROR(__xludf.DUMMYFUNCTION("""COMPUTED_VALUE"""),"Parcial/Integral")</f>
        <v>Parcial/Integral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IFERROR(__xludf.DUMMYFUNCTION("""COMPUTED_VALUE"""),"17051932")</f>
        <v>17051932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IFERROR(__xludf.DUMMYFUNCTION("""COMPUTED_VALUE"""),"Pedro Afonso")</f>
        <v>Pedro Afonso</v>
      </c>
      <c r="D340" s="115" t="str">
        <f ca="1">IFERROR(__xludf.DUMMYFUNCTION("""COMPUTED_VALUE"""),"ASSOCIAÇÃO DE PAIS E AMIGOS DOS EXCEPCIONAIS DE PEDRO AFONSO")</f>
        <v>ASSOCIAÇÃO DE PAIS E AMIGOS DOS EXCEPCIONAIS DE PEDRO AFONSO</v>
      </c>
      <c r="E340" s="114" t="str">
        <f ca="1">IFERROR(__xludf.DUMMYFUNCTION("""COMPUTED_VALUE"""),"Escola Especial Santuário da Vida")</f>
        <v>Escola Especial Santuário da Vida</v>
      </c>
      <c r="F340" s="116" t="str">
        <f ca="1">IFERROR(__xludf.DUMMYFUNCTION("""COMPUTED_VALUE"""),"17051932")</f>
        <v>17051932</v>
      </c>
      <c r="G340" s="114" t="str">
        <f ca="1">IFERROR(__xludf.DUMMYFUNCTION("""COMPUTED_VALUE"""),"04406588000139")</f>
        <v>04406588000139</v>
      </c>
      <c r="H340" s="116" t="str">
        <f ca="1">IFERROR(__xludf.DUMMYFUNCTION("""COMPUTED_VALUE"""),"001")</f>
        <v>001</v>
      </c>
      <c r="I340" s="116" t="str">
        <f ca="1">IFERROR(__xludf.DUMMYFUNCTION("""COMPUTED_VALUE"""),"1595")</f>
        <v>1595</v>
      </c>
      <c r="J340" s="116" t="str">
        <f ca="1">IFERROR(__xludf.DUMMYFUNCTION("""COMPUTED_VALUE"""),"119105")</f>
        <v>119105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IFERROR(__xludf.DUMMYFUNCTION("""COMPUTED_VALUE"""),"E.M. INTEGRADO")</f>
        <v>E.M. INTEGRADO</v>
      </c>
      <c r="AE340" s="114" t="str">
        <f ca="1">IFERROR(__xludf.DUMMYFUNCTION("""COMPUTED_VALUE"""),"Parcial")</f>
        <v>Parcial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IFERROR(__xludf.DUMMYFUNCTION("""COMPUTED_VALUE"""),"17024323")</f>
        <v>17024323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IFERROR(__xludf.DUMMYFUNCTION("""COMPUTED_VALUE"""),"Pedro Afonso")</f>
        <v>Pedro Afonso</v>
      </c>
      <c r="D341" s="115" t="str">
        <f ca="1">IFERROR(__xludf.DUMMYFUNCTION("""COMPUTED_VALUE"""),"A. DE PAIS E MEST. DA ESC. EST. ANA AMORIM")</f>
        <v>A. DE PAIS E MEST. DA ESC. EST. ANA AMORIM</v>
      </c>
      <c r="E341" s="114" t="str">
        <f ca="1">IFERROR(__xludf.DUMMYFUNCTION("""COMPUTED_VALUE"""),"Escola Estadual Ana Amorim")</f>
        <v>Escola Estadual Ana Amorim</v>
      </c>
      <c r="F341" s="116" t="str">
        <f ca="1">IFERROR(__xludf.DUMMYFUNCTION("""COMPUTED_VALUE"""),"17024323")</f>
        <v>17024323</v>
      </c>
      <c r="G341" s="114" t="str">
        <f ca="1">IFERROR(__xludf.DUMMYFUNCTION("""COMPUTED_VALUE"""),"01990364000129")</f>
        <v>01990364000129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IFERROR(__xludf.DUMMYFUNCTION("""COMPUTED_VALUE"""),"59722")</f>
        <v>59722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/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IFERROR(__xludf.DUMMYFUNCTION("""COMPUTED_VALUE"""),"17024331")</f>
        <v>17024331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IFERROR(__xludf.DUMMYFUNCTION("""COMPUTED_VALUE"""),"ASS. DE APOIO A ESCOLA ESTADUAL BOM TEMPO")</f>
        <v>ASS. DE APOIO A ESCOLA ESTADUAL BOM TEMPO</v>
      </c>
      <c r="E342" s="114" t="str">
        <f ca="1">IFERROR(__xludf.DUMMYFUNCTION("""COMPUTED_VALUE"""),"A.A. Escola Estadual Bom Tempo")</f>
        <v>A.A. Escola Estadual Bom Tempo</v>
      </c>
      <c r="F342" s="116" t="str">
        <f ca="1">IFERROR(__xludf.DUMMYFUNCTION("""COMPUTED_VALUE"""),"17024331")</f>
        <v>17024331</v>
      </c>
      <c r="G342" s="114" t="str">
        <f ca="1">IFERROR(__xludf.DUMMYFUNCTION("""COMPUTED_VALUE"""),"44776099000193")</f>
        <v>44776099000193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IFERROR(__xludf.DUMMYFUNCTION("""COMPUTED_VALUE"""),"324981")</f>
        <v>324981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IFERROR(__xludf.DUMMYFUNCTION("""COMPUTED_VALUE"""),"13008790")</f>
        <v>13008790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IFERROR(__xludf.DUMMYFUNCTION("""COMPUTED_VALUE"""),"A.A. AO COLÉGIO DE TEMPO INTEGRAL PROFESSOR ANTONIO BELARMINO FILHO")</f>
        <v>A.A. AO COLÉGIO DE TEMPO INTEGRAL PROFESSOR ANTONIO BELARMINO FILHO</v>
      </c>
      <c r="E343" s="114" t="str">
        <f ca="1">IFERROR(__xludf.DUMMYFUNCTION("""COMPUTED_VALUE"""),"A.A. Escola Estadual Antonio Belarmino Filho")</f>
        <v>A.A. Escola Estadual Antonio Belarmino Filho</v>
      </c>
      <c r="F343" s="116" t="str">
        <f ca="1">IFERROR(__xludf.DUMMYFUNCTION("""COMPUTED_VALUE"""),"13008790")</f>
        <v>13008790</v>
      </c>
      <c r="G343" s="114" t="str">
        <f ca="1">IFERROR(__xludf.DUMMYFUNCTION("""COMPUTED_VALUE"""),"47823286000179")</f>
        <v>47823286000179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IFERROR(__xludf.DUMMYFUNCTION("""COMPUTED_VALUE"""),"334804")</f>
        <v>334804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IFERROR(__xludf.DUMMYFUNCTION("""COMPUTED_VALUE"""),"Integral")</f>
        <v>Integral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IFERROR(__xludf.DUMMYFUNCTION("""COMPUTED_VALUE"""),36)</f>
        <v>36</v>
      </c>
      <c r="AK343" s="114"/>
      <c r="AL343" s="117"/>
    </row>
    <row r="344" spans="1:38" ht="12.75">
      <c r="A344" s="113" t="str">
        <f ca="1">IFERROR(__xludf.DUMMYFUNCTION("""COMPUTED_VALUE"""),"17031176")</f>
        <v>17031176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IFERROR(__xludf.DUMMYFUNCTION("""COMPUTED_VALUE"""),"Recursolandia")</f>
        <v>Recursolandia</v>
      </c>
      <c r="D344" s="115" t="str">
        <f ca="1">IFERROR(__xludf.DUMMYFUNCTION("""COMPUTED_VALUE"""),"ASS. DE A. A ESCOLA EST. RECURSO I")</f>
        <v>ASS. DE A. A ESCOLA EST. RECURSO I</v>
      </c>
      <c r="E344" s="114" t="str">
        <f ca="1">IFERROR(__xludf.DUMMYFUNCTION("""COMPUTED_VALUE"""),"Escola Estadual Recurso I")</f>
        <v>Escola Estadual Recurso I</v>
      </c>
      <c r="F344" s="116" t="str">
        <f ca="1">IFERROR(__xludf.DUMMYFUNCTION("""COMPUTED_VALUE"""),"17031176")</f>
        <v>17031176</v>
      </c>
      <c r="G344" s="114" t="str">
        <f ca="1">IFERROR(__xludf.DUMMYFUNCTION("""COMPUTED_VALUE"""),"02021097000144")</f>
        <v>02021097000144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IFERROR(__xludf.DUMMYFUNCTION("""COMPUTED_VALUE"""),"11029")</f>
        <v>11029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/>
      <c r="AE344" s="114" t="str">
        <f ca="1">IFERROR(__xludf.DUMMYFUNCTION("""COMPUTED_VALUE"""),"Parcial")</f>
        <v>Parcial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IFERROR(__xludf.DUMMYFUNCTION("""COMPUTED_VALUE"""),0)</f>
        <v>0</v>
      </c>
      <c r="AK344" s="114"/>
      <c r="AL344" s="117"/>
    </row>
    <row r="345" spans="1:38" ht="12.75">
      <c r="A345" s="113" t="str">
        <f ca="1">IFERROR(__xludf.DUMMYFUNCTION("""COMPUTED_VALUE"""),"17025621")</f>
        <v>17025621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IFERROR(__xludf.DUMMYFUNCTION("""COMPUTED_VALUE"""),"Santa Maria do Tocantins")</f>
        <v>Santa Maria do Tocantins</v>
      </c>
      <c r="D345" s="115" t="str">
        <f ca="1">IFERROR(__xludf.DUMMYFUNCTION("""COMPUTED_VALUE"""),"A. A.AS ESC.DO COL. EST. SANTA MARIA")</f>
        <v>A. A.AS ESC.DO COL. EST. SANTA MARIA</v>
      </c>
      <c r="E345" s="114" t="str">
        <f ca="1">IFERROR(__xludf.DUMMYFUNCTION("""COMPUTED_VALUE"""),"Colégio Estadual de Tempo Integral Santa Maria")</f>
        <v>Colégio Estadual de Tempo Integral Santa Maria</v>
      </c>
      <c r="F345" s="116" t="str">
        <f ca="1">IFERROR(__xludf.DUMMYFUNCTION("""COMPUTED_VALUE"""),"17025621")</f>
        <v>17025621</v>
      </c>
      <c r="G345" s="114" t="str">
        <f ca="1">IFERROR(__xludf.DUMMYFUNCTION("""COMPUTED_VALUE"""),"02087933000193")</f>
        <v>02087933000193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IFERROR(__xludf.DUMMYFUNCTION("""COMPUTED_VALUE"""),"83089")</f>
        <v>83089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/>
      <c r="AE345" s="114" t="str">
        <f ca="1">IFERROR(__xludf.DUMMYFUNCTION("""COMPUTED_VALUE"""),"Integral")</f>
        <v>Integral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IFERROR(__xludf.DUMMYFUNCTION("""COMPUTED_VALUE"""),7)</f>
        <v>7</v>
      </c>
      <c r="AK345" s="114"/>
      <c r="AL345" s="117"/>
    </row>
    <row r="346" spans="1:38" ht="12.75">
      <c r="A346" s="113" t="str">
        <f ca="1">IFERROR(__xludf.DUMMYFUNCTION("""COMPUTED_VALUE"""),"17014042")</f>
        <v>17014042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IFERROR(__xludf.DUMMYFUNCTION("""COMPUTED_VALUE"""),"Tupirama")</f>
        <v>Tupirama</v>
      </c>
      <c r="D346" s="115" t="str">
        <f ca="1">IFERROR(__xludf.DUMMYFUNCTION("""COMPUTED_VALUE"""),"A.A. A ESCOLA EST. MARIA DA GLORIA")</f>
        <v>A.A. A ESCOLA EST. MARIA DA GLORIA</v>
      </c>
      <c r="E346" s="114" t="str">
        <f ca="1">IFERROR(__xludf.DUMMYFUNCTION("""COMPUTED_VALUE"""),"Escola Estadual Girassol de Tempo Integral Maria da Glória")</f>
        <v>Escola Estadual Girassol de Tempo Integral Maria da Glória</v>
      </c>
      <c r="F346" s="116" t="str">
        <f ca="1">IFERROR(__xludf.DUMMYFUNCTION("""COMPUTED_VALUE"""),"17014042")</f>
        <v>17014042</v>
      </c>
      <c r="G346" s="114" t="str">
        <f ca="1">IFERROR(__xludf.DUMMYFUNCTION("""COMPUTED_VALUE"""),"02096555000104")</f>
        <v>02096555000104</v>
      </c>
      <c r="H346" s="116" t="str">
        <f ca="1">IFERROR(__xludf.DUMMYFUNCTION("""COMPUTED_VALUE"""),"001")</f>
        <v>001</v>
      </c>
      <c r="I346" s="116" t="str">
        <f ca="1">IFERROR(__xludf.DUMMYFUNCTION("""COMPUTED_VALUE"""),"2094")</f>
        <v>2094</v>
      </c>
      <c r="J346" s="116" t="str">
        <f ca="1">IFERROR(__xludf.DUMMYFUNCTION("""COMPUTED_VALUE"""),"50482")</f>
        <v>50482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IFERROR(__xludf.DUMMYFUNCTION("""COMPUTED_VALUE"""),"Integral")</f>
        <v>Integral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IFERROR(__xludf.DUMMYFUNCTION("""COMPUTED_VALUE"""),8)</f>
        <v>8</v>
      </c>
      <c r="AK346" s="114"/>
      <c r="AL346" s="117"/>
    </row>
    <row r="347" spans="1:38" ht="12.75">
      <c r="A347" s="113" t="str">
        <f ca="1">IFERROR(__xludf.DUMMYFUNCTION("""COMPUTED_VALUE"""),"17020867")</f>
        <v>17020867</v>
      </c>
      <c r="B347" s="114" t="str">
        <f ca="1">IFERROR(__xludf.DUMMYFUNCTION("""COMPUTED_VALUE"""),"Porto Nacional")</f>
        <v>Porto Nacional</v>
      </c>
      <c r="C347" s="114" t="str">
        <f ca="1">IFERROR(__xludf.DUMMYFUNCTION("""COMPUTED_VALUE"""),"Brejinho de Nazare")</f>
        <v>Brejinho de Nazare</v>
      </c>
      <c r="D347" s="115" t="str">
        <f ca="1">IFERROR(__xludf.DUMMYFUNCTION("""COMPUTED_VALUE"""),"A.A. DO COLEGIO ESTADUAL PADRAO")</f>
        <v>A.A. DO COLEGIO ESTADUAL PADRAO</v>
      </c>
      <c r="E347" s="114" t="str">
        <f ca="1">IFERROR(__xludf.DUMMYFUNCTION("""COMPUTED_VALUE"""),"Colégio Estadual Padrão")</f>
        <v>Colégio Estadual Padrão</v>
      </c>
      <c r="F347" s="116" t="str">
        <f ca="1">IFERROR(__xludf.DUMMYFUNCTION("""COMPUTED_VALUE"""),"17020867")</f>
        <v>17020867</v>
      </c>
      <c r="G347" s="114" t="str">
        <f ca="1">IFERROR(__xludf.DUMMYFUNCTION("""COMPUTED_VALUE"""),"01181175000105")</f>
        <v>01181175000105</v>
      </c>
      <c r="H347" s="116" t="str">
        <f ca="1">IFERROR(__xludf.DUMMYFUNCTION("""COMPUTED_VALUE"""),"001")</f>
        <v>001</v>
      </c>
      <c r="I347" s="116" t="str">
        <f ca="1">IFERROR(__xludf.DUMMYFUNCTION("""COMPUTED_VALUE"""),"3976")</f>
        <v>3976</v>
      </c>
      <c r="J347" s="116" t="str">
        <f ca="1">IFERROR(__xludf.DUMMYFUNCTION("""COMPUTED_VALUE"""),"51047")</f>
        <v>51047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 t="str">
        <f ca="1">IFERROR(__xludf.DUMMYFUNCTION("""COMPUTED_VALUE"""),"INDIGENA /QUILOMBOLA INTEGRAL")</f>
        <v>INDIGENA /QUILOMBOLA INTEGRAL</v>
      </c>
      <c r="AE347" s="114" t="str">
        <f ca="1">IFERROR(__xludf.DUMMYFUNCTION("""COMPUTED_VALUE"""),"Parcial/Integral")</f>
        <v>Parcial/Integral</v>
      </c>
      <c r="AF347" s="114" t="str">
        <f ca="1">IFERROR(__xludf.DUMMYFUNCTION("""COMPUTED_VALUE"""),"FE")</f>
        <v>FE</v>
      </c>
      <c r="AG347" s="114">
        <f ca="1">IFERROR(__xludf.DUMMYFUNCTION("""COMPUTED_VALUE"""),12)</f>
        <v>12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IFERROR(__xludf.DUMMYFUNCTION("""COMPUTED_VALUE"""),0)</f>
        <v>0</v>
      </c>
      <c r="AK347" s="114"/>
      <c r="AL347" s="117"/>
    </row>
    <row r="348" spans="1:38" ht="12.75">
      <c r="A348" s="113" t="str">
        <f ca="1">IFERROR(__xludf.DUMMYFUNCTION("""COMPUTED_VALUE"""),"17020891")</f>
        <v>17020891</v>
      </c>
      <c r="B348" s="114" t="str">
        <f ca="1">IFERROR(__xludf.DUMMYFUNCTION("""COMPUTED_VALUE"""),"Porto Nacional")</f>
        <v>Porto Nacional</v>
      </c>
      <c r="C348" s="114" t="str">
        <f ca="1">IFERROR(__xludf.DUMMYFUNCTION("""COMPUTED_VALUE"""),"Brejinho de Nazare")</f>
        <v>Brejinho de Nazare</v>
      </c>
      <c r="D348" s="115" t="str">
        <f ca="1">IFERROR(__xludf.DUMMYFUNCTION("""COMPUTED_VALUE"""),"AS.DE APOIO A ESC. EST. JONAS PEREIRA LIMA")</f>
        <v>AS.DE APOIO A ESC. EST. JONAS PEREIRA LIMA</v>
      </c>
      <c r="E348" s="114" t="str">
        <f ca="1">IFERROR(__xludf.DUMMYFUNCTION("""COMPUTED_VALUE"""),"Escola Estadual Jonas Pereira Lima")</f>
        <v>Escola Estadual Jonas Pereira Lima</v>
      </c>
      <c r="F348" s="116" t="str">
        <f ca="1">IFERROR(__xludf.DUMMYFUNCTION("""COMPUTED_VALUE"""),"17020891")</f>
        <v>17020891</v>
      </c>
      <c r="G348" s="114" t="str">
        <f ca="1">IFERROR(__xludf.DUMMYFUNCTION("""COMPUTED_VALUE"""),"01148459000108")</f>
        <v>01148459000108</v>
      </c>
      <c r="H348" s="116" t="str">
        <f ca="1">IFERROR(__xludf.DUMMYFUNCTION("""COMPUTED_VALUE"""),"001")</f>
        <v>001</v>
      </c>
      <c r="I348" s="116" t="str">
        <f ca="1">IFERROR(__xludf.DUMMYFUNCTION("""COMPUTED_VALUE"""),"3976")</f>
        <v>3976</v>
      </c>
      <c r="J348" s="116" t="str">
        <f ca="1">IFERROR(__xludf.DUMMYFUNCTION("""COMPUTED_VALUE"""),"80489")</f>
        <v>80489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 t="str">
        <f ca="1">IFERROR(__xludf.DUMMYFUNCTION("""COMPUTED_VALUE"""),"INDIGENA /QUILOMBOLA PARCIAL")</f>
        <v>INDIGENA /QUILOMBOLA PARCIAL</v>
      </c>
      <c r="AE348" s="114" t="str">
        <f ca="1">IFERROR(__xludf.DUMMYFUNCTION("""COMPUTED_VALUE"""),"Parcial")</f>
        <v>Parcial</v>
      </c>
      <c r="AF348" s="114" t="str">
        <f ca="1">IFERROR(__xludf.DUMMYFUNCTION("""COMPUTED_VALUE"""),"FE")</f>
        <v>FE</v>
      </c>
      <c r="AG348" s="114">
        <f ca="1">IFERROR(__xludf.DUMMYFUNCTION("""COMPUTED_VALUE"""),0)</f>
        <v>0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IFERROR(__xludf.DUMMYFUNCTION("""COMPUTED_VALUE"""),18)</f>
        <v>18</v>
      </c>
      <c r="AK348" s="114"/>
      <c r="AL348" s="117"/>
    </row>
    <row r="349" spans="1:38" ht="12.75">
      <c r="A349" s="113" t="str">
        <f ca="1">IFERROR(__xludf.DUMMYFUNCTION("""COMPUTED_VALUE"""),"17035163")</f>
        <v>17035163</v>
      </c>
      <c r="B349" s="114" t="str">
        <f ca="1">IFERROR(__xludf.DUMMYFUNCTION("""COMPUTED_VALUE"""),"Porto Nacional")</f>
        <v>Porto Nacional</v>
      </c>
      <c r="C349" s="114" t="str">
        <f ca="1">IFERROR(__xludf.DUMMYFUNCTION("""COMPUTED_VALUE"""),"Chapada da Natividade")</f>
        <v>Chapada da Natividade</v>
      </c>
      <c r="D349" s="115" t="str">
        <f ca="1">IFERROR(__xludf.DUMMYFUNCTION("""COMPUTED_VALUE"""),"A. APOIO ESCOLA EST. FULGENCIO NUNES")</f>
        <v>A. APOIO ESCOLA EST. FULGENCIO NUNES</v>
      </c>
      <c r="E349" s="114" t="str">
        <f ca="1">IFERROR(__xludf.DUMMYFUNCTION("""COMPUTED_VALUE"""),"Colégio Estadual Fulgêncio Nunes")</f>
        <v>Colégio Estadual Fulgêncio Nunes</v>
      </c>
      <c r="F349" s="116" t="str">
        <f ca="1">IFERROR(__xludf.DUMMYFUNCTION("""COMPUTED_VALUE"""),"17035163")</f>
        <v>17035163</v>
      </c>
      <c r="G349" s="114" t="str">
        <f ca="1">IFERROR(__xludf.DUMMYFUNCTION("""COMPUTED_VALUE"""),"01257085000150")</f>
        <v>01257085000150</v>
      </c>
      <c r="H349" s="116" t="str">
        <f ca="1">IFERROR(__xludf.DUMMYFUNCTION("""COMPUTED_VALUE"""),"003")</f>
        <v>003</v>
      </c>
      <c r="I349" s="116" t="str">
        <f ca="1">IFERROR(__xludf.DUMMYFUNCTION("""COMPUTED_VALUE"""),"0037")</f>
        <v>0037</v>
      </c>
      <c r="J349" s="116" t="str">
        <f ca="1">IFERROR(__xludf.DUMMYFUNCTION("""COMPUTED_VALUE"""),"706153")</f>
        <v>706153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 t="str">
        <f ca="1">IFERROR(__xludf.DUMMYFUNCTION("""COMPUTED_VALUE"""),"INDIGENA /QUILOMBOLA PARCIAL")</f>
        <v>INDIGENA /QUILOMBOLA PARCIAL</v>
      </c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IFERROR(__xludf.DUMMYFUNCTION("""COMPUTED_VALUE"""),0)</f>
        <v>0</v>
      </c>
      <c r="AK349" s="114"/>
      <c r="AL349" s="117"/>
    </row>
    <row r="350" spans="1:38" ht="12.75">
      <c r="A350" s="113" t="str">
        <f ca="1">IFERROR(__xludf.DUMMYFUNCTION("""COMPUTED_VALUE"""),"17018161")</f>
        <v>17018161</v>
      </c>
      <c r="B350" s="114" t="str">
        <f ca="1">IFERROR(__xludf.DUMMYFUNCTION("""COMPUTED_VALUE"""),"Porto Nacional")</f>
        <v>Porto Nacional</v>
      </c>
      <c r="C350" s="114" t="str">
        <f ca="1">IFERROR(__xludf.DUMMYFUNCTION("""COMPUTED_VALUE"""),"Fatima")</f>
        <v>Fatima</v>
      </c>
      <c r="D350" s="115" t="str">
        <f ca="1">IFERROR(__xludf.DUMMYFUNCTION("""COMPUTED_VALUE"""),"A.A. ESCOLA ESTADUAL CONCEICAO BRITO")</f>
        <v>A.A. ESCOLA ESTADUAL CONCEICAO BRITO</v>
      </c>
      <c r="E350" s="114" t="str">
        <f ca="1">IFERROR(__xludf.DUMMYFUNCTION("""COMPUTED_VALUE"""),"Colégio Estadual Conceição Brito")</f>
        <v>Colégio Estadual Conceição Brito</v>
      </c>
      <c r="F350" s="116" t="str">
        <f ca="1">IFERROR(__xludf.DUMMYFUNCTION("""COMPUTED_VALUE"""),"17018161")</f>
        <v>17018161</v>
      </c>
      <c r="G350" s="114" t="str">
        <f ca="1">IFERROR(__xludf.DUMMYFUNCTION("""COMPUTED_VALUE"""),"01268285000109")</f>
        <v>01268285000109</v>
      </c>
      <c r="H350" s="116" t="str">
        <f ca="1">IFERROR(__xludf.DUMMYFUNCTION("""COMPUTED_VALUE"""),"001")</f>
        <v>001</v>
      </c>
      <c r="I350" s="116" t="str">
        <f ca="1">IFERROR(__xludf.DUMMYFUNCTION("""COMPUTED_VALUE"""),"4107")</f>
        <v>4107</v>
      </c>
      <c r="J350" s="116" t="str">
        <f ca="1">IFERROR(__xludf.DUMMYFUNCTION("""COMPUTED_VALUE"""),"50911")</f>
        <v>50911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/>
      <c r="AE350" s="114" t="str">
        <f ca="1">IFERROR(__xludf.DUMMYFUNCTION("""COMPUTED_VALUE"""),"Parcial")</f>
        <v>Parcial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IFERROR(__xludf.DUMMYFUNCTION("""COMPUTED_VALUE"""),0)</f>
        <v>0</v>
      </c>
      <c r="AK350" s="114"/>
      <c r="AL350" s="117"/>
    </row>
    <row r="351" spans="1:38" ht="12.75">
      <c r="A351" s="113" t="str">
        <f ca="1">IFERROR(__xludf.DUMMYFUNCTION("""COMPUTED_VALUE"""),"17104807")</f>
        <v>17104807</v>
      </c>
      <c r="B351" s="114" t="str">
        <f ca="1">IFERROR(__xludf.DUMMYFUNCTION("""COMPUTED_VALUE"""),"Porto Nacional")</f>
        <v>Porto Nacional</v>
      </c>
      <c r="C351" s="114" t="str">
        <f ca="1">IFERROR(__xludf.DUMMYFUNCTION("""COMPUTED_VALUE"""),"Fatima")</f>
        <v>Fatima</v>
      </c>
      <c r="D351" s="115" t="str">
        <f ca="1">IFERROR(__xludf.DUMMYFUNCTION("""COMPUTED_VALUE"""),"ASSOC. DE APOIO A ESCOLA ESPECIAL RENASCER")</f>
        <v>ASSOC. DE APOIO A ESCOLA ESPECIAL RENASCER</v>
      </c>
      <c r="E351" s="114" t="str">
        <f ca="1">IFERROR(__xludf.DUMMYFUNCTION("""COMPUTED_VALUE"""),"Escola Especial Renascer")</f>
        <v>Escola Especial Renascer</v>
      </c>
      <c r="F351" s="116" t="str">
        <f ca="1">IFERROR(__xludf.DUMMYFUNCTION("""COMPUTED_VALUE"""),"17104807")</f>
        <v>17104807</v>
      </c>
      <c r="G351" s="114" t="str">
        <f ca="1">IFERROR(__xludf.DUMMYFUNCTION("""COMPUTED_VALUE"""),"11726757000183")</f>
        <v>11726757000183</v>
      </c>
      <c r="H351" s="116" t="str">
        <f ca="1">IFERROR(__xludf.DUMMYFUNCTION("""COMPUTED_VALUE"""),"001")</f>
        <v>001</v>
      </c>
      <c r="I351" s="116" t="str">
        <f ca="1">IFERROR(__xludf.DUMMYFUNCTION("""COMPUTED_VALUE"""),"4107")</f>
        <v>4107</v>
      </c>
      <c r="J351" s="116" t="str">
        <f ca="1">IFERROR(__xludf.DUMMYFUNCTION("""COMPUTED_VALUE"""),"7991X")</f>
        <v>7991X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IFERROR(__xludf.DUMMYFUNCTION("""COMPUTED_VALUE"""),"Parcial")</f>
        <v>Parcial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IFERROR(__xludf.DUMMYFUNCTION("""COMPUTED_VALUE"""),0)</f>
        <v>0</v>
      </c>
      <c r="AK351" s="114"/>
      <c r="AL351" s="117"/>
    </row>
    <row r="352" spans="1:38" ht="12.75">
      <c r="A352" s="113" t="str">
        <f ca="1">IFERROR(__xludf.DUMMYFUNCTION("""COMPUTED_VALUE"""),"17024935")</f>
        <v>17024935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IFERROR(__xludf.DUMMYFUNCTION("""COMPUTED_VALUE"""),"Ipueiras")</f>
        <v>Ipueiras</v>
      </c>
      <c r="D352" s="115" t="str">
        <f ca="1">IFERROR(__xludf.DUMMYFUNCTION("""COMPUTED_VALUE"""),"ASSOC. DE APOIO DA ESC. EST. FELIX CAMOA")</f>
        <v>ASSOC. DE APOIO DA ESC. EST. FELIX CAMOA</v>
      </c>
      <c r="E352" s="114" t="str">
        <f ca="1">IFERROR(__xludf.DUMMYFUNCTION("""COMPUTED_VALUE"""),"Escola Estadual Félix Camoa II")</f>
        <v>Escola Estadual Félix Camoa II</v>
      </c>
      <c r="F352" s="116" t="str">
        <f ca="1">IFERROR(__xludf.DUMMYFUNCTION("""COMPUTED_VALUE"""),"17024935")</f>
        <v>17024935</v>
      </c>
      <c r="G352" s="114" t="str">
        <f ca="1">IFERROR(__xludf.DUMMYFUNCTION("""COMPUTED_VALUE"""),"01469443000199")</f>
        <v>01469443000199</v>
      </c>
      <c r="H352" s="116" t="str">
        <f ca="1">IFERROR(__xludf.DUMMYFUNCTION("""COMPUTED_VALUE"""),"001")</f>
        <v>001</v>
      </c>
      <c r="I352" s="116" t="str">
        <f ca="1">IFERROR(__xludf.DUMMYFUNCTION("""COMPUTED_VALUE"""),"1117")</f>
        <v>1117</v>
      </c>
      <c r="J352" s="116" t="str">
        <f ca="1">IFERROR(__xludf.DUMMYFUNCTION("""COMPUTED_VALUE"""),"315052")</f>
        <v>315052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/>
      <c r="AE352" s="114" t="str">
        <f ca="1">IFERROR(__xludf.DUMMYFUNCTION("""COMPUTED_VALUE"""),"Parcial")</f>
        <v>Parcial</v>
      </c>
      <c r="AF352" s="114" t="str">
        <f ca="1">IFERROR(__xludf.DUMMYFUNCTION("""COMPUTED_VALUE"""),"FE")</f>
        <v>FE</v>
      </c>
      <c r="AG352" s="114">
        <f ca="1">IFERROR(__xludf.DUMMYFUNCTION("""COMPUTED_VALUE"""),0)</f>
        <v>0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IFERROR(__xludf.DUMMYFUNCTION("""COMPUTED_VALUE"""),"17053986")</f>
        <v>17053986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IFERROR(__xludf.DUMMYFUNCTION("""COMPUTED_VALUE"""),"Monte do Carmo")</f>
        <v>Monte do Carmo</v>
      </c>
      <c r="D353" s="115" t="str">
        <f ca="1">IFERROR(__xludf.DUMMYFUNCTION("""COMPUTED_VALUE"""),"A.A. DA ESC. EST. BRIGADAS CHE GUEVARA")</f>
        <v>A.A. DA ESC. EST. BRIGADAS CHE GUEVARA</v>
      </c>
      <c r="E353" s="114" t="str">
        <f ca="1">IFERROR(__xludf.DUMMYFUNCTION("""COMPUTED_VALUE"""),"Colégio Estadual Agrícola Brigadas Che Guevara")</f>
        <v>Colégio Estadual Agrícola Brigadas Che Guevara</v>
      </c>
      <c r="F353" s="116" t="str">
        <f ca="1">IFERROR(__xludf.DUMMYFUNCTION("""COMPUTED_VALUE"""),"17053986")</f>
        <v>17053986</v>
      </c>
      <c r="G353" s="114" t="str">
        <f ca="1">IFERROR(__xludf.DUMMYFUNCTION("""COMPUTED_VALUE"""),"08593650000108")</f>
        <v>08593650000108</v>
      </c>
      <c r="H353" s="116" t="str">
        <f ca="1">IFERROR(__xludf.DUMMYFUNCTION("""COMPUTED_VALUE"""),"001")</f>
        <v>001</v>
      </c>
      <c r="I353" s="116" t="str">
        <f ca="1">IFERROR(__xludf.DUMMYFUNCTION("""COMPUTED_VALUE"""),"1117")</f>
        <v>1117</v>
      </c>
      <c r="J353" s="116" t="str">
        <f ca="1">IFERROR(__xludf.DUMMYFUNCTION("""COMPUTED_VALUE"""),"263060")</f>
        <v>263060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 t="str">
        <f ca="1">IFERROR(__xludf.DUMMYFUNCTION("""COMPUTED_VALUE"""),"AGRÍCOLA")</f>
        <v>AGRÍCOLA</v>
      </c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IFERROR(__xludf.DUMMYFUNCTION("""COMPUTED_VALUE"""),4)</f>
        <v>4</v>
      </c>
      <c r="AJ353" s="114">
        <f ca="1">IFERROR(__xludf.DUMMYFUNCTION("""COMPUTED_VALUE"""),0)</f>
        <v>0</v>
      </c>
      <c r="AK353" s="114"/>
      <c r="AL353" s="117"/>
    </row>
    <row r="354" spans="1:38" ht="12.75">
      <c r="A354" s="113" t="str">
        <f ca="1">IFERROR(__xludf.DUMMYFUNCTION("""COMPUTED_VALUE"""),"17023939")</f>
        <v>17023939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IFERROR(__xludf.DUMMYFUNCTION("""COMPUTED_VALUE"""),"Monte do Carmo")</f>
        <v>Monte do Carmo</v>
      </c>
      <c r="D354" s="115" t="str">
        <f ca="1">IFERROR(__xludf.DUMMYFUNCTION("""COMPUTED_VALUE"""),"A.A.  DO COLEGIO EST. PADRE GAMA")</f>
        <v>A.A.  DO COLEGIO EST. PADRE GAMA</v>
      </c>
      <c r="E354" s="114" t="str">
        <f ca="1">IFERROR(__xludf.DUMMYFUNCTION("""COMPUTED_VALUE"""),"Colégio Estadual Padre Gama")</f>
        <v>Colégio Estadual Padre Gama</v>
      </c>
      <c r="F354" s="116" t="str">
        <f ca="1">IFERROR(__xludf.DUMMYFUNCTION("""COMPUTED_VALUE"""),"17023939")</f>
        <v>17023939</v>
      </c>
      <c r="G354" s="114" t="str">
        <f ca="1">IFERROR(__xludf.DUMMYFUNCTION("""COMPUTED_VALUE"""),"01071443000136")</f>
        <v>01071443000136</v>
      </c>
      <c r="H354" s="116" t="str">
        <f ca="1">IFERROR(__xludf.DUMMYFUNCTION("""COMPUTED_VALUE"""),"001")</f>
        <v>001</v>
      </c>
      <c r="I354" s="116" t="str">
        <f ca="1">IFERROR(__xludf.DUMMYFUNCTION("""COMPUTED_VALUE"""),"1117")</f>
        <v>1117</v>
      </c>
      <c r="J354" s="116" t="str">
        <f ca="1">IFERROR(__xludf.DUMMYFUNCTION("""COMPUTED_VALUE"""),"0312878")</f>
        <v>0312878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/>
      <c r="AE354" s="114" t="str">
        <f ca="1">IFERROR(__xludf.DUMMYFUNCTION("""COMPUTED_VALUE"""),"Integral")</f>
        <v>Integral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IFERROR(__xludf.DUMMYFUNCTION("""COMPUTED_VALUE"""),0)</f>
        <v>0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IFERROR(__xludf.DUMMYFUNCTION("""COMPUTED_VALUE"""),"17023955")</f>
        <v>17023955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IFERROR(__xludf.DUMMYFUNCTION("""COMPUTED_VALUE"""),"Monte do Carmo")</f>
        <v>Monte do Carmo</v>
      </c>
      <c r="D355" s="115" t="str">
        <f ca="1">IFERROR(__xludf.DUMMYFUNCTION("""COMPUTED_VALUE"""),"A.APOIO DA ESCOLA ESTADUAL MESTRA BELA")</f>
        <v>A.APOIO DA ESCOLA ESTADUAL MESTRA BELA</v>
      </c>
      <c r="E355" s="114" t="str">
        <f ca="1">IFERROR(__xludf.DUMMYFUNCTION("""COMPUTED_VALUE"""),"Escola Estadual Girassol de Tempo Integral Mestra Bela")</f>
        <v>Escola Estadual Girassol de Tempo Integral Mestra Bela</v>
      </c>
      <c r="F355" s="116" t="str">
        <f ca="1">IFERROR(__xludf.DUMMYFUNCTION("""COMPUTED_VALUE"""),"17023955")</f>
        <v>17023955</v>
      </c>
      <c r="G355" s="114" t="str">
        <f ca="1">IFERROR(__xludf.DUMMYFUNCTION("""COMPUTED_VALUE"""),"01071442000191")</f>
        <v>01071442000191</v>
      </c>
      <c r="H355" s="116" t="str">
        <f ca="1">IFERROR(__xludf.DUMMYFUNCTION("""COMPUTED_VALUE"""),"001")</f>
        <v>001</v>
      </c>
      <c r="I355" s="116" t="str">
        <f ca="1">IFERROR(__xludf.DUMMYFUNCTION("""COMPUTED_VALUE"""),"1117")</f>
        <v>1117</v>
      </c>
      <c r="J355" s="116" t="str">
        <f ca="1">IFERROR(__xludf.DUMMYFUNCTION("""COMPUTED_VALUE"""),"31286X")</f>
        <v>31286X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IFERROR(__xludf.DUMMYFUNCTION("""COMPUTED_VALUE"""),"Integral")</f>
        <v>Integral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IFERROR(__xludf.DUMMYFUNCTION("""COMPUTED_VALUE"""),8)</f>
        <v>8</v>
      </c>
      <c r="AK355" s="114"/>
      <c r="AL355" s="117"/>
    </row>
    <row r="356" spans="1:38" ht="12.75">
      <c r="A356" s="113" t="str">
        <f ca="1">IFERROR(__xludf.DUMMYFUNCTION("""COMPUTED_VALUE"""),"17054435")</f>
        <v>17054435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IFERROR(__xludf.DUMMYFUNCTION("""COMPUTED_VALUE"""),"Monte do Carmo")</f>
        <v>Monte do Carmo</v>
      </c>
      <c r="D356" s="115" t="str">
        <f ca="1">IFERROR(__xludf.DUMMYFUNCTION("""COMPUTED_VALUE"""),"ASSOC. APOIA A ESC. EST. PROF.DINA DE OLIVEIRA AMORIM")</f>
        <v>ASSOC. APOIA A ESC. EST. PROF.DINA DE OLIVEIRA AMORIM</v>
      </c>
      <c r="E356" s="114" t="str">
        <f ca="1">IFERROR(__xludf.DUMMYFUNCTION("""COMPUTED_VALUE"""),"Escola Estadual Professora Dina de Oliveira Amorim")</f>
        <v>Escola Estadual Professora Dina de Oliveira Amorim</v>
      </c>
      <c r="F356" s="116" t="str">
        <f ca="1">IFERROR(__xludf.DUMMYFUNCTION("""COMPUTED_VALUE"""),"17054435")</f>
        <v>17054435</v>
      </c>
      <c r="G356" s="114" t="str">
        <f ca="1">IFERROR(__xludf.DUMMYFUNCTION("""COMPUTED_VALUE"""),"16437349000125")</f>
        <v>16437349000125</v>
      </c>
      <c r="H356" s="116" t="str">
        <f ca="1">IFERROR(__xludf.DUMMYFUNCTION("""COMPUTED_VALUE"""),"001")</f>
        <v>001</v>
      </c>
      <c r="I356" s="116" t="str">
        <f ca="1">IFERROR(__xludf.DUMMYFUNCTION("""COMPUTED_VALUE"""),"1117")</f>
        <v>1117</v>
      </c>
      <c r="J356" s="116" t="str">
        <f ca="1">IFERROR(__xludf.DUMMYFUNCTION("""COMPUTED_VALUE"""),"339113")</f>
        <v>339113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IFERROR(__xludf.DUMMYFUNCTION("""COMPUTED_VALUE"""),"Parcial")</f>
        <v>Parcial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IFERROR(__xludf.DUMMYFUNCTION("""COMPUTED_VALUE"""),0)</f>
        <v>0</v>
      </c>
      <c r="AK356" s="114"/>
      <c r="AL356" s="117"/>
    </row>
    <row r="357" spans="1:38" ht="12.75">
      <c r="A357" s="113" t="str">
        <f ca="1">IFERROR(__xludf.DUMMYFUNCTION("""COMPUTED_VALUE"""),"17034620")</f>
        <v>17034620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IFERROR(__xludf.DUMMYFUNCTION("""COMPUTED_VALUE"""),"Natividade")</f>
        <v>Natividade</v>
      </c>
      <c r="D357" s="115" t="str">
        <f ca="1">IFERROR(__xludf.DUMMYFUNCTION("""COMPUTED_VALUE"""),"ASSOC. NOSSA SENHORA NATIVIDADE COL. AGRÍCOLA")</f>
        <v>ASSOC. NOSSA SENHORA NATIVIDADE COL. AGRÍCOLA</v>
      </c>
      <c r="E357" s="114" t="str">
        <f ca="1">IFERROR(__xludf.DUMMYFUNCTION("""COMPUTED_VALUE"""),"Colégio Agropecuário de Natividade")</f>
        <v>Colégio Agropecuário de Natividade</v>
      </c>
      <c r="F357" s="116" t="str">
        <f ca="1">IFERROR(__xludf.DUMMYFUNCTION("""COMPUTED_VALUE"""),"17034620")</f>
        <v>17034620</v>
      </c>
      <c r="G357" s="114" t="str">
        <f ca="1">IFERROR(__xludf.DUMMYFUNCTION("""COMPUTED_VALUE"""),"03758716000140")</f>
        <v>03758716000140</v>
      </c>
      <c r="H357" s="116" t="str">
        <f ca="1">IFERROR(__xludf.DUMMYFUNCTION("""COMPUTED_VALUE"""),"001")</f>
        <v>001</v>
      </c>
      <c r="I357" s="116" t="str">
        <f ca="1">IFERROR(__xludf.DUMMYFUNCTION("""COMPUTED_VALUE"""),"3980")</f>
        <v>3980</v>
      </c>
      <c r="J357" s="116" t="str">
        <f ca="1">IFERROR(__xludf.DUMMYFUNCTION("""COMPUTED_VALUE"""),"282782")</f>
        <v>282782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 t="str">
        <f ca="1">IFERROR(__xludf.DUMMYFUNCTION("""COMPUTED_VALUE"""),"AGRÍCOLA")</f>
        <v>AGRÍCOLA</v>
      </c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IFERROR(__xludf.DUMMYFUNCTION("""COMPUTED_VALUE"""),15)</f>
        <v>15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IFERROR(__xludf.DUMMYFUNCTION("""COMPUTED_VALUE"""),"17034612")</f>
        <v>17034612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IFERROR(__xludf.DUMMYFUNCTION("""COMPUTED_VALUE"""),"Natividade")</f>
        <v>Natividade</v>
      </c>
      <c r="D358" s="115" t="str">
        <f ca="1">IFERROR(__xludf.DUMMYFUNCTION("""COMPUTED_VALUE"""),"A.A. COL. EST. DR.QUINTILIANO DA SILVA")</f>
        <v>A.A. COL. EST. DR.QUINTILIANO DA SILVA</v>
      </c>
      <c r="E358" s="114" t="str">
        <f ca="1">IFERROR(__xludf.DUMMYFUNCTION("""COMPUTED_VALUE"""),"Colégio Estadual Doutor Quintiliano da Silva")</f>
        <v>Colégio Estadual Doutor Quintiliano da Silva</v>
      </c>
      <c r="F358" s="116" t="str">
        <f ca="1">IFERROR(__xludf.DUMMYFUNCTION("""COMPUTED_VALUE"""),"17034612")</f>
        <v>17034612</v>
      </c>
      <c r="G358" s="114" t="str">
        <f ca="1">IFERROR(__xludf.DUMMYFUNCTION("""COMPUTED_VALUE"""),"01133702000106")</f>
        <v>01133702000106</v>
      </c>
      <c r="H358" s="116" t="str">
        <f ca="1">IFERROR(__xludf.DUMMYFUNCTION("""COMPUTED_VALUE"""),"003")</f>
        <v>003</v>
      </c>
      <c r="I358" s="116" t="str">
        <f ca="1">IFERROR(__xludf.DUMMYFUNCTION("""COMPUTED_VALUE"""),"0037")</f>
        <v>0037</v>
      </c>
      <c r="J358" s="116" t="str">
        <f ca="1">IFERROR(__xludf.DUMMYFUNCTION("""COMPUTED_VALUE"""),"0702727")</f>
        <v>0702727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/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IFERROR(__xludf.DUMMYFUNCTION("""COMPUTED_VALUE"""),0)</f>
        <v>0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IFERROR(__xludf.DUMMYFUNCTION("""COMPUTED_VALUE"""),"17105803")</f>
        <v>17105803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IFERROR(__xludf.DUMMYFUNCTION("""COMPUTED_VALUE"""),"Natividade")</f>
        <v>Natividade</v>
      </c>
      <c r="D359" s="115" t="str">
        <f ca="1">IFERROR(__xludf.DUMMYFUNCTION("""COMPUTED_VALUE"""),"ASSOC. DE APOIO A ESC. ESPECIAL TIA CORACI DE SENA FERNANDES")</f>
        <v>ASSOC. DE APOIO A ESC. ESPECIAL TIA CORACI DE SENA FERNANDES</v>
      </c>
      <c r="E359" s="114" t="str">
        <f ca="1">IFERROR(__xludf.DUMMYFUNCTION("""COMPUTED_VALUE"""),"Escola Especial Tia Coraci de Sena")</f>
        <v>Escola Especial Tia Coraci de Sena</v>
      </c>
      <c r="F359" s="116" t="str">
        <f ca="1">IFERROR(__xludf.DUMMYFUNCTION("""COMPUTED_VALUE"""),"17105803")</f>
        <v>17105803</v>
      </c>
      <c r="G359" s="114" t="str">
        <f ca="1">IFERROR(__xludf.DUMMYFUNCTION("""COMPUTED_VALUE"""),"17163914000176")</f>
        <v>17163914000176</v>
      </c>
      <c r="H359" s="116" t="str">
        <f ca="1">IFERROR(__xludf.DUMMYFUNCTION("""COMPUTED_VALUE"""),"001")</f>
        <v>001</v>
      </c>
      <c r="I359" s="116" t="str">
        <f ca="1">IFERROR(__xludf.DUMMYFUNCTION("""COMPUTED_VALUE"""),"2334")</f>
        <v>2334</v>
      </c>
      <c r="J359" s="116" t="str">
        <f ca="1">IFERROR(__xludf.DUMMYFUNCTION("""COMPUTED_VALUE"""),"19860")</f>
        <v>19860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IFERROR(__xludf.DUMMYFUNCTION("""COMPUTED_VALUE"""),"Parcial")</f>
        <v>Parcial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IFERROR(__xludf.DUMMYFUNCTION("""COMPUTED_VALUE"""),"17034639")</f>
        <v>17034639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IFERROR(__xludf.DUMMYFUNCTION("""COMPUTED_VALUE"""),"Natividade")</f>
        <v>Natividade</v>
      </c>
      <c r="D360" s="115" t="str">
        <f ca="1">IFERROR(__xludf.DUMMYFUNCTION("""COMPUTED_VALUE"""),"ASS. APOIO ESC. EST. JOAQUIM LINO SUARTE")</f>
        <v>ASS. APOIO ESC. EST. JOAQUIM LINO SUARTE</v>
      </c>
      <c r="E360" s="114" t="str">
        <f ca="1">IFERROR(__xludf.DUMMYFUNCTION("""COMPUTED_VALUE"""),"Escola Estadual Joaquim Lino Suarte")</f>
        <v>Escola Estadual Joaquim Lino Suarte</v>
      </c>
      <c r="F360" s="116" t="str">
        <f ca="1">IFERROR(__xludf.DUMMYFUNCTION("""COMPUTED_VALUE"""),"17034639")</f>
        <v>17034639</v>
      </c>
      <c r="G360" s="114" t="str">
        <f ca="1">IFERROR(__xludf.DUMMYFUNCTION("""COMPUTED_VALUE"""),"01133708000183")</f>
        <v>01133708000183</v>
      </c>
      <c r="H360" s="116" t="str">
        <f ca="1">IFERROR(__xludf.DUMMYFUNCTION("""COMPUTED_VALUE"""),"003")</f>
        <v>003</v>
      </c>
      <c r="I360" s="116" t="str">
        <f ca="1">IFERROR(__xludf.DUMMYFUNCTION("""COMPUTED_VALUE"""),"0037")</f>
        <v>0037</v>
      </c>
      <c r="J360" s="116" t="str">
        <f ca="1">IFERROR(__xludf.DUMMYFUNCTION("""COMPUTED_VALUE"""),"0702670")</f>
        <v>0702670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IFERROR(__xludf.DUMMYFUNCTION("""COMPUTED_VALUE"""),"Parcial")</f>
        <v>Parcial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IFERROR(__xludf.DUMMYFUNCTION("""COMPUTED_VALUE"""),0)</f>
        <v>0</v>
      </c>
      <c r="AK360" s="114"/>
      <c r="AL360" s="117"/>
    </row>
    <row r="361" spans="1:38" ht="12.75">
      <c r="A361" s="113" t="str">
        <f ca="1">IFERROR(__xludf.DUMMYFUNCTION("""COMPUTED_VALUE"""),"17034663")</f>
        <v>17034663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IFERROR(__xludf.DUMMYFUNCTION("""COMPUTED_VALUE"""),"Natividade")</f>
        <v>Natividade</v>
      </c>
      <c r="D361" s="115" t="str">
        <f ca="1">IFERROR(__xludf.DUMMYFUNCTION("""COMPUTED_VALUE"""),"A.A. E. EST.NOSSA SENHORA DE FATIMA")</f>
        <v>A.A. E. EST.NOSSA SENHORA DE FATIMA</v>
      </c>
      <c r="E361" s="114" t="str">
        <f ca="1">IFERROR(__xludf.DUMMYFUNCTION("""COMPUTED_VALUE"""),"Escola Estadual Nossa Senhora de Fátima")</f>
        <v>Escola Estadual Nossa Senhora de Fátima</v>
      </c>
      <c r="F361" s="116" t="str">
        <f ca="1">IFERROR(__xludf.DUMMYFUNCTION("""COMPUTED_VALUE"""),"17034663")</f>
        <v>17034663</v>
      </c>
      <c r="G361" s="114" t="str">
        <f ca="1">IFERROR(__xludf.DUMMYFUNCTION("""COMPUTED_VALUE"""),"01064860000151")</f>
        <v>01064860000151</v>
      </c>
      <c r="H361" s="116" t="str">
        <f ca="1">IFERROR(__xludf.DUMMYFUNCTION("""COMPUTED_VALUE"""),"003")</f>
        <v>003</v>
      </c>
      <c r="I361" s="116" t="str">
        <f ca="1">IFERROR(__xludf.DUMMYFUNCTION("""COMPUTED_VALUE"""),"0037")</f>
        <v>0037</v>
      </c>
      <c r="J361" s="116" t="str">
        <f ca="1">IFERROR(__xludf.DUMMYFUNCTION("""COMPUTED_VALUE"""),"0702646")</f>
        <v>0702646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IFERROR(__xludf.DUMMYFUNCTION("""COMPUTED_VALUE"""),"Integral")</f>
        <v>Integral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IFERROR(__xludf.DUMMYFUNCTION("""COMPUTED_VALUE"""),"17018188")</f>
        <v>17018188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IFERROR(__xludf.DUMMYFUNCTION("""COMPUTED_VALUE"""),"Oliveira de Fatima")</f>
        <v>Oliveira de Fatima</v>
      </c>
      <c r="D362" s="115" t="str">
        <f ca="1">IFERROR(__xludf.DUMMYFUNCTION("""COMPUTED_VALUE"""),"ASS. DE APOIO DA ESC. EST.RIACHUELO")</f>
        <v>ASS. DE APOIO DA ESC. EST.RIACHUELO</v>
      </c>
      <c r="E362" s="114" t="str">
        <f ca="1">IFERROR(__xludf.DUMMYFUNCTION("""COMPUTED_VALUE"""),"Escola Estadual Riachuelo")</f>
        <v>Escola Estadual Riachuelo</v>
      </c>
      <c r="F362" s="116" t="str">
        <f ca="1">IFERROR(__xludf.DUMMYFUNCTION("""COMPUTED_VALUE"""),"17018188")</f>
        <v>17018188</v>
      </c>
      <c r="G362" s="114" t="str">
        <f ca="1">IFERROR(__xludf.DUMMYFUNCTION("""COMPUTED_VALUE"""),"01696068000110")</f>
        <v>01696068000110</v>
      </c>
      <c r="H362" s="116" t="str">
        <f ca="1">IFERROR(__xludf.DUMMYFUNCTION("""COMPUTED_VALUE"""),"001")</f>
        <v>001</v>
      </c>
      <c r="I362" s="116" t="str">
        <f ca="1">IFERROR(__xludf.DUMMYFUNCTION("""COMPUTED_VALUE"""),"4107")</f>
        <v>4107</v>
      </c>
      <c r="J362" s="116" t="str">
        <f ca="1">IFERROR(__xludf.DUMMYFUNCTION("""COMPUTED_VALUE"""),"319511")</f>
        <v>319511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/>
      <c r="AE362" s="114" t="str">
        <f ca="1">IFERROR(__xludf.DUMMYFUNCTION("""COMPUTED_VALUE"""),"Parcial")</f>
        <v>Parcial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IFERROR(__xludf.DUMMYFUNCTION("""COMPUTED_VALUE"""),0)</f>
        <v>0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IFERROR(__xludf.DUMMYFUNCTION("""COMPUTED_VALUE"""),"17035848")</f>
        <v>17035848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IFERROR(__xludf.DUMMYFUNCTION("""COMPUTED_VALUE"""),"Pindorama do Tocantins")</f>
        <v>Pindorama do Tocantins</v>
      </c>
      <c r="D363" s="115" t="str">
        <f ca="1">IFERROR(__xludf.DUMMYFUNCTION("""COMPUTED_VALUE"""),"A.A. DO COL. EST. MANOEL DOS SANTOS ROSAL")</f>
        <v>A.A. DO COL. EST. MANOEL DOS SANTOS ROSAL</v>
      </c>
      <c r="E363" s="114" t="str">
        <f ca="1">IFERROR(__xludf.DUMMYFUNCTION("""COMPUTED_VALUE"""),"Colégio Estadual Manoel dos Santos Rosal")</f>
        <v>Colégio Estadual Manoel dos Santos Rosal</v>
      </c>
      <c r="F363" s="116" t="str">
        <f ca="1">IFERROR(__xludf.DUMMYFUNCTION("""COMPUTED_VALUE"""),"17035848")</f>
        <v>17035848</v>
      </c>
      <c r="G363" s="114" t="str">
        <f ca="1">IFERROR(__xludf.DUMMYFUNCTION("""COMPUTED_VALUE"""),"01034136000185")</f>
        <v>01034136000185</v>
      </c>
      <c r="H363" s="116" t="str">
        <f ca="1">IFERROR(__xludf.DUMMYFUNCTION("""COMPUTED_VALUE"""),"001")</f>
        <v>001</v>
      </c>
      <c r="I363" s="116" t="str">
        <f ca="1">IFERROR(__xludf.DUMMYFUNCTION("""COMPUTED_VALUE"""),"1117")</f>
        <v>1117</v>
      </c>
      <c r="J363" s="116" t="str">
        <f ca="1">IFERROR(__xludf.DUMMYFUNCTION("""COMPUTED_VALUE"""),"312991")</f>
        <v>312991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IFERROR(__xludf.DUMMYFUNCTION("""COMPUTED_VALUE"""),"Integral")</f>
        <v>Integral</v>
      </c>
      <c r="AF363" s="114" t="str">
        <f ca="1">IFERROR(__xludf.DUMMYFUNCTION("""COMPUTED_VALUE"""),"FE")</f>
        <v>FE</v>
      </c>
      <c r="AG363" s="114">
        <f ca="1">IFERROR(__xludf.DUMMYFUNCTION("""COMPUTED_VALUE"""),12)</f>
        <v>12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IFERROR(__xludf.DUMMYFUNCTION("""COMPUTED_VALUE"""),7)</f>
        <v>7</v>
      </c>
      <c r="AK363" s="114"/>
      <c r="AL363" s="117"/>
    </row>
    <row r="364" spans="1:38" ht="12.75">
      <c r="A364" s="113" t="str">
        <f ca="1">IFERROR(__xludf.DUMMYFUNCTION("""COMPUTED_VALUE"""),"17035830")</f>
        <v>17035830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IFERROR(__xludf.DUMMYFUNCTION("""COMPUTED_VALUE"""),"Pindorama do Tocantins")</f>
        <v>Pindorama do Tocantins</v>
      </c>
      <c r="D364" s="115" t="str">
        <f ca="1">IFERROR(__xludf.DUMMYFUNCTION("""COMPUTED_VALUE"""),"A.A. E. E. DEP.JOSE A. DE ASSIS")</f>
        <v>A.A. E. E. DEP.JOSE A. DE ASSIS</v>
      </c>
      <c r="E364" s="114" t="str">
        <f ca="1">IFERROR(__xludf.DUMMYFUNCTION("""COMPUTED_VALUE"""),"Escola Estadual José Alves de Assis")</f>
        <v>Escola Estadual José Alves de Assis</v>
      </c>
      <c r="F364" s="116" t="str">
        <f ca="1">IFERROR(__xludf.DUMMYFUNCTION("""COMPUTED_VALUE"""),"17035830")</f>
        <v>17035830</v>
      </c>
      <c r="G364" s="114" t="str">
        <f ca="1">IFERROR(__xludf.DUMMYFUNCTION("""COMPUTED_VALUE"""),"01066411000142")</f>
        <v>01066411000142</v>
      </c>
      <c r="H364" s="116" t="str">
        <f ca="1">IFERROR(__xludf.DUMMYFUNCTION("""COMPUTED_VALUE"""),"001")</f>
        <v>001</v>
      </c>
      <c r="I364" s="116" t="str">
        <f ca="1">IFERROR(__xludf.DUMMYFUNCTION("""COMPUTED_VALUE"""),"1117")</f>
        <v>1117</v>
      </c>
      <c r="J364" s="116" t="str">
        <f ca="1">IFERROR(__xludf.DUMMYFUNCTION("""COMPUTED_VALUE"""),"312770")</f>
        <v>312770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IFERROR(__xludf.DUMMYFUNCTION("""COMPUTED_VALUE"""),"Parcial")</f>
        <v>Parcial</v>
      </c>
      <c r="AF364" s="114" t="str">
        <f ca="1">IFERROR(__xludf.DUMMYFUNCTION("""COMPUTED_VALUE"""),"FE")</f>
        <v>FE</v>
      </c>
      <c r="AG364" s="114">
        <f ca="1">IFERROR(__xludf.DUMMYFUNCTION("""COMPUTED_VALUE"""),0)</f>
        <v>0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IFERROR(__xludf.DUMMYFUNCTION("""COMPUTED_VALUE"""),0)</f>
        <v>0</v>
      </c>
      <c r="AK364" s="114"/>
      <c r="AL364" s="117"/>
    </row>
    <row r="365" spans="1:38" ht="12.75">
      <c r="A365" s="113" t="str">
        <f ca="1">IFERROR(__xludf.DUMMYFUNCTION("""COMPUTED_VALUE"""),"17030811")</f>
        <v>17030811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IFERROR(__xludf.DUMMYFUNCTION("""COMPUTED_VALUE"""),"Ponte Alta do Tocantins")</f>
        <v>Ponte Alta do Tocantins</v>
      </c>
      <c r="D365" s="115" t="str">
        <f ca="1">IFERROR(__xludf.DUMMYFUNCTION("""COMPUTED_VALUE"""),"ASS. A. AO COL. EST. ODOLFO SOARES")</f>
        <v>ASS. A. AO COL. EST. ODOLFO SOARES</v>
      </c>
      <c r="E365" s="114" t="str">
        <f ca="1">IFERROR(__xludf.DUMMYFUNCTION("""COMPUTED_VALUE"""),"Colégio Estadual Odolfo Soares")</f>
        <v>Colégio Estadual Odolfo Soares</v>
      </c>
      <c r="F365" s="116" t="str">
        <f ca="1">IFERROR(__xludf.DUMMYFUNCTION("""COMPUTED_VALUE"""),"17030811")</f>
        <v>17030811</v>
      </c>
      <c r="G365" s="114" t="str">
        <f ca="1">IFERROR(__xludf.DUMMYFUNCTION("""COMPUTED_VALUE"""),"01342866000143")</f>
        <v>01342866000143</v>
      </c>
      <c r="H365" s="116" t="str">
        <f ca="1">IFERROR(__xludf.DUMMYFUNCTION("""COMPUTED_VALUE"""),"001")</f>
        <v>001</v>
      </c>
      <c r="I365" s="116" t="str">
        <f ca="1">IFERROR(__xludf.DUMMYFUNCTION("""COMPUTED_VALUE"""),"1117")</f>
        <v>1117</v>
      </c>
      <c r="J365" s="116" t="str">
        <f ca="1">IFERROR(__xludf.DUMMYFUNCTION("""COMPUTED_VALUE"""),"333921")</f>
        <v>333921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IFERROR(__xludf.DUMMYFUNCTION("""COMPUTED_VALUE"""),"17030838")</f>
        <v>17030838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IFERROR(__xludf.DUMMYFUNCTION("""COMPUTED_VALUE"""),"Ponte Alta do Tocantins")</f>
        <v>Ponte Alta do Tocantins</v>
      </c>
      <c r="D366" s="115" t="str">
        <f ca="1">IFERROR(__xludf.DUMMYFUNCTION("""COMPUTED_VALUE"""),"ASS. APOIO DA ESCOLA EST. ALCIDES RUFO")</f>
        <v>ASS. APOIO DA ESCOLA EST. ALCIDES RUFO</v>
      </c>
      <c r="E366" s="114" t="str">
        <f ca="1">IFERROR(__xludf.DUMMYFUNCTION("""COMPUTED_VALUE"""),"Escola Estadual Alcides Rufo")</f>
        <v>Escola Estadual Alcides Rufo</v>
      </c>
      <c r="F366" s="116" t="str">
        <f ca="1">IFERROR(__xludf.DUMMYFUNCTION("""COMPUTED_VALUE"""),"17030838")</f>
        <v>17030838</v>
      </c>
      <c r="G366" s="114" t="str">
        <f ca="1">IFERROR(__xludf.DUMMYFUNCTION("""COMPUTED_VALUE"""),"01192931000100")</f>
        <v>01192931000100</v>
      </c>
      <c r="H366" s="116" t="str">
        <f ca="1">IFERROR(__xludf.DUMMYFUNCTION("""COMPUTED_VALUE"""),"001")</f>
        <v>001</v>
      </c>
      <c r="I366" s="116" t="str">
        <f ca="1">IFERROR(__xludf.DUMMYFUNCTION("""COMPUTED_VALUE"""),"1117")</f>
        <v>1117</v>
      </c>
      <c r="J366" s="116" t="str">
        <f ca="1">IFERROR(__xludf.DUMMYFUNCTION("""COMPUTED_VALUE"""),"313785")</f>
        <v>313785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IFERROR(__xludf.DUMMYFUNCTION("""COMPUTED_VALUE"""),"Parcial")</f>
        <v>Parcial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IFERROR(__xludf.DUMMYFUNCTION("""COMPUTED_VALUE"""),"17052483")</f>
        <v>17052483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IFERROR(__xludf.DUMMYFUNCTION("""COMPUTED_VALUE"""),"Ponte Alta do Tocantins")</f>
        <v>Ponte Alta do Tocantins</v>
      </c>
      <c r="D367" s="115" t="str">
        <f ca="1">IFERROR(__xludf.DUMMYFUNCTION("""COMPUTED_VALUE"""),"ASS. DE APOIO A ESCOLA EST. ESPECIAL AMILSON FRAZÃO DOS REIS")</f>
        <v>ASS. DE APOIO A ESCOLA EST. ESPECIAL AMILSON FRAZÃO DOS REIS</v>
      </c>
      <c r="E367" s="114" t="str">
        <f ca="1">IFERROR(__xludf.DUMMYFUNCTION("""COMPUTED_VALUE"""),"A.A. Escola Est. Especial Amilson Frazão dos Reis - Apae")</f>
        <v>A.A. Escola Est. Especial Amilson Frazão dos Reis - Apae</v>
      </c>
      <c r="F367" s="116" t="str">
        <f ca="1">IFERROR(__xludf.DUMMYFUNCTION("""COMPUTED_VALUE"""),"17052483")</f>
        <v>17052483</v>
      </c>
      <c r="G367" s="114" t="str">
        <f ca="1">IFERROR(__xludf.DUMMYFUNCTION("""COMPUTED_VALUE"""),"20309905000155")</f>
        <v>20309905000155</v>
      </c>
      <c r="H367" s="116" t="str">
        <f ca="1">IFERROR(__xludf.DUMMYFUNCTION("""COMPUTED_VALUE"""),"001")</f>
        <v>001</v>
      </c>
      <c r="I367" s="116" t="str">
        <f ca="1">IFERROR(__xludf.DUMMYFUNCTION("""COMPUTED_VALUE"""),"1117")</f>
        <v>1117</v>
      </c>
      <c r="J367" s="116" t="str">
        <f ca="1">IFERROR(__xludf.DUMMYFUNCTION("""COMPUTED_VALUE"""),"567426")</f>
        <v>567426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IFERROR(__xludf.DUMMYFUNCTION("""COMPUTED_VALUE"""),"17025206")</f>
        <v>17025206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IFERROR(__xludf.DUMMYFUNCTION("""COMPUTED_VALUE"""),"Porto Nacional")</f>
        <v>Porto Nacional</v>
      </c>
      <c r="D368" s="115" t="str">
        <f ca="1">IFERROR(__xludf.DUMMYFUNCTION("""COMPUTED_VALUE"""),"ASSOC. DE APOIO AO CEM FELIX CAMOA I")</f>
        <v>ASSOC. DE APOIO AO CEM FELIX CAMOA I</v>
      </c>
      <c r="E368" s="114" t="str">
        <f ca="1">IFERROR(__xludf.DUMMYFUNCTION("""COMPUTED_VALUE"""),"Centro de Ensino Medio Félix Camoa I")</f>
        <v>Centro de Ensino Medio Félix Camoa I</v>
      </c>
      <c r="F368" s="116" t="str">
        <f ca="1">IFERROR(__xludf.DUMMYFUNCTION("""COMPUTED_VALUE"""),"17025206")</f>
        <v>17025206</v>
      </c>
      <c r="G368" s="114" t="str">
        <f ca="1">IFERROR(__xludf.DUMMYFUNCTION("""COMPUTED_VALUE"""),"01112476000187")</f>
        <v>01112476000187</v>
      </c>
      <c r="H368" s="116" t="str">
        <f ca="1">IFERROR(__xludf.DUMMYFUNCTION("""COMPUTED_VALUE"""),"104")</f>
        <v>104</v>
      </c>
      <c r="I368" s="116" t="str">
        <f ca="1">IFERROR(__xludf.DUMMYFUNCTION("""COMPUTED_VALUE"""),"1829")</f>
        <v>1829</v>
      </c>
      <c r="J368" s="116" t="str">
        <f ca="1">IFERROR(__xludf.DUMMYFUNCTION("""COMPUTED_VALUE"""),"3050011")</f>
        <v>3050011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IFERROR(__xludf.DUMMYFUNCTION("""COMPUTED_VALUE"""),"Parcial")</f>
        <v>Parcial</v>
      </c>
      <c r="AF368" s="114" t="str">
        <f ca="1">IFERROR(__xludf.DUMMYFUNCTION("""COMPUTED_VALUE"""),"FE")</f>
        <v>FE</v>
      </c>
      <c r="AG368" s="114">
        <f ca="1">IFERROR(__xludf.DUMMYFUNCTION("""COMPUTED_VALUE"""),11)</f>
        <v>11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IFERROR(__xludf.DUMMYFUNCTION("""COMPUTED_VALUE"""),0)</f>
        <v>0</v>
      </c>
      <c r="AK368" s="114"/>
      <c r="AL368" s="117"/>
    </row>
    <row r="369" spans="1:38" ht="12.75">
      <c r="A369" s="113" t="str">
        <f ca="1">IFERROR(__xludf.DUMMYFUNCTION("""COMPUTED_VALUE"""),"17024790")</f>
        <v>17024790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IFERROR(__xludf.DUMMYFUNCTION("""COMPUTED_VALUE"""),"Porto Nacional")</f>
        <v>Porto Nacional</v>
      </c>
      <c r="D369" s="115" t="str">
        <f ca="1">IFERROR(__xludf.DUMMYFUNCTION("""COMPUTED_VALUE"""),"ASSOC. DE A.DO CEM PROFº. FLORÊNCIO AIRES DA SILVA")</f>
        <v>ASSOC. DE A.DO CEM PROFº. FLORÊNCIO AIRES DA SILVA</v>
      </c>
      <c r="E369" s="114" t="str">
        <f ca="1">IFERROR(__xludf.DUMMYFUNCTION("""COMPUTED_VALUE"""),"Centro de Ensino Médio Professor Florêncio Aires")</f>
        <v>Centro de Ensino Médio Professor Florêncio Aires</v>
      </c>
      <c r="F369" s="116" t="str">
        <f ca="1">IFERROR(__xludf.DUMMYFUNCTION("""COMPUTED_VALUE"""),"17024790")</f>
        <v>17024790</v>
      </c>
      <c r="G369" s="114" t="str">
        <f ca="1">IFERROR(__xludf.DUMMYFUNCTION("""COMPUTED_VALUE"""),"01138326000142")</f>
        <v>01138326000142</v>
      </c>
      <c r="H369" s="116" t="str">
        <f ca="1">IFERROR(__xludf.DUMMYFUNCTION("""COMPUTED_VALUE"""),"001")</f>
        <v>001</v>
      </c>
      <c r="I369" s="116" t="str">
        <f ca="1">IFERROR(__xludf.DUMMYFUNCTION("""COMPUTED_VALUE"""),"1117")</f>
        <v>1117</v>
      </c>
      <c r="J369" s="116" t="str">
        <f ca="1">IFERROR(__xludf.DUMMYFUNCTION("""COMPUTED_VALUE"""),"5500X")</f>
        <v>5500X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IFERROR(__xludf.DUMMYFUNCTION("""COMPUTED_VALUE"""),0)</f>
        <v>0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IFERROR(__xludf.DUMMYFUNCTION("""COMPUTED_VALUE"""),"17025052")</f>
        <v>17025052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IFERROR(__xludf.DUMMYFUNCTION("""COMPUTED_VALUE"""),"Porto Nacional")</f>
        <v>Porto Nacional</v>
      </c>
      <c r="D370" s="115" t="str">
        <f ca="1">IFERROR(__xludf.DUMMYFUNCTION("""COMPUTED_VALUE"""),"A. E. COM. ESC. CONV. ANGELICA R. ARANHA")</f>
        <v>A. E. COM. ESC. CONV. ANGELICA R. ARANHA</v>
      </c>
      <c r="E370" s="114" t="str">
        <f ca="1">IFERROR(__xludf.DUMMYFUNCTION("""COMPUTED_VALUE"""),"Colégio Estadual Angélica Ribeiro Aranha")</f>
        <v>Colégio Estadual Angélica Ribeiro Aranha</v>
      </c>
      <c r="F370" s="116" t="str">
        <f ca="1">IFERROR(__xludf.DUMMYFUNCTION("""COMPUTED_VALUE"""),"17025052")</f>
        <v>17025052</v>
      </c>
      <c r="G370" s="114" t="str">
        <f ca="1">IFERROR(__xludf.DUMMYFUNCTION("""COMPUTED_VALUE"""),"01075455000139")</f>
        <v>01075455000139</v>
      </c>
      <c r="H370" s="116" t="str">
        <f ca="1">IFERROR(__xludf.DUMMYFUNCTION("""COMPUTED_VALUE"""),"104")</f>
        <v>104</v>
      </c>
      <c r="I370" s="116" t="str">
        <f ca="1">IFERROR(__xludf.DUMMYFUNCTION("""COMPUTED_VALUE"""),"1829")</f>
        <v>1829</v>
      </c>
      <c r="J370" s="116" t="str">
        <f ca="1">IFERROR(__xludf.DUMMYFUNCTION("""COMPUTED_VALUE"""),"307313")</f>
        <v>307313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IFERROR(__xludf.DUMMYFUNCTION("""COMPUTED_VALUE"""),"17024919")</f>
        <v>17024919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IFERROR(__xludf.DUMMYFUNCTION("""COMPUTED_VALUE"""),"Porto Nacional")</f>
        <v>Porto Nacional</v>
      </c>
      <c r="D371" s="115" t="str">
        <f ca="1">IFERROR(__xludf.DUMMYFUNCTION("""COMPUTED_VALUE"""),"A.A. ESC. EST. DR.PEDRO LUDOVICO TEIXEIRA")</f>
        <v>A.A. ESC. EST. DR.PEDRO LUDOVICO TEIXEIRA</v>
      </c>
      <c r="E371" s="114" t="str">
        <f ca="1">IFERROR(__xludf.DUMMYFUNCTION("""COMPUTED_VALUE"""),"Colégio Estadual Doutor Pedro Ludovico Teixeira")</f>
        <v>Colégio Estadual Doutor Pedro Ludovico Teixeira</v>
      </c>
      <c r="F371" s="116" t="str">
        <f ca="1">IFERROR(__xludf.DUMMYFUNCTION("""COMPUTED_VALUE"""),"17024919")</f>
        <v>17024919</v>
      </c>
      <c r="G371" s="114" t="str">
        <f ca="1">IFERROR(__xludf.DUMMYFUNCTION("""COMPUTED_VALUE"""),"01135997000150")</f>
        <v>01135997000150</v>
      </c>
      <c r="H371" s="116" t="str">
        <f ca="1">IFERROR(__xludf.DUMMYFUNCTION("""COMPUTED_VALUE"""),"104")</f>
        <v>104</v>
      </c>
      <c r="I371" s="116" t="str">
        <f ca="1">IFERROR(__xludf.DUMMYFUNCTION("""COMPUTED_VALUE"""),"1829")</f>
        <v>1829</v>
      </c>
      <c r="J371" s="116" t="str">
        <f ca="1">IFERROR(__xludf.DUMMYFUNCTION("""COMPUTED_VALUE"""),"305949")</f>
        <v>305949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IFERROR(__xludf.DUMMYFUNCTION("""COMPUTED_VALUE"""),"17024960")</f>
        <v>17024960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IFERROR(__xludf.DUMMYFUNCTION("""COMPUTED_VALUE"""),"Porto Nacional")</f>
        <v>Porto Nacional</v>
      </c>
      <c r="D372" s="115" t="str">
        <f ca="1">IFERROR(__xludf.DUMMYFUNCTION("""COMPUTED_VALUE"""),"A. ESCOL.COM. ESC. EST. MAL.ARTUR C.E SILVA")</f>
        <v>A. ESCOL.COM. ESC. EST. MAL.ARTUR C.E SILVA</v>
      </c>
      <c r="E372" s="114" t="str">
        <f ca="1">IFERROR(__xludf.DUMMYFUNCTION("""COMPUTED_VALUE"""),"Colégio Estadual Marechal Artur da Costa E Silva")</f>
        <v>Colégio Estadual Marechal Artur da Costa E Silva</v>
      </c>
      <c r="F372" s="116" t="str">
        <f ca="1">IFERROR(__xludf.DUMMYFUNCTION("""COMPUTED_VALUE"""),"17024960")</f>
        <v>17024960</v>
      </c>
      <c r="G372" s="114" t="str">
        <f ca="1">IFERROR(__xludf.DUMMYFUNCTION("""COMPUTED_VALUE"""),"01112763000197")</f>
        <v>01112763000197</v>
      </c>
      <c r="H372" s="116" t="str">
        <f ca="1">IFERROR(__xludf.DUMMYFUNCTION("""COMPUTED_VALUE"""),"104")</f>
        <v>104</v>
      </c>
      <c r="I372" s="116" t="str">
        <f ca="1">IFERROR(__xludf.DUMMYFUNCTION("""COMPUTED_VALUE"""),"1829")</f>
        <v>1829</v>
      </c>
      <c r="J372" s="116" t="str">
        <f ca="1">IFERROR(__xludf.DUMMYFUNCTION("""COMPUTED_VALUE"""),"307364")</f>
        <v>307364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IFERROR(__xludf.DUMMYFUNCTION("""COMPUTED_VALUE"""),"Integral")</f>
        <v>Integral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IFERROR(__xludf.DUMMYFUNCTION("""COMPUTED_VALUE"""),"17040124")</f>
        <v>17040124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IFERROR(__xludf.DUMMYFUNCTION("""COMPUTED_VALUE"""),"ASSOCIAÇÃO DE APOIO DA ESCOLA FAMÍLIA AGRÍCOLA")</f>
        <v>ASSOCIAÇÃO DE APOIO DA ESCOLA FAMÍLIA AGRÍCOLA</v>
      </c>
      <c r="E373" s="114" t="str">
        <f ca="1">IFERROR(__xludf.DUMMYFUNCTION("""COMPUTED_VALUE"""),"Efa-Escola Família Agrícola")</f>
        <v>Efa-Escola Família Agrícola</v>
      </c>
      <c r="F373" s="116" t="str">
        <f ca="1">IFERROR(__xludf.DUMMYFUNCTION("""COMPUTED_VALUE"""),"17040124")</f>
        <v>17040124</v>
      </c>
      <c r="G373" s="114" t="str">
        <f ca="1">IFERROR(__xludf.DUMMYFUNCTION("""COMPUTED_VALUE"""),"01197155000122")</f>
        <v>01197155000122</v>
      </c>
      <c r="H373" s="116" t="str">
        <f ca="1">IFERROR(__xludf.DUMMYFUNCTION("""COMPUTED_VALUE"""),"001")</f>
        <v>001</v>
      </c>
      <c r="I373" s="116" t="str">
        <f ca="1">IFERROR(__xludf.DUMMYFUNCTION("""COMPUTED_VALUE"""),"1117")</f>
        <v>1117</v>
      </c>
      <c r="J373" s="116" t="str">
        <f ca="1">IFERROR(__xludf.DUMMYFUNCTION("""COMPUTED_VALUE"""),"313483")</f>
        <v>313483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 t="str">
        <f ca="1">IFERROR(__xludf.DUMMYFUNCTION("""COMPUTED_VALUE"""),"AGRÍCOLA")</f>
        <v>AGRÍCOLA</v>
      </c>
      <c r="AE373" s="114" t="str">
        <f ca="1">IFERROR(__xludf.DUMMYFUNCTION("""COMPUTED_VALUE"""),"Parcial")</f>
        <v>Parcial</v>
      </c>
      <c r="AF373" s="114" t="str">
        <f ca="1">IFERROR(__xludf.DUMMYFUNCTION("""COMPUTED_VALUE"""),"FE")</f>
        <v>FE</v>
      </c>
      <c r="AG373" s="114">
        <f ca="1">IFERROR(__xludf.DUMMYFUNCTION("""COMPUTED_VALUE"""),0)</f>
        <v>0</v>
      </c>
      <c r="AH373" s="114">
        <f ca="1">IFERROR(__xludf.DUMMYFUNCTION("""COMPUTED_VALUE"""),0)</f>
        <v>0</v>
      </c>
      <c r="AI373" s="114">
        <f ca="1">IFERROR(__xludf.DUMMYFUNCTION("""COMPUTED_VALUE"""),16)</f>
        <v>16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IFERROR(__xludf.DUMMYFUNCTION("""COMPUTED_VALUE"""),"17040078")</f>
        <v>17040078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IFERROR(__xludf.DUMMYFUNCTION("""COMPUTED_VALUE"""),"ASSOC.P.A.DOS EXCEP. DE PORTO NACIONAL")</f>
        <v>ASSOC.P.A.DOS EXCEP. DE PORTO NACIONAL</v>
      </c>
      <c r="E374" s="114" t="str">
        <f ca="1">IFERROR(__xludf.DUMMYFUNCTION("""COMPUTED_VALUE"""),"Escola Especial Mãe Tia Eulina Braga")</f>
        <v>Escola Especial Mãe Tia Eulina Braga</v>
      </c>
      <c r="F374" s="116" t="str">
        <f ca="1">IFERROR(__xludf.DUMMYFUNCTION("""COMPUTED_VALUE"""),"17040078")</f>
        <v>17040078</v>
      </c>
      <c r="G374" s="114" t="str">
        <f ca="1">IFERROR(__xludf.DUMMYFUNCTION("""COMPUTED_VALUE"""),"26752113000137")</f>
        <v>26752113000137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IFERROR(__xludf.DUMMYFUNCTION("""COMPUTED_VALUE"""),"86657")</f>
        <v>86657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 t="str">
        <f ca="1">IFERROR(__xludf.DUMMYFUNCTION("""COMPUTED_VALUE"""),"ESTADO")</f>
        <v>ESTADO</v>
      </c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IFERROR(__xludf.DUMMYFUNCTION("""COMPUTED_VALUE"""),0)</f>
        <v>0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IFERROR(__xludf.DUMMYFUNCTION("""COMPUTED_VALUE"""),"17024854")</f>
        <v>17024854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IFERROR(__xludf.DUMMYFUNCTION("""COMPUTED_VALUE"""),"A.A.  ESCOLA ESTADUAL ALFREDO NASSER")</f>
        <v>A.A.  ESCOLA ESTADUAL ALFREDO NASSER</v>
      </c>
      <c r="E375" s="114" t="str">
        <f ca="1">IFERROR(__xludf.DUMMYFUNCTION("""COMPUTED_VALUE"""),"Escola Estadual Alfredo Nasser")</f>
        <v>Escola Estadual Alfredo Nasser</v>
      </c>
      <c r="F375" s="116" t="str">
        <f ca="1">IFERROR(__xludf.DUMMYFUNCTION("""COMPUTED_VALUE"""),"17024854")</f>
        <v>17024854</v>
      </c>
      <c r="G375" s="114" t="str">
        <f ca="1">IFERROR(__xludf.DUMMYFUNCTION("""COMPUTED_VALUE"""),"01251862000150")</f>
        <v>01251862000150</v>
      </c>
      <c r="H375" s="116" t="str">
        <f ca="1">IFERROR(__xludf.DUMMYFUNCTION("""COMPUTED_VALUE"""),"104")</f>
        <v>104</v>
      </c>
      <c r="I375" s="116" t="str">
        <f ca="1">IFERROR(__xludf.DUMMYFUNCTION("""COMPUTED_VALUE"""),"1829")</f>
        <v>1829</v>
      </c>
      <c r="J375" s="116" t="str">
        <f ca="1">IFERROR(__xludf.DUMMYFUNCTION("""COMPUTED_VALUE"""),"307410")</f>
        <v>307410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/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IFERROR(__xludf.DUMMYFUNCTION("""COMPUTED_VALUE"""),"17024862")</f>
        <v>17024862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ESCOLA ESTADUAL ANA MACEDO MAIA")</f>
        <v>A.A. ESCOLA ESTADUAL ANA MACEDO MAIA</v>
      </c>
      <c r="E376" s="114" t="str">
        <f ca="1">IFERROR(__xludf.DUMMYFUNCTION("""COMPUTED_VALUE"""),"Escola Estadual Ana Macedo Maia")</f>
        <v>Escola Estadual Ana Macedo Maia</v>
      </c>
      <c r="F376" s="116" t="str">
        <f ca="1">IFERROR(__xludf.DUMMYFUNCTION("""COMPUTED_VALUE"""),"17024862")</f>
        <v>17024862</v>
      </c>
      <c r="G376" s="114" t="str">
        <f ca="1">IFERROR(__xludf.DUMMYFUNCTION("""COMPUTED_VALUE"""),"01243662000155")</f>
        <v>01243662000155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IFERROR(__xludf.DUMMYFUNCTION("""COMPUTED_VALUE"""),"306015")</f>
        <v>306015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IFERROR(__xludf.DUMMYFUNCTION("""COMPUTED_VALUE"""),"17025117")</f>
        <v>17025117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 ESCOLAR COMUN. DA ESC. CONV. BRASIL")</f>
        <v>A. ESCOLAR COMUN. DA ESC. CONV. BRASIL</v>
      </c>
      <c r="E377" s="114" t="str">
        <f ca="1">IFERROR(__xludf.DUMMYFUNCTION("""COMPUTED_VALUE"""),"Escola Estadual Brasil")</f>
        <v>Escola Estadual Brasil</v>
      </c>
      <c r="F377" s="116" t="str">
        <f ca="1">IFERROR(__xludf.DUMMYFUNCTION("""COMPUTED_VALUE"""),"17025117")</f>
        <v>17025117</v>
      </c>
      <c r="G377" s="114" t="str">
        <f ca="1">IFERROR(__xludf.DUMMYFUNCTION("""COMPUTED_VALUE"""),"01112471000154")</f>
        <v>01112471000154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IFERROR(__xludf.DUMMYFUNCTION("""COMPUTED_VALUE"""),"307402")</f>
        <v>307402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 t="str">
        <f ca="1">IFERROR(__xludf.DUMMYFUNCTION("""COMPUTED_VALUE"""),"E.M. INTEGRADO")</f>
        <v>E.M. INTEGRADO</v>
      </c>
      <c r="AE377" s="114" t="str">
        <f ca="1">IFERROR(__xludf.DUMMYFUNCTION("""COMPUTED_VALUE"""),"Parcial")</f>
        <v>Parcial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IFERROR(__xludf.DUMMYFUNCTION("""COMPUTED_VALUE"""),"17024889")</f>
        <v>17024889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IFERROR(__xludf.DUMMYFUNCTION("""COMPUTED_VALUE"""),"A.A.  ESCOLA ESTADUAL CUSTÓDIA DA SILVA PEDREIRA")</f>
        <v>A.A.  ESCOLA ESTADUAL CUSTÓDIA DA SILVA PEDREIRA</v>
      </c>
      <c r="E378" s="114" t="str">
        <f ca="1">IFERROR(__xludf.DUMMYFUNCTION("""COMPUTED_VALUE"""),"Escola Estadual Custódia da Silva Pedreira")</f>
        <v>Escola Estadual Custódia da Silva Pedreira</v>
      </c>
      <c r="F378" s="116" t="str">
        <f ca="1">IFERROR(__xludf.DUMMYFUNCTION("""COMPUTED_VALUE"""),"17024889")</f>
        <v>17024889</v>
      </c>
      <c r="G378" s="114" t="str">
        <f ca="1">IFERROR(__xludf.DUMMYFUNCTION("""COMPUTED_VALUE"""),"01192932000146")</f>
        <v>01192932000146</v>
      </c>
      <c r="H378" s="116" t="str">
        <f ca="1">IFERROR(__xludf.DUMMYFUNCTION("""COMPUTED_VALUE"""),"001")</f>
        <v>001</v>
      </c>
      <c r="I378" s="116" t="str">
        <f ca="1">IFERROR(__xludf.DUMMYFUNCTION("""COMPUTED_VALUE"""),"1117")</f>
        <v>1117</v>
      </c>
      <c r="J378" s="116" t="str">
        <f ca="1">IFERROR(__xludf.DUMMYFUNCTION("""COMPUTED_VALUE"""),"314080")</f>
        <v>314080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/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IFERROR(__xludf.DUMMYFUNCTION("""COMPUTED_VALUE"""),0)</f>
        <v>0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IFERROR(__xludf.DUMMYFUNCTION("""COMPUTED_VALUE"""),"17024897")</f>
        <v>17024897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IFERROR(__xludf.DUMMYFUNCTION("""COMPUTED_VALUE"""),"A. ESC. COM./ESC. EST. D.DOMINGOS CARREROT")</f>
        <v>A. ESC. COM./ESC. EST. D.DOMINGOS CARREROT</v>
      </c>
      <c r="E379" s="114" t="str">
        <f ca="1">IFERROR(__xludf.DUMMYFUNCTION("""COMPUTED_VALUE"""),"Escola Estadual dom domingos Carrerot")</f>
        <v>Escola Estadual dom domingos Carrerot</v>
      </c>
      <c r="F379" s="116" t="str">
        <f ca="1">IFERROR(__xludf.DUMMYFUNCTION("""COMPUTED_VALUE"""),"17024897")</f>
        <v>17024897</v>
      </c>
      <c r="G379" s="114" t="str">
        <f ca="1">IFERROR(__xludf.DUMMYFUNCTION("""COMPUTED_VALUE"""),"00900197000115")</f>
        <v>00900197000115</v>
      </c>
      <c r="H379" s="116" t="str">
        <f ca="1">IFERROR(__xludf.DUMMYFUNCTION("""COMPUTED_VALUE"""),"104")</f>
        <v>104</v>
      </c>
      <c r="I379" s="116" t="str">
        <f ca="1">IFERROR(__xludf.DUMMYFUNCTION("""COMPUTED_VALUE"""),"1829")</f>
        <v>1829</v>
      </c>
      <c r="J379" s="116" t="str">
        <f ca="1">IFERROR(__xludf.DUMMYFUNCTION("""COMPUTED_VALUE"""),"305914")</f>
        <v>305914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/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IFERROR(__xludf.DUMMYFUNCTION("""COMPUTED_VALUE"""),"17024900")</f>
        <v>17024900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IFERROR(__xludf.DUMMYFUNCTION("""COMPUTED_VALUE"""),"A.A.  A ESCOLA D. PEDRO II")</f>
        <v>A.A.  A ESCOLA D. PEDRO II</v>
      </c>
      <c r="E380" s="114" t="str">
        <f ca="1">IFERROR(__xludf.DUMMYFUNCTION("""COMPUTED_VALUE"""),"Escola Estadual Girassol de Tempo Integral dom Pedro II")</f>
        <v>Escola Estadual Girassol de Tempo Integral dom Pedro II</v>
      </c>
      <c r="F380" s="116" t="str">
        <f ca="1">IFERROR(__xludf.DUMMYFUNCTION("""COMPUTED_VALUE"""),"17024900")</f>
        <v>17024900</v>
      </c>
      <c r="G380" s="114" t="str">
        <f ca="1">IFERROR(__xludf.DUMMYFUNCTION("""COMPUTED_VALUE"""),"01133697000131")</f>
        <v>01133697000131</v>
      </c>
      <c r="H380" s="116" t="str">
        <f ca="1">IFERROR(__xludf.DUMMYFUNCTION("""COMPUTED_VALUE"""),"001")</f>
        <v>001</v>
      </c>
      <c r="I380" s="116" t="str">
        <f ca="1">IFERROR(__xludf.DUMMYFUNCTION("""COMPUTED_VALUE"""),"1117")</f>
        <v>1117</v>
      </c>
      <c r="J380" s="116" t="str">
        <f ca="1">IFERROR(__xludf.DUMMYFUNCTION("""COMPUTED_VALUE"""),"0313092")</f>
        <v>0313092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 t="str">
        <f ca="1">IFERROR(__xludf.DUMMYFUNCTION("""COMPUTED_VALUE"""),"E.M. INTEGRADO")</f>
        <v>E.M. INTEGRADO</v>
      </c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IFERROR(__xludf.DUMMYFUNCTION("""COMPUTED_VALUE"""),9)</f>
        <v>9</v>
      </c>
      <c r="AK380" s="114"/>
      <c r="AL380" s="117"/>
    </row>
    <row r="381" spans="1:38" ht="12.75">
      <c r="A381" s="113" t="str">
        <f ca="1">IFERROR(__xludf.DUMMYFUNCTION("""COMPUTED_VALUE"""),"17024951")</f>
        <v>17024951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ESCOLA ESTADUAL IRMA ASPASIA")</f>
        <v>A.A. ESCOLA ESTADUAL IRMA ASPASIA</v>
      </c>
      <c r="E381" s="114" t="str">
        <f ca="1">IFERROR(__xludf.DUMMYFUNCTION("""COMPUTED_VALUE"""),"Escola Estadual Irmã Aspásia")</f>
        <v>Escola Estadual Irmã Aspásia</v>
      </c>
      <c r="F381" s="116" t="str">
        <f ca="1">IFERROR(__xludf.DUMMYFUNCTION("""COMPUTED_VALUE"""),"17024951")</f>
        <v>17024951</v>
      </c>
      <c r="G381" s="114" t="str">
        <f ca="1">IFERROR(__xludf.DUMMYFUNCTION("""COMPUTED_VALUE"""),"01136022000146")</f>
        <v>01136022000146</v>
      </c>
      <c r="H381" s="116" t="str">
        <f ca="1">IFERROR(__xludf.DUMMYFUNCTION("""COMPUTED_VALUE"""),"104")</f>
        <v>104</v>
      </c>
      <c r="I381" s="116" t="str">
        <f ca="1">IFERROR(__xludf.DUMMYFUNCTION("""COMPUTED_VALUE"""),"1829")</f>
        <v>1829</v>
      </c>
      <c r="J381" s="116" t="str">
        <f ca="1">IFERROR(__xludf.DUMMYFUNCTION("""COMPUTED_VALUE"""),"307453")</f>
        <v>307453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/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IFERROR(__xludf.DUMMYFUNCTION("""COMPUTED_VALUE"""),0)</f>
        <v>0</v>
      </c>
      <c r="AK381" s="114"/>
      <c r="AL381" s="117"/>
    </row>
    <row r="382" spans="1:38" ht="12.75">
      <c r="A382" s="113" t="str">
        <f ca="1">IFERROR(__xludf.DUMMYFUNCTION("""COMPUTED_VALUE"""),"17025010")</f>
        <v>17025010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IFERROR(__xludf.DUMMYFUNCTION("""COMPUTED_VALUE"""),"A.A. DA ESC. EST. ALCIDES RODRIGUES AIRES")</f>
        <v>A.A. DA ESC. EST. ALCIDES RODRIGUES AIRES</v>
      </c>
      <c r="E382" s="114" t="str">
        <f ca="1">IFERROR(__xludf.DUMMYFUNCTION("""COMPUTED_VALUE"""),"Escola Estadual Professora Alcides Rodrigues Aires")</f>
        <v>Escola Estadual Professora Alcides Rodrigues Aires</v>
      </c>
      <c r="F382" s="116" t="str">
        <f ca="1">IFERROR(__xludf.DUMMYFUNCTION("""COMPUTED_VALUE"""),"17025010")</f>
        <v>17025010</v>
      </c>
      <c r="G382" s="114" t="str">
        <f ca="1">IFERROR(__xludf.DUMMYFUNCTION("""COMPUTED_VALUE"""),"03495455000113")</f>
        <v>03495455000113</v>
      </c>
      <c r="H382" s="116" t="str">
        <f ca="1">IFERROR(__xludf.DUMMYFUNCTION("""COMPUTED_VALUE"""),"001")</f>
        <v>001</v>
      </c>
      <c r="I382" s="116" t="str">
        <f ca="1">IFERROR(__xludf.DUMMYFUNCTION("""COMPUTED_VALUE"""),"1117")</f>
        <v>1117</v>
      </c>
      <c r="J382" s="116" t="str">
        <f ca="1">IFERROR(__xludf.DUMMYFUNCTION("""COMPUTED_VALUE"""),"77143")</f>
        <v>77143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 t="str">
        <f ca="1">IFERROR(__xludf.DUMMYFUNCTION("""COMPUTED_VALUE"""),"CRECHE")</f>
        <v>CRECHE</v>
      </c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IFERROR(__xludf.DUMMYFUNCTION("""COMPUTED_VALUE"""),"17024870")</f>
        <v>17024870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E. E. PROFA. CARMENIA MATOS MAIA")</f>
        <v>A.A. E. E. PROFA. CARMENIA MATOS MAIA</v>
      </c>
      <c r="E383" s="114" t="str">
        <f ca="1">IFERROR(__xludf.DUMMYFUNCTION("""COMPUTED_VALUE"""),"Escola Estadual Professora Carmênia Matos Maia")</f>
        <v>Escola Estadual Professora Carmênia Matos Maia</v>
      </c>
      <c r="F383" s="116" t="str">
        <f ca="1">IFERROR(__xludf.DUMMYFUNCTION("""COMPUTED_VALUE"""),"17024870")</f>
        <v>17024870</v>
      </c>
      <c r="G383" s="114" t="str">
        <f ca="1">IFERROR(__xludf.DUMMYFUNCTION("""COMPUTED_VALUE"""),"01118897000115")</f>
        <v>01118897000115</v>
      </c>
      <c r="H383" s="116" t="str">
        <f ca="1">IFERROR(__xludf.DUMMYFUNCTION("""COMPUTED_VALUE"""),"104")</f>
        <v>104</v>
      </c>
      <c r="I383" s="116" t="str">
        <f ca="1">IFERROR(__xludf.DUMMYFUNCTION("""COMPUTED_VALUE"""),"1829")</f>
        <v>1829</v>
      </c>
      <c r="J383" s="116" t="str">
        <f ca="1">IFERROR(__xludf.DUMMYFUNCTION("""COMPUTED_VALUE"""),"307399")</f>
        <v>307399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/>
      <c r="AE383" s="114" t="str">
        <f ca="1">IFERROR(__xludf.DUMMYFUNCTION("""COMPUTED_VALUE"""),"Integral")</f>
        <v>Integral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IFERROR(__xludf.DUMMYFUNCTION("""COMPUTED_VALUE"""),"17020875")</f>
        <v>17020875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IFERROR(__xludf.DUMMYFUNCTION("""COMPUTED_VALUE"""),"Santa Rita do Tocantins")</f>
        <v>Santa Rita do Tocantins</v>
      </c>
      <c r="D384" s="115" t="str">
        <f ca="1">IFERROR(__xludf.DUMMYFUNCTION("""COMPUTED_VALUE"""),"ASS. COM.DE AP.ESC. EST. DE 1 GRAU BOA NOVA")</f>
        <v>ASS. COM.DE AP.ESC. EST. DE 1 GRAU BOA NOVA</v>
      </c>
      <c r="E384" s="114" t="str">
        <f ca="1">IFERROR(__xludf.DUMMYFUNCTION("""COMPUTED_VALUE"""),"Escola Estadual Boa Nova")</f>
        <v>Escola Estadual Boa Nova</v>
      </c>
      <c r="F384" s="116" t="str">
        <f ca="1">IFERROR(__xludf.DUMMYFUNCTION("""COMPUTED_VALUE"""),"17020875")</f>
        <v>17020875</v>
      </c>
      <c r="G384" s="114" t="str">
        <f ca="1">IFERROR(__xludf.DUMMYFUNCTION("""COMPUTED_VALUE"""),"01856561000150")</f>
        <v>01856561000150</v>
      </c>
      <c r="H384" s="116" t="str">
        <f ca="1">IFERROR(__xludf.DUMMYFUNCTION("""COMPUTED_VALUE"""),"001")</f>
        <v>001</v>
      </c>
      <c r="I384" s="116" t="str">
        <f ca="1">IFERROR(__xludf.DUMMYFUNCTION("""COMPUTED_VALUE"""),"4107")</f>
        <v>4107</v>
      </c>
      <c r="J384" s="116" t="str">
        <f ca="1">IFERROR(__xludf.DUMMYFUNCTION("""COMPUTED_VALUE"""),"320722")</f>
        <v>320722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IFERROR(__xludf.DUMMYFUNCTION("""COMPUTED_VALUE"""),"Parcial")</f>
        <v>Parcial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IFERROR(__xludf.DUMMYFUNCTION("""COMPUTED_VALUE"""),"17036747")</f>
        <v>17036747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IFERROR(__xludf.DUMMYFUNCTION("""COMPUTED_VALUE"""),"Santa Rosa do Tocantins")</f>
        <v>Santa Rosa do Tocantins</v>
      </c>
      <c r="D385" s="115" t="str">
        <f ca="1">IFERROR(__xludf.DUMMYFUNCTION("""COMPUTED_VALUE"""),"A.A. E. E.PROF.ZACHARIAS NUNES DA SILVEIRA")</f>
        <v>A.A. E. E.PROF.ZACHARIAS NUNES DA SILVEIRA</v>
      </c>
      <c r="E385" s="114" t="str">
        <f ca="1">IFERROR(__xludf.DUMMYFUNCTION("""COMPUTED_VALUE"""),"Escola Estadual Professor Zacharias Nunes da Silveira")</f>
        <v>Escola Estadual Professor Zacharias Nunes da Silveira</v>
      </c>
      <c r="F385" s="116" t="str">
        <f ca="1">IFERROR(__xludf.DUMMYFUNCTION("""COMPUTED_VALUE"""),"17036747")</f>
        <v>17036747</v>
      </c>
      <c r="G385" s="114" t="str">
        <f ca="1">IFERROR(__xludf.DUMMYFUNCTION("""COMPUTED_VALUE"""),"01066420000133")</f>
        <v>01066420000133</v>
      </c>
      <c r="H385" s="116" t="str">
        <f ca="1">IFERROR(__xludf.DUMMYFUNCTION("""COMPUTED_VALUE"""),"104")</f>
        <v>104</v>
      </c>
      <c r="I385" s="116" t="str">
        <f ca="1">IFERROR(__xludf.DUMMYFUNCTION("""COMPUTED_VALUE"""),"1829")</f>
        <v>1829</v>
      </c>
      <c r="J385" s="116" t="str">
        <f ca="1">IFERROR(__xludf.DUMMYFUNCTION("""COMPUTED_VALUE"""),"0307461")</f>
        <v>0307461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/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IFERROR(__xludf.DUMMYFUNCTION("""COMPUTED_VALUE"""),0)</f>
        <v>0</v>
      </c>
      <c r="AK385" s="114"/>
      <c r="AL385" s="117"/>
    </row>
    <row r="386" spans="1:38" ht="12.75">
      <c r="A386" s="113" t="str">
        <f ca="1">IFERROR(__xludf.DUMMYFUNCTION("""COMPUTED_VALUE"""),"17036755")</f>
        <v>17036755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IFERROR(__xludf.DUMMYFUNCTION("""COMPUTED_VALUE"""),"Santa Rosa do Tocantins")</f>
        <v>Santa Rosa do Tocantins</v>
      </c>
      <c r="D386" s="115" t="str">
        <f ca="1">IFERROR(__xludf.DUMMYFUNCTION("""COMPUTED_VALUE"""),"A.A. E. E. TENENTE SALVADOR RIBEIRO")</f>
        <v>A.A. E. E. TENENTE SALVADOR RIBEIRO</v>
      </c>
      <c r="E386" s="114" t="str">
        <f ca="1">IFERROR(__xludf.DUMMYFUNCTION("""COMPUTED_VALUE"""),"Escola Estadual Tenente Salvador Ribeiro")</f>
        <v>Escola Estadual Tenente Salvador Ribeiro</v>
      </c>
      <c r="F386" s="116" t="str">
        <f ca="1">IFERROR(__xludf.DUMMYFUNCTION("""COMPUTED_VALUE"""),"17036755")</f>
        <v>17036755</v>
      </c>
      <c r="G386" s="114" t="str">
        <f ca="1">IFERROR(__xludf.DUMMYFUNCTION("""COMPUTED_VALUE"""),"01066424000111")</f>
        <v>01066424000111</v>
      </c>
      <c r="H386" s="116" t="str">
        <f ca="1">IFERROR(__xludf.DUMMYFUNCTION("""COMPUTED_VALUE"""),"001")</f>
        <v>001</v>
      </c>
      <c r="I386" s="116" t="str">
        <f ca="1">IFERROR(__xludf.DUMMYFUNCTION("""COMPUTED_VALUE"""),"1117")</f>
        <v>1117</v>
      </c>
      <c r="J386" s="116" t="str">
        <f ca="1">IFERROR(__xludf.DUMMYFUNCTION("""COMPUTED_VALUE"""),"332623")</f>
        <v>332623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IFERROR(__xludf.DUMMYFUNCTION("""COMPUTED_VALUE"""),"17025885")</f>
        <v>17025885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IFERROR(__xludf.DUMMYFUNCTION("""COMPUTED_VALUE"""),"Silvanopolis")</f>
        <v>Silvanopolis</v>
      </c>
      <c r="D387" s="115" t="str">
        <f ca="1">IFERROR(__xludf.DUMMYFUNCTION("""COMPUTED_VALUE"""),"A.A. DA ESC. EST. JOAO DA SILVA GUIMARAES")</f>
        <v>A.A. DA ESC. EST. JOAO DA SILVA GUIMARAES</v>
      </c>
      <c r="E387" s="114" t="str">
        <f ca="1">IFERROR(__xludf.DUMMYFUNCTION("""COMPUTED_VALUE"""),"Colégio Estadual João da Silva Guimarães")</f>
        <v>Colégio Estadual João da Silva Guimarães</v>
      </c>
      <c r="F387" s="116" t="str">
        <f ca="1">IFERROR(__xludf.DUMMYFUNCTION("""COMPUTED_VALUE"""),"17025885")</f>
        <v>17025885</v>
      </c>
      <c r="G387" s="114" t="str">
        <f ca="1">IFERROR(__xludf.DUMMYFUNCTION("""COMPUTED_VALUE"""),"01557779000103")</f>
        <v>01557779000103</v>
      </c>
      <c r="H387" s="116" t="str">
        <f ca="1">IFERROR(__xludf.DUMMYFUNCTION("""COMPUTED_VALUE"""),"001")</f>
        <v>001</v>
      </c>
      <c r="I387" s="116" t="str">
        <f ca="1">IFERROR(__xludf.DUMMYFUNCTION("""COMPUTED_VALUE"""),"3980")</f>
        <v>3980</v>
      </c>
      <c r="J387" s="116" t="str">
        <f ca="1">IFERROR(__xludf.DUMMYFUNCTION("""COMPUTED_VALUE"""),"51292")</f>
        <v>51292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/>
      <c r="AE387" s="114" t="str">
        <f ca="1">IFERROR(__xludf.DUMMYFUNCTION("""COMPUTED_VALUE"""),"Integral")</f>
        <v>Integral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IFERROR(__xludf.DUMMYFUNCTION("""COMPUTED_VALUE"""),"17025923")</f>
        <v>17025923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IFERROR(__xludf.DUMMYFUNCTION("""COMPUTED_VALUE"""),"Silvanopolis")</f>
        <v>Silvanopolis</v>
      </c>
      <c r="D388" s="115" t="str">
        <f ca="1">IFERROR(__xludf.DUMMYFUNCTION("""COMPUTED_VALUE"""),"A.A. A ESC. EST. JOAO PIRES QUERIDO")</f>
        <v>A.A. A ESC. EST. JOAO PIRES QUERIDO</v>
      </c>
      <c r="E388" s="114" t="str">
        <f ca="1">IFERROR(__xludf.DUMMYFUNCTION("""COMPUTED_VALUE"""),"Escola Estadual João Pires Querido")</f>
        <v>Escola Estadual João Pires Querido</v>
      </c>
      <c r="F388" s="116" t="str">
        <f ca="1">IFERROR(__xludf.DUMMYFUNCTION("""COMPUTED_VALUE"""),"17025923")</f>
        <v>17025923</v>
      </c>
      <c r="G388" s="114" t="str">
        <f ca="1">IFERROR(__xludf.DUMMYFUNCTION("""COMPUTED_VALUE"""),"01284632000197")</f>
        <v>01284632000197</v>
      </c>
      <c r="H388" s="116" t="str">
        <f ca="1">IFERROR(__xludf.DUMMYFUNCTION("""COMPUTED_VALUE"""),"001")</f>
        <v>001</v>
      </c>
      <c r="I388" s="116" t="str">
        <f ca="1">IFERROR(__xludf.DUMMYFUNCTION("""COMPUTED_VALUE"""),"3980")</f>
        <v>3980</v>
      </c>
      <c r="J388" s="116" t="str">
        <f ca="1">IFERROR(__xludf.DUMMYFUNCTION("""COMPUTED_VALUE"""),"051187")</f>
        <v>051187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IFERROR(__xludf.DUMMYFUNCTION("""COMPUTED_VALUE"""),"Parcial")</f>
        <v>Parcial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IFERROR(__xludf.DUMMYFUNCTION("""COMPUTED_VALUE"""),10)</f>
        <v>10</v>
      </c>
      <c r="AK388" s="114"/>
      <c r="AL388" s="117"/>
    </row>
    <row r="389" spans="1:38" ht="12.75">
      <c r="A389" s="113" t="str">
        <f ca="1">IFERROR(__xludf.DUMMYFUNCTION("""COMPUTED_VALUE"""),"17004268")</f>
        <v>17004268</v>
      </c>
      <c r="B389" s="114" t="str">
        <f ca="1">IFERROR(__xludf.DUMMYFUNCTION("""COMPUTED_VALUE"""),"Tocantinópolis")</f>
        <v>Tocantinópolis</v>
      </c>
      <c r="C389" s="114" t="str">
        <f ca="1">IFERROR(__xludf.DUMMYFUNCTION("""COMPUTED_VALUE"""),"Aguiarnopolis")</f>
        <v>Aguiarnopolis</v>
      </c>
      <c r="D389" s="115" t="str">
        <f ca="1">IFERROR(__xludf.DUMMYFUNCTION("""COMPUTED_VALUE"""),"A.A. DA ESC. EST. NAZARÉ NUNES DA SILVA (AGUIARNOPOLIS)")</f>
        <v>A.A. DA ESC. EST. NAZARÉ NUNES DA SILVA (AGUIARNOPOLIS)</v>
      </c>
      <c r="E389" s="114" t="str">
        <f ca="1">IFERROR(__xludf.DUMMYFUNCTION("""COMPUTED_VALUE"""),"Colégio Estadual Nazaré Nunes da Silva")</f>
        <v>Colégio Estadual Nazaré Nunes da Silva</v>
      </c>
      <c r="F389" s="116" t="str">
        <f ca="1">IFERROR(__xludf.DUMMYFUNCTION("""COMPUTED_VALUE"""),"17004268")</f>
        <v>17004268</v>
      </c>
      <c r="G389" s="114" t="str">
        <f ca="1">IFERROR(__xludf.DUMMYFUNCTION("""COMPUTED_VALUE"""),"01213519000110")</f>
        <v>01213519000110</v>
      </c>
      <c r="H389" s="116" t="str">
        <f ca="1">IFERROR(__xludf.DUMMYFUNCTION("""COMPUTED_VALUE"""),"001")</f>
        <v>001</v>
      </c>
      <c r="I389" s="116" t="str">
        <f ca="1">IFERROR(__xludf.DUMMYFUNCTION("""COMPUTED_VALUE"""),"0810")</f>
        <v>0810</v>
      </c>
      <c r="J389" s="116" t="str">
        <f ca="1">IFERROR(__xludf.DUMMYFUNCTION("""COMPUTED_VALUE"""),"217727")</f>
        <v>217727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 t="str">
        <f ca="1">IFERROR(__xludf.DUMMYFUNCTION("""COMPUTED_VALUE"""),"E.M. INTEGRADO")</f>
        <v>E.M. INTEGRADO</v>
      </c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IFERROR(__xludf.DUMMYFUNCTION("""COMPUTED_VALUE"""),15)</f>
        <v>15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IFERROR(__xludf.DUMMYFUNCTION("""COMPUTED_VALUE"""),6)</f>
        <v>6</v>
      </c>
      <c r="AK389" s="114"/>
      <c r="AL389" s="117"/>
    </row>
    <row r="390" spans="1:38" ht="12.75">
      <c r="A390" s="113" t="str">
        <f ca="1">IFERROR(__xludf.DUMMYFUNCTION("""COMPUTED_VALUE"""),"17093830")</f>
        <v>17093830</v>
      </c>
      <c r="B390" s="114" t="str">
        <f ca="1">IFERROR(__xludf.DUMMYFUNCTION("""COMPUTED_VALUE"""),"Tocantinópolis")</f>
        <v>Tocantinópolis</v>
      </c>
      <c r="C390" s="114" t="str">
        <f ca="1">IFERROR(__xludf.DUMMYFUNCTION("""COMPUTED_VALUE"""),"Angico")</f>
        <v>Angico</v>
      </c>
      <c r="D390" s="115" t="str">
        <f ca="1">IFERROR(__xludf.DUMMYFUNCTION("""COMPUTED_VALUE"""),"ASSOCIAÇÃO DE APOIO DO COL. EST. DULCE COELHO DE SOUSA")</f>
        <v>ASSOCIAÇÃO DE APOIO DO COL. EST. DULCE COELHO DE SOUSA</v>
      </c>
      <c r="E390" s="114" t="str">
        <f ca="1">IFERROR(__xludf.DUMMYFUNCTION("""COMPUTED_VALUE"""),"Colégio Estadual Dulce Coelho de Sousa")</f>
        <v>Colégio Estadual Dulce Coelho de Sousa</v>
      </c>
      <c r="F390" s="116" t="str">
        <f ca="1">IFERROR(__xludf.DUMMYFUNCTION("""COMPUTED_VALUE"""),"17093830")</f>
        <v>17093830</v>
      </c>
      <c r="G390" s="114" t="str">
        <f ca="1">IFERROR(__xludf.DUMMYFUNCTION("""COMPUTED_VALUE"""),"10800992000195")</f>
        <v>10800992000195</v>
      </c>
      <c r="H390" s="116" t="str">
        <f ca="1">IFERROR(__xludf.DUMMYFUNCTION("""COMPUTED_VALUE"""),"001")</f>
        <v>001</v>
      </c>
      <c r="I390" s="116" t="str">
        <f ca="1">IFERROR(__xludf.DUMMYFUNCTION("""COMPUTED_VALUE"""),"3973")</f>
        <v>3973</v>
      </c>
      <c r="J390" s="116" t="str">
        <f ca="1">IFERROR(__xludf.DUMMYFUNCTION("""COMPUTED_VALUE"""),"212792")</f>
        <v>212792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/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IFERROR(__xludf.DUMMYFUNCTION("""COMPUTED_VALUE"""),0)</f>
        <v>0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IFERROR(__xludf.DUMMYFUNCTION("""COMPUTED_VALUE"""),0)</f>
        <v>0</v>
      </c>
      <c r="AK390" s="114"/>
      <c r="AL390" s="117"/>
    </row>
    <row r="391" spans="1:38" ht="12.75">
      <c r="A391" s="113" t="str">
        <f ca="1">IFERROR(__xludf.DUMMYFUNCTION("""COMPUTED_VALUE"""),"17001595")</f>
        <v>17001595</v>
      </c>
      <c r="B391" s="114" t="str">
        <f ca="1">IFERROR(__xludf.DUMMYFUNCTION("""COMPUTED_VALUE"""),"Tocantinópolis")</f>
        <v>Tocantinópolis</v>
      </c>
      <c r="C391" s="114" t="str">
        <f ca="1">IFERROR(__xludf.DUMMYFUNCTION("""COMPUTED_VALUE"""),"Cachoeirinha")</f>
        <v>Cachoeirinha</v>
      </c>
      <c r="D391" s="115" t="str">
        <f ca="1">IFERROR(__xludf.DUMMYFUNCTION("""COMPUTED_VALUE"""),"A.A. E. EST. NOVA DA CACHOEIRINHA/RAIMUNDO NONATO TORRES")</f>
        <v>A.A. E. EST. NOVA DA CACHOEIRINHA/RAIMUNDO NONATO TORRES</v>
      </c>
      <c r="E391" s="114" t="str">
        <f ca="1">IFERROR(__xludf.DUMMYFUNCTION("""COMPUTED_VALUE"""),"Escola Estadual Raimundo Nonato Torres")</f>
        <v>Escola Estadual Raimundo Nonato Torres</v>
      </c>
      <c r="F391" s="116" t="str">
        <f ca="1">IFERROR(__xludf.DUMMYFUNCTION("""COMPUTED_VALUE"""),"17001595")</f>
        <v>17001595</v>
      </c>
      <c r="G391" s="114" t="str">
        <f ca="1">IFERROR(__xludf.DUMMYFUNCTION("""COMPUTED_VALUE"""),"01213535000103")</f>
        <v>01213535000103</v>
      </c>
      <c r="H391" s="116" t="str">
        <f ca="1">IFERROR(__xludf.DUMMYFUNCTION("""COMPUTED_VALUE"""),"001")</f>
        <v>001</v>
      </c>
      <c r="I391" s="116" t="str">
        <f ca="1">IFERROR(__xludf.DUMMYFUNCTION("""COMPUTED_VALUE"""),"0810")</f>
        <v>0810</v>
      </c>
      <c r="J391" s="116" t="str">
        <f ca="1">IFERROR(__xludf.DUMMYFUNCTION("""COMPUTED_VALUE"""),"0217689")</f>
        <v>0217689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IFERROR(__xludf.DUMMYFUNCTION("""COMPUTED_VALUE"""),"17001730")</f>
        <v>17001730</v>
      </c>
      <c r="B392" s="114" t="str">
        <f ca="1">IFERROR(__xludf.DUMMYFUNCTION("""COMPUTED_VALUE"""),"Tocantinópolis")</f>
        <v>Tocantinópolis</v>
      </c>
      <c r="C392" s="114" t="str">
        <f ca="1">IFERROR(__xludf.DUMMYFUNCTION("""COMPUTED_VALUE"""),"darcinopolis")</f>
        <v>darcinopolis</v>
      </c>
      <c r="D392" s="115" t="str">
        <f ca="1">IFERROR(__xludf.DUMMYFUNCTION("""COMPUTED_VALUE"""),"A. APOIO COL. EST. JOSE DE SOUZA PORTO")</f>
        <v>A. APOIO COL. EST. JOSE DE SOUZA PORTO</v>
      </c>
      <c r="E392" s="114" t="str">
        <f ca="1">IFERROR(__xludf.DUMMYFUNCTION("""COMPUTED_VALUE"""),"Colégio Estadual José de Souza Porto")</f>
        <v>Colégio Estadual José de Souza Porto</v>
      </c>
      <c r="F392" s="116" t="str">
        <f ca="1">IFERROR(__xludf.DUMMYFUNCTION("""COMPUTED_VALUE"""),"17001730")</f>
        <v>17001730</v>
      </c>
      <c r="G392" s="114" t="str">
        <f ca="1">IFERROR(__xludf.DUMMYFUNCTION("""COMPUTED_VALUE"""),"01213532000170")</f>
        <v>01213532000170</v>
      </c>
      <c r="H392" s="116" t="str">
        <f ca="1">IFERROR(__xludf.DUMMYFUNCTION("""COMPUTED_VALUE"""),"001")</f>
        <v>001</v>
      </c>
      <c r="I392" s="116" t="str">
        <f ca="1">IFERROR(__xludf.DUMMYFUNCTION("""COMPUTED_VALUE"""),"0810")</f>
        <v>0810</v>
      </c>
      <c r="J392" s="116" t="str">
        <f ca="1">IFERROR(__xludf.DUMMYFUNCTION("""COMPUTED_VALUE"""),"25739")</f>
        <v>25739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IFERROR(__xludf.DUMMYFUNCTION("""COMPUTED_VALUE"""),"Parcial")</f>
        <v>Parcial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IFERROR(__xludf.DUMMYFUNCTION("""COMPUTED_VALUE"""),"17001943")</f>
        <v>17001943</v>
      </c>
      <c r="B393" s="114" t="str">
        <f ca="1">IFERROR(__xludf.DUMMYFUNCTION("""COMPUTED_VALUE"""),"Tocantinópolis")</f>
        <v>Tocantinópolis</v>
      </c>
      <c r="C393" s="114" t="str">
        <f ca="1">IFERROR(__xludf.DUMMYFUNCTION("""COMPUTED_VALUE"""),"Itaguatins")</f>
        <v>Itaguatins</v>
      </c>
      <c r="D393" s="115" t="str">
        <f ca="1">IFERROR(__xludf.DUMMYFUNCTION("""COMPUTED_VALUE"""),"ASS. DE APOIO ESC. EST. OLAVO BILAC")</f>
        <v>ASS. DE APOIO ESC. EST. OLAVO BILAC</v>
      </c>
      <c r="E393" s="114" t="str">
        <f ca="1">IFERROR(__xludf.DUMMYFUNCTION("""COMPUTED_VALUE"""),"Colegio Estadual Olavo Bilac")</f>
        <v>Colegio Estadual Olavo Bilac</v>
      </c>
      <c r="F393" s="116" t="str">
        <f ca="1">IFERROR(__xludf.DUMMYFUNCTION("""COMPUTED_VALUE"""),"17001943")</f>
        <v>17001943</v>
      </c>
      <c r="G393" s="114" t="str">
        <f ca="1">IFERROR(__xludf.DUMMYFUNCTION("""COMPUTED_VALUE"""),"01358337000138")</f>
        <v>01358337000138</v>
      </c>
      <c r="H393" s="116" t="str">
        <f ca="1">IFERROR(__xludf.DUMMYFUNCTION("""COMPUTED_VALUE"""),"001")</f>
        <v>001</v>
      </c>
      <c r="I393" s="116" t="str">
        <f ca="1">IFERROR(__xludf.DUMMYFUNCTION("""COMPUTED_VALUE"""),"0810")</f>
        <v>0810</v>
      </c>
      <c r="J393" s="116" t="str">
        <f ca="1">IFERROR(__xludf.DUMMYFUNCTION("""COMPUTED_VALUE"""),"218391")</f>
        <v>218391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 t="str">
        <f ca="1">IFERROR(__xludf.DUMMYFUNCTION("""COMPUTED_VALUE"""),"E.M. INTEGRADO")</f>
        <v>E.M. INTEGRADO</v>
      </c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IFERROR(__xludf.DUMMYFUNCTION("""COMPUTED_VALUE"""),0)</f>
        <v>0</v>
      </c>
      <c r="AK393" s="114"/>
      <c r="AL393" s="117"/>
    </row>
    <row r="394" spans="1:38" ht="12.75">
      <c r="A394" s="113" t="str">
        <f ca="1">IFERROR(__xludf.DUMMYFUNCTION("""COMPUTED_VALUE"""),"17004284")</f>
        <v>17004284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IFERROR(__xludf.DUMMYFUNCTION("""COMPUTED_VALUE"""),"Luzinopolis")</f>
        <v>Luzinopolis</v>
      </c>
      <c r="D394" s="115" t="str">
        <f ca="1">IFERROR(__xludf.DUMMYFUNCTION("""COMPUTED_VALUE"""),"ASS. AP.A ESC. EST. JUSCELINO K.DE OLIVEIRA")</f>
        <v>ASS. AP.A ESC. EST. JUSCELINO K.DE OLIVEIRA</v>
      </c>
      <c r="E394" s="114" t="str">
        <f ca="1">IFERROR(__xludf.DUMMYFUNCTION("""COMPUTED_VALUE"""),"Colegio Estadual Juscelino Kubitschek de Oliveira")</f>
        <v>Colegio Estadual Juscelino Kubitschek de Oliveira</v>
      </c>
      <c r="F394" s="116" t="str">
        <f ca="1">IFERROR(__xludf.DUMMYFUNCTION("""COMPUTED_VALUE"""),"17004284")</f>
        <v>17004284</v>
      </c>
      <c r="G394" s="114" t="str">
        <f ca="1">IFERROR(__xludf.DUMMYFUNCTION("""COMPUTED_VALUE"""),"01230232000107")</f>
        <v>01230232000107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IFERROR(__xludf.DUMMYFUNCTION("""COMPUTED_VALUE"""),"022135X")</f>
        <v>022135X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/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IFERROR(__xludf.DUMMYFUNCTION("""COMPUTED_VALUE"""),0)</f>
        <v>0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IFERROR(__xludf.DUMMYFUNCTION("""COMPUTED_VALUE"""),0)</f>
        <v>0</v>
      </c>
      <c r="AK394" s="114"/>
      <c r="AL394" s="117"/>
    </row>
    <row r="395" spans="1:38" ht="12.75">
      <c r="A395" s="113" t="str">
        <f ca="1">IFERROR(__xludf.DUMMYFUNCTION("""COMPUTED_VALUE"""),"17002435")</f>
        <v>17002435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IFERROR(__xludf.DUMMYFUNCTION("""COMPUTED_VALUE"""),"Maurilandia do Tocantins")</f>
        <v>Maurilandia do Tocantins</v>
      </c>
      <c r="D395" s="115" t="str">
        <f ca="1">IFERROR(__xludf.DUMMYFUNCTION("""COMPUTED_VALUE"""),"A.A.  DA ESC. EST.PEDRO LUDOVICO TEIXEIRA")</f>
        <v>A.A.  DA ESC. EST.PEDRO LUDOVICO TEIXEIRA</v>
      </c>
      <c r="E395" s="114" t="str">
        <f ca="1">IFERROR(__xludf.DUMMYFUNCTION("""COMPUTED_VALUE"""),"Escola Estadual Pedro Ludovico Teixeira")</f>
        <v>Escola Estadual Pedro Ludovico Teixeira</v>
      </c>
      <c r="F395" s="116" t="str">
        <f ca="1">IFERROR(__xludf.DUMMYFUNCTION("""COMPUTED_VALUE"""),"17002435")</f>
        <v>17002435</v>
      </c>
      <c r="G395" s="114" t="str">
        <f ca="1">IFERROR(__xludf.DUMMYFUNCTION("""COMPUTED_VALUE"""),"01213528000101")</f>
        <v>01213528000101</v>
      </c>
      <c r="H395" s="116" t="str">
        <f ca="1">IFERROR(__xludf.DUMMYFUNCTION("""COMPUTED_VALUE"""),"001")</f>
        <v>001</v>
      </c>
      <c r="I395" s="116" t="str">
        <f ca="1">IFERROR(__xludf.DUMMYFUNCTION("""COMPUTED_VALUE"""),"0810")</f>
        <v>0810</v>
      </c>
      <c r="J395" s="116" t="str">
        <f ca="1">IFERROR(__xludf.DUMMYFUNCTION("""COMPUTED_VALUE"""),"0217670")</f>
        <v>0217670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IFERROR(__xludf.DUMMYFUNCTION("""COMPUTED_VALUE"""),"17002737")</f>
        <v>17002737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IFERROR(__xludf.DUMMYFUNCTION("""COMPUTED_VALUE"""),"Nazare")</f>
        <v>Nazare</v>
      </c>
      <c r="D396" s="115" t="str">
        <f ca="1">IFERROR(__xludf.DUMMYFUNCTION("""COMPUTED_VALUE"""),"A.DO COLEGIO EST.PRES.CASTELO BRANCO")</f>
        <v>A.DO COLEGIO EST.PRES.CASTELO BRANCO</v>
      </c>
      <c r="E396" s="114" t="str">
        <f ca="1">IFERROR(__xludf.DUMMYFUNCTION("""COMPUTED_VALUE"""),"Colégio Estadual Presidente Castelo Branco - Nazare")</f>
        <v>Colégio Estadual Presidente Castelo Branco - Nazare</v>
      </c>
      <c r="F396" s="116" t="str">
        <f ca="1">IFERROR(__xludf.DUMMYFUNCTION("""COMPUTED_VALUE"""),"17002737")</f>
        <v>17002737</v>
      </c>
      <c r="G396" s="114" t="str">
        <f ca="1">IFERROR(__xludf.DUMMYFUNCTION("""COMPUTED_VALUE"""),"01213522000134")</f>
        <v>01213522000134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IFERROR(__xludf.DUMMYFUNCTION("""COMPUTED_VALUE"""),"217859")</f>
        <v>217859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IFERROR(__xludf.DUMMYFUNCTION("""COMPUTED_VALUE"""),"17052491")</f>
        <v>17052491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IFERROR(__xludf.DUMMYFUNCTION("""COMPUTED_VALUE"""),"Nazare")</f>
        <v>Nazare</v>
      </c>
      <c r="D397" s="115" t="str">
        <f ca="1">IFERROR(__xludf.DUMMYFUNCTION("""COMPUTED_VALUE"""),"ASSOC. DE APOIO A ESC. EST.ESPECIAL BEM VIVER")</f>
        <v>ASSOC. DE APOIO A ESC. EST.ESPECIAL BEM VIVER</v>
      </c>
      <c r="E397" s="114" t="str">
        <f ca="1">IFERROR(__xludf.DUMMYFUNCTION("""COMPUTED_VALUE"""),"Escola Especial Bem Viver")</f>
        <v>Escola Especial Bem Viver</v>
      </c>
      <c r="F397" s="116" t="str">
        <f ca="1">IFERROR(__xludf.DUMMYFUNCTION("""COMPUTED_VALUE"""),"17052491")</f>
        <v>17052491</v>
      </c>
      <c r="G397" s="114" t="str">
        <f ca="1">IFERROR(__xludf.DUMMYFUNCTION("""COMPUTED_VALUE"""),"10520927000106")</f>
        <v>10520927000106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IFERROR(__xludf.DUMMYFUNCTION("""COMPUTED_VALUE"""),"200336")</f>
        <v>200336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IFERROR(__xludf.DUMMYFUNCTION("""COMPUTED_VALUE"""),"17002745")</f>
        <v>17002745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IFERROR(__xludf.DUMMYFUNCTION("""COMPUTED_VALUE"""),"Nazare")</f>
        <v>Nazare</v>
      </c>
      <c r="D398" s="115" t="str">
        <f ca="1">IFERROR(__xludf.DUMMYFUNCTION("""COMPUTED_VALUE"""),"A.A. ESC. EST. DOM CORNELIO CHIZZINI")</f>
        <v>A.A. ESC. EST. DOM CORNELIO CHIZZINI</v>
      </c>
      <c r="E398" s="114" t="str">
        <f ca="1">IFERROR(__xludf.DUMMYFUNCTION("""COMPUTED_VALUE"""),"Escola Estadual dom Cornélio Chizzini")</f>
        <v>Escola Estadual dom Cornélio Chizzini</v>
      </c>
      <c r="F398" s="116" t="str">
        <f ca="1">IFERROR(__xludf.DUMMYFUNCTION("""COMPUTED_VALUE"""),"17002745")</f>
        <v>17002745</v>
      </c>
      <c r="G398" s="114" t="str">
        <f ca="1">IFERROR(__xludf.DUMMYFUNCTION("""COMPUTED_VALUE"""),"01230233000143")</f>
        <v>01230233000143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IFERROR(__xludf.DUMMYFUNCTION("""COMPUTED_VALUE"""),"21776X")</f>
        <v>21776X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/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IFERROR(__xludf.DUMMYFUNCTION("""COMPUTED_VALUE"""),"17002770")</f>
        <v>17002770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IFERROR(__xludf.DUMMYFUNCTION("""COMPUTED_VALUE"""),"Nazare")</f>
        <v>Nazare</v>
      </c>
      <c r="D399" s="115" t="str">
        <f ca="1">IFERROR(__xludf.DUMMYFUNCTION("""COMPUTED_VALUE"""),"A.A.  DA ESCOLA ESTADUAL PIACAVA")</f>
        <v>A.A.  DA ESCOLA ESTADUAL PIACAVA</v>
      </c>
      <c r="E399" s="114" t="str">
        <f ca="1">IFERROR(__xludf.DUMMYFUNCTION("""COMPUTED_VALUE"""),"Escola Estadual Piaçava")</f>
        <v>Escola Estadual Piaçava</v>
      </c>
      <c r="F399" s="116" t="str">
        <f ca="1">IFERROR(__xludf.DUMMYFUNCTION("""COMPUTED_VALUE"""),"17002770")</f>
        <v>17002770</v>
      </c>
      <c r="G399" s="114" t="str">
        <f ca="1">IFERROR(__xludf.DUMMYFUNCTION("""COMPUTED_VALUE"""),"01230239000110")</f>
        <v>01230239000110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IFERROR(__xludf.DUMMYFUNCTION("""COMPUTED_VALUE"""),"217883")</f>
        <v>217883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 t="str">
        <f ca="1">IFERROR(__xludf.DUMMYFUNCTION("""COMPUTED_VALUE"""),"CRECHE")</f>
        <v>CRECHE</v>
      </c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IFERROR(__xludf.DUMMYFUNCTION("""COMPUTED_VALUE"""),"17002648")</f>
        <v>17002648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IFERROR(__xludf.DUMMYFUNCTION("""COMPUTED_VALUE"""),"Palmeiras do Tocantins")</f>
        <v>Palmeiras do Tocantins</v>
      </c>
      <c r="D400" s="115" t="str">
        <f ca="1">IFERROR(__xludf.DUMMYFUNCTION("""COMPUTED_VALUE"""),"A.A. ESC. EST. RAIMUNDO NEIVA DE CARVALHO")</f>
        <v>A.A. ESC. EST. RAIMUNDO NEIVA DE CARVALHO</v>
      </c>
      <c r="E400" s="114" t="str">
        <f ca="1">IFERROR(__xludf.DUMMYFUNCTION("""COMPUTED_VALUE"""),"Colégio Estadual Raimundo Neiva de Carvalho")</f>
        <v>Colégio Estadual Raimundo Neiva de Carvalho</v>
      </c>
      <c r="F400" s="116" t="str">
        <f ca="1">IFERROR(__xludf.DUMMYFUNCTION("""COMPUTED_VALUE"""),"17002648")</f>
        <v>17002648</v>
      </c>
      <c r="G400" s="114" t="str">
        <f ca="1">IFERROR(__xludf.DUMMYFUNCTION("""COMPUTED_VALUE"""),"01213533000114")</f>
        <v>01213533000114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IFERROR(__xludf.DUMMYFUNCTION("""COMPUTED_VALUE"""),"0027529")</f>
        <v>0027529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/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IFERROR(__xludf.DUMMYFUNCTION("""COMPUTED_VALUE"""),"17045584")</f>
        <v>17045584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IFERROR(__xludf.DUMMYFUNCTION("""COMPUTED_VALUE"""),"Palmeiras do Tocantins")</f>
        <v>Palmeiras do Tocantins</v>
      </c>
      <c r="D401" s="115" t="str">
        <f ca="1">IFERROR(__xludf.DUMMYFUNCTION("""COMPUTED_VALUE"""),"A. DE APOIO DA E. E. PE. CESARE LELLI")</f>
        <v>A. DE APOIO DA E. E. PE. CESARE LELLI</v>
      </c>
      <c r="E401" s="114" t="str">
        <f ca="1">IFERROR(__xludf.DUMMYFUNCTION("""COMPUTED_VALUE"""),"Escola Estadual Padre Césare Lelli")</f>
        <v>Escola Estadual Padre Césare Lelli</v>
      </c>
      <c r="F401" s="116" t="str">
        <f ca="1">IFERROR(__xludf.DUMMYFUNCTION("""COMPUTED_VALUE"""),"17045584")</f>
        <v>17045584</v>
      </c>
      <c r="G401" s="114" t="str">
        <f ca="1">IFERROR(__xludf.DUMMYFUNCTION("""COMPUTED_VALUE"""),"03778873000118")</f>
        <v>03778873000118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IFERROR(__xludf.DUMMYFUNCTION("""COMPUTED_VALUE"""),"82007")</f>
        <v>82007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IFERROR(__xludf.DUMMYFUNCTION("""COMPUTED_VALUE"""),"17002753")</f>
        <v>17002753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IFERROR(__xludf.DUMMYFUNCTION("""COMPUTED_VALUE"""),"Santa Terezinha do Tocantins")</f>
        <v>Santa Terezinha do Tocantins</v>
      </c>
      <c r="D402" s="115" t="str">
        <f ca="1">IFERROR(__xludf.DUMMYFUNCTION("""COMPUTED_VALUE"""),"ASS. A. ESC. EST. DR JOSE FELICIANO FERREIRA")</f>
        <v>ASS. A. ESC. EST. DR JOSE FELICIANO FERREIRA</v>
      </c>
      <c r="E402" s="114" t="str">
        <f ca="1">IFERROR(__xludf.DUMMYFUNCTION("""COMPUTED_VALUE"""),"Colégio Estadual Dr José Feliciano Ferreira")</f>
        <v>Colégio Estadual Dr José Feliciano Ferreira</v>
      </c>
      <c r="F402" s="116" t="str">
        <f ca="1">IFERROR(__xludf.DUMMYFUNCTION("""COMPUTED_VALUE"""),"17002753")</f>
        <v>17002753</v>
      </c>
      <c r="G402" s="114" t="str">
        <f ca="1">IFERROR(__xludf.DUMMYFUNCTION("""COMPUTED_VALUE"""),"01077441000154")</f>
        <v>01077441000154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IFERROR(__xludf.DUMMYFUNCTION("""COMPUTED_VALUE"""),"0026085")</f>
        <v>0026085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IFERROR(__xludf.DUMMYFUNCTION("""COMPUTED_VALUE"""),"17054346")</f>
        <v>17054346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IFERROR(__xludf.DUMMYFUNCTION("""COMPUTED_VALUE"""),"Tocantinopolis")</f>
        <v>Tocantinopolis</v>
      </c>
      <c r="D403" s="115" t="str">
        <f ca="1">IFERROR(__xludf.DUMMYFUNCTION("""COMPUTED_VALUE"""),"A.A ESC. EST.INDIGENAS NRE TOCANTINOPOLIS")</f>
        <v>A.A ESC. EST.INDIGENAS NRE TOCANTINOPOLIS</v>
      </c>
      <c r="E403" s="114" t="str">
        <f ca="1">IFERROR(__xludf.DUMMYFUNCTION("""COMPUTED_VALUE"""),"A.A Esc. Est.Indigenas Nre Tocantinopolis")</f>
        <v>A.A Esc. Est.Indigenas Nre Tocantinopolis</v>
      </c>
      <c r="F403" s="116" t="str">
        <f ca="1">IFERROR(__xludf.DUMMYFUNCTION("""COMPUTED_VALUE"""),"17054346")</f>
        <v>17054346</v>
      </c>
      <c r="G403" s="114" t="str">
        <f ca="1">IFERROR(__xludf.DUMMYFUNCTION("""COMPUTED_VALUE"""),"06171083000168")</f>
        <v>06171083000168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IFERROR(__xludf.DUMMYFUNCTION("""COMPUTED_VALUE"""),"140538")</f>
        <v>140538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IFERROR(__xludf.DUMMYFUNCTION("""COMPUTED_VALUE"""),"17004829")</f>
        <v>17004829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IFERROR(__xludf.DUMMYFUNCTION("""COMPUTED_VALUE"""),"Tocantinopolis")</f>
        <v>Tocantinopolis</v>
      </c>
      <c r="D404" s="115" t="str">
        <f ca="1">IFERROR(__xludf.DUMMYFUNCTION("""COMPUTED_VALUE"""),"A.A. AS ESC. EST.INDIGENAS MATYK E APORO")</f>
        <v>A.A. AS ESC. EST.INDIGENAS MATYK E APORO</v>
      </c>
      <c r="E404" s="114" t="str">
        <f ca="1">IFERROR(__xludf.DUMMYFUNCTION("""COMPUTED_VALUE"""),"A.A. As Esc.Est.Indigenas Matyk E Aporo")</f>
        <v>A.A. As Esc.Est.Indigenas Matyk E Aporo</v>
      </c>
      <c r="F404" s="116" t="str">
        <f ca="1">IFERROR(__xludf.DUMMYFUNCTION("""COMPUTED_VALUE"""),"17004829")</f>
        <v>17004829</v>
      </c>
      <c r="G404" s="114" t="str">
        <f ca="1">IFERROR(__xludf.DUMMYFUNCTION("""COMPUTED_VALUE"""),"03544096000147")</f>
        <v>03544096000147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IFERROR(__xludf.DUMMYFUNCTION("""COMPUTED_VALUE"""),"67423")</f>
        <v>67423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/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IFERROR(__xludf.DUMMYFUNCTION("""COMPUTED_VALUE"""),"17004217")</f>
        <v>17004217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IFERROR(__xludf.DUMMYFUNCTION("""COMPUTED_VALUE"""),"Tocantinopolis")</f>
        <v>Tocantinopolis</v>
      </c>
      <c r="D405" s="115" t="str">
        <f ca="1">IFERROR(__xludf.DUMMYFUNCTION("""COMPUTED_VALUE"""),"ASSOC.PAIS E MESTRES COL. EST. DEP.DARCY MARINHO")</f>
        <v>ASSOC.PAIS E MESTRES COL. EST. DEP.DARCY MARINHO</v>
      </c>
      <c r="E405" s="114" t="str">
        <f ca="1">IFERROR(__xludf.DUMMYFUNCTION("""COMPUTED_VALUE"""),"Centro de Ensino Medio Girassol de Tempo Integral darcy Marinho")</f>
        <v>Centro de Ensino Medio Girassol de Tempo Integral darcy Marinho</v>
      </c>
      <c r="F405" s="116" t="str">
        <f ca="1">IFERROR(__xludf.DUMMYFUNCTION("""COMPUTED_VALUE"""),"17004217")</f>
        <v>17004217</v>
      </c>
      <c r="G405" s="114" t="str">
        <f ca="1">IFERROR(__xludf.DUMMYFUNCTION("""COMPUTED_VALUE"""),"01230236000187")</f>
        <v>01230236000187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IFERROR(__xludf.DUMMYFUNCTION("""COMPUTED_VALUE"""),"297410")</f>
        <v>297410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IFERROR(__xludf.DUMMYFUNCTION("""COMPUTED_VALUE"""),"Integral")</f>
        <v>Integral</v>
      </c>
      <c r="AF405" s="114" t="str">
        <f ca="1">IFERROR(__xludf.DUMMYFUNCTION("""COMPUTED_VALUE"""),"FE")</f>
        <v>FE</v>
      </c>
      <c r="AG405" s="114">
        <f ca="1">IFERROR(__xludf.DUMMYFUNCTION("""COMPUTED_VALUE"""),12)</f>
        <v>12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IFERROR(__xludf.DUMMYFUNCTION("""COMPUTED_VALUE"""),"17004209")</f>
        <v>17004209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IFERROR(__xludf.DUMMYFUNCTION("""COMPUTED_VALUE"""),"Tocantinopolis")</f>
        <v>Tocantinopolis</v>
      </c>
      <c r="D406" s="115" t="str">
        <f ca="1">IFERROR(__xludf.DUMMYFUNCTION("""COMPUTED_VALUE"""),"ASSOC. APOIO AO COLÉGIODOM ORIONE")</f>
        <v>ASSOC. APOIO AO COLÉGIODOM ORIONE</v>
      </c>
      <c r="E406" s="114" t="str">
        <f ca="1">IFERROR(__xludf.DUMMYFUNCTION("""COMPUTED_VALUE"""),"Colégio dom Orione")</f>
        <v>Colégio dom Orione</v>
      </c>
      <c r="F406" s="116" t="str">
        <f ca="1">IFERROR(__xludf.DUMMYFUNCTION("""COMPUTED_VALUE"""),"17004209")</f>
        <v>17004209</v>
      </c>
      <c r="G406" s="114" t="str">
        <f ca="1">IFERROR(__xludf.DUMMYFUNCTION("""COMPUTED_VALUE"""),"13033002000129")</f>
        <v>13033002000129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IFERROR(__xludf.DUMMYFUNCTION("""COMPUTED_VALUE"""),"254193")</f>
        <v>254193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 t="str">
        <f ca="1">IFERROR(__xludf.DUMMYFUNCTION("""COMPUTED_VALUE"""),"INDIGENA /QUILOMBOLA PARCIAL")</f>
        <v>INDIGENA /QUILOMBOLA PARCIAL</v>
      </c>
      <c r="AE406" s="114" t="str">
        <f ca="1">IFERROR(__xludf.DUMMYFUNCTION("""COMPUTED_VALUE"""),"Parcial")</f>
        <v>Parcial</v>
      </c>
      <c r="AF406" s="114" t="str">
        <f ca="1">IFERROR(__xludf.DUMMYFUNCTION("""COMPUTED_VALUE"""),"FE")</f>
        <v>FE</v>
      </c>
      <c r="AG406" s="114">
        <f ca="1">IFERROR(__xludf.DUMMYFUNCTION("""COMPUTED_VALUE"""),0)</f>
        <v>0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IFERROR(__xludf.DUMMYFUNCTION("""COMPUTED_VALUE"""),"17047790")</f>
        <v>17047790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IFERROR(__xludf.DUMMYFUNCTION("""COMPUTED_VALUE"""),"Tocantinopolis")</f>
        <v>Tocantinopolis</v>
      </c>
      <c r="D407" s="115" t="str">
        <f ca="1">IFERROR(__xludf.DUMMYFUNCTION("""COMPUTED_VALUE"""),"A.A. DO COL.PADRAO/JOSÉ CARNEIRO DE BRITO")</f>
        <v>A.A. DO COL.PADRAO/JOSÉ CARNEIRO DE BRITO</v>
      </c>
      <c r="E407" s="114" t="str">
        <f ca="1">IFERROR(__xludf.DUMMYFUNCTION("""COMPUTED_VALUE"""),"Colégio Estadual Professor José Carneiro de Brito")</f>
        <v>Colégio Estadual Professor José Carneiro de Brito</v>
      </c>
      <c r="F407" s="116" t="str">
        <f ca="1">IFERROR(__xludf.DUMMYFUNCTION("""COMPUTED_VALUE"""),"17047790")</f>
        <v>17047790</v>
      </c>
      <c r="G407" s="114" t="str">
        <f ca="1">IFERROR(__xludf.DUMMYFUNCTION("""COMPUTED_VALUE"""),"03880040000163")</f>
        <v>03880040000163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IFERROR(__xludf.DUMMYFUNCTION("""COMPUTED_VALUE"""),"81884")</f>
        <v>81884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 t="str">
        <f ca="1">IFERROR(__xludf.DUMMYFUNCTION("""COMPUTED_VALUE"""),"INDIGENA /QUILOMBOLA PARCIAL")</f>
        <v>INDIGENA /QUILOMBOLA PARCIAL</v>
      </c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IFERROR(__xludf.DUMMYFUNCTION("""COMPUTED_VALUE"""),"17051290")</f>
        <v>17051290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IFERROR(__xludf.DUMMYFUNCTION("""COMPUTED_VALUE"""),"ASSOCIAÇÃO DE APOIO A ESCOLA ESPECIAL UM PASSO DIFERENTE -APAE")</f>
        <v>ASSOCIAÇÃO DE APOIO A ESCOLA ESPECIAL UM PASSO DIFERENTE -APAE</v>
      </c>
      <c r="E408" s="114" t="str">
        <f ca="1">IFERROR(__xludf.DUMMYFUNCTION("""COMPUTED_VALUE"""),"Escola Especial Um Passo Diferente")</f>
        <v>Escola Especial Um Passo Diferente</v>
      </c>
      <c r="F408" s="116" t="str">
        <f ca="1">IFERROR(__xludf.DUMMYFUNCTION("""COMPUTED_VALUE"""),"17051290")</f>
        <v>17051290</v>
      </c>
      <c r="G408" s="114" t="str">
        <f ca="1">IFERROR(__xludf.DUMMYFUNCTION("""COMPUTED_VALUE"""),"08012610000117")</f>
        <v>08012610000117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IFERROR(__xludf.DUMMYFUNCTION("""COMPUTED_VALUE"""),"204250")</f>
        <v>204250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 t="str">
        <f ca="1">IFERROR(__xludf.DUMMYFUNCTION("""COMPUTED_VALUE"""),"E.M. INTEGRADO")</f>
        <v>E.M. INTEGRADO</v>
      </c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IFERROR(__xludf.DUMMYFUNCTION("""COMPUTED_VALUE"""),"17004314")</f>
        <v>17004314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IFERROR(__xludf.DUMMYFUNCTION("""COMPUTED_VALUE"""),"A.A. ESC. E. E.PROF.ALDENORA A.CORREIA")</f>
        <v>A.A. ESC. E. E.PROF.ALDENORA A.CORREIA</v>
      </c>
      <c r="E409" s="114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09" s="116" t="str">
        <f ca="1">IFERROR(__xludf.DUMMYFUNCTION("""COMPUTED_VALUE"""),"17004314")</f>
        <v>17004314</v>
      </c>
      <c r="G409" s="114" t="str">
        <f ca="1">IFERROR(__xludf.DUMMYFUNCTION("""COMPUTED_VALUE"""),"01213527000167")</f>
        <v>01213527000167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IFERROR(__xludf.DUMMYFUNCTION("""COMPUTED_VALUE"""),"58319")</f>
        <v>58319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/>
      <c r="AE409" s="114" t="str">
        <f ca="1">IFERROR(__xludf.DUMMYFUNCTION("""COMPUTED_VALUE"""),"Integral")</f>
        <v>Integral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IFERROR(__xludf.DUMMYFUNCTION("""COMPUTED_VALUE"""),7)</f>
        <v>7</v>
      </c>
      <c r="AK409" s="114"/>
      <c r="AL409" s="117"/>
    </row>
    <row r="410" spans="1:38" ht="12.75">
      <c r="A410" s="113" t="str">
        <f ca="1">IFERROR(__xludf.DUMMYFUNCTION("""COMPUTED_VALUE"""),"17004322")</f>
        <v>17004322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IFERROR(__xludf.DUMMYFUNCTION("""COMPUTED_VALUE"""),"A. PAIS DA ESC. EST. XV DE NOVEMBRO")</f>
        <v>A. PAIS DA ESC. EST. XV DE NOVEMBRO</v>
      </c>
      <c r="E410" s="114" t="str">
        <f ca="1">IFERROR(__xludf.DUMMYFUNCTION("""COMPUTED_VALUE"""),"Escola Estadual Girassol de Tempo Integral XV de Novembro")</f>
        <v>Escola Estadual Girassol de Tempo Integral XV de Novembro</v>
      </c>
      <c r="F410" s="116" t="str">
        <f ca="1">IFERROR(__xludf.DUMMYFUNCTION("""COMPUTED_VALUE"""),"17004322")</f>
        <v>17004322</v>
      </c>
      <c r="G410" s="114" t="str">
        <f ca="1">IFERROR(__xludf.DUMMYFUNCTION("""COMPUTED_VALUE"""),"01213520000145")</f>
        <v>01213520000145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IFERROR(__xludf.DUMMYFUNCTION("""COMPUTED_VALUE"""),"58238")</f>
        <v>58238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IFERROR(__xludf.DUMMYFUNCTION("""COMPUTED_VALUE"""),"Parcial")</f>
        <v>Parcial</v>
      </c>
      <c r="AF410" s="114" t="str">
        <f ca="1">IFERROR(__xludf.DUMMYFUNCTION("""COMPUTED_VALUE"""),"FE")</f>
        <v>FE</v>
      </c>
      <c r="AG410" s="114">
        <f ca="1">IFERROR(__xludf.DUMMYFUNCTION("""COMPUTED_VALUE"""),0)</f>
        <v>0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IFERROR(__xludf.DUMMYFUNCTION("""COMPUTED_VALUE"""),12)</f>
        <v>12</v>
      </c>
      <c r="AK410" s="114"/>
      <c r="AL410" s="117"/>
    </row>
    <row r="411" spans="1:38" ht="12.75">
      <c r="A411" s="113" t="str">
        <f ca="1">IFERROR(__xludf.DUMMYFUNCTION("""COMPUTED_VALUE"""),"17004292")</f>
        <v>17004292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IFERROR(__xludf.DUMMYFUNCTION("""COMPUTED_VALUE"""),"A. ESCOLAR COM. PE. GIULIANO MORETTI")</f>
        <v>A. ESCOLAR COM. PE. GIULIANO MORETTI</v>
      </c>
      <c r="E411" s="114" t="str">
        <f ca="1">IFERROR(__xludf.DUMMYFUNCTION("""COMPUTED_VALUE"""),"Escola Estadual Padre Giuliano Moretti")</f>
        <v>Escola Estadual Padre Giuliano Moretti</v>
      </c>
      <c r="F411" s="116" t="str">
        <f ca="1">IFERROR(__xludf.DUMMYFUNCTION("""COMPUTED_VALUE"""),"17004292")</f>
        <v>17004292</v>
      </c>
      <c r="G411" s="114" t="str">
        <f ca="1">IFERROR(__xludf.DUMMYFUNCTION("""COMPUTED_VALUE"""),"00900202000190")</f>
        <v>00900202000190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IFERROR(__xludf.DUMMYFUNCTION("""COMPUTED_VALUE"""),"217484")</f>
        <v>217484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/>
      <c r="AE411" s="114" t="str">
        <f ca="1">IFERROR(__xludf.DUMMYFUNCTION("""COMPUTED_VALUE"""),"Integral")</f>
        <v>Integral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IFERROR(__xludf.DUMMYFUNCTION("""COMPUTED_VALUE"""),0)</f>
        <v>0</v>
      </c>
      <c r="AK411" s="114"/>
      <c r="AL411" s="117"/>
    </row>
    <row r="412" spans="1:38" ht="12.75">
      <c r="A412" s="113" t="str">
        <f ca="1">IFERROR(__xludf.DUMMYFUNCTION("""COMPUTED_VALUE"""),"17004799")</f>
        <v>17004799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 DA ESCOLA PAROQUIAL CRISTO REI")</f>
        <v>A. DA ESCOLA PAROQUIAL CRISTO REI</v>
      </c>
      <c r="E412" s="114" t="str">
        <f ca="1">IFERROR(__xludf.DUMMYFUNCTION("""COMPUTED_VALUE"""),"Escola Paroquial Cristo Rei")</f>
        <v>Escola Paroquial Cristo Rei</v>
      </c>
      <c r="F412" s="116" t="str">
        <f ca="1">IFERROR(__xludf.DUMMYFUNCTION("""COMPUTED_VALUE"""),"17004799")</f>
        <v>17004799</v>
      </c>
      <c r="G412" s="114" t="str">
        <f ca="1">IFERROR(__xludf.DUMMYFUNCTION("""COMPUTED_VALUE"""),"02026329000157")</f>
        <v>02026329000157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IFERROR(__xludf.DUMMYFUNCTION("""COMPUTED_VALUE"""),"58149")</f>
        <v>58149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 t="str">
        <f ca="1">IFERROR(__xludf.DUMMYFUNCTION("""COMPUTED_VALUE"""),"CRECHE")</f>
        <v>CRECHE</v>
      </c>
      <c r="AE412" s="114" t="str">
        <f ca="1">IFERROR(__xludf.DUMMYFUNCTION("""COMPUTED_VALUE"""),"Parcial")</f>
        <v>Parcial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/>
      <c r="B413" s="114"/>
      <c r="C413" s="114"/>
      <c r="D413" s="115"/>
      <c r="E413" s="117"/>
      <c r="F413" s="120"/>
      <c r="G413" s="121"/>
      <c r="H413" s="120"/>
      <c r="I413" s="119"/>
      <c r="J413" s="116"/>
      <c r="K413" s="114" t="str">
        <v/>
      </c>
      <c r="L413" s="114" t="str">
        <v/>
      </c>
      <c r="M413" s="114" t="str">
        <v/>
      </c>
      <c r="N413" s="117" t="str">
        <v/>
      </c>
      <c r="O413" s="122" t="str">
        <v/>
      </c>
      <c r="P413" s="121" t="str">
        <v/>
      </c>
      <c r="Q413" s="122" t="str">
        <v/>
      </c>
      <c r="R413" s="121" t="str">
        <v/>
      </c>
      <c r="S413" s="122" t="str">
        <v/>
      </c>
      <c r="T413" s="113" t="str">
        <v/>
      </c>
      <c r="U413" s="114" t="str">
        <v/>
      </c>
      <c r="V413" s="114" t="str">
        <v/>
      </c>
      <c r="W413" s="114" t="str">
        <v/>
      </c>
      <c r="X413" s="117" t="str">
        <v/>
      </c>
      <c r="Y413" s="122" t="str">
        <v/>
      </c>
      <c r="Z413" s="113" t="str">
        <v/>
      </c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7"/>
    </row>
    <row r="414" spans="1:38" ht="12.75">
      <c r="A414" s="121"/>
      <c r="B414" s="122"/>
      <c r="C414" s="121"/>
      <c r="D414" s="123"/>
      <c r="E414" s="122"/>
      <c r="F414" s="120"/>
      <c r="G414" s="122"/>
      <c r="H414" s="120"/>
      <c r="I414" s="120"/>
      <c r="J414" s="124"/>
      <c r="K414" s="122" t="str">
        <v/>
      </c>
      <c r="L414" s="121" t="str">
        <v/>
      </c>
      <c r="M414" s="122" t="str">
        <v/>
      </c>
      <c r="N414" s="121" t="str">
        <v/>
      </c>
      <c r="O414" s="122" t="str">
        <v/>
      </c>
      <c r="P414" s="121" t="str">
        <v/>
      </c>
      <c r="Q414" s="122" t="str">
        <v/>
      </c>
      <c r="R414" s="121" t="str">
        <v/>
      </c>
      <c r="S414" s="122" t="str">
        <v/>
      </c>
      <c r="T414" s="121" t="str">
        <v/>
      </c>
      <c r="U414" s="122" t="str">
        <v/>
      </c>
      <c r="V414" s="121" t="str">
        <v/>
      </c>
      <c r="W414" s="122" t="str">
        <v/>
      </c>
      <c r="X414" s="121" t="str">
        <v/>
      </c>
      <c r="Y414" s="122" t="str">
        <v/>
      </c>
      <c r="Z414" s="121" t="str">
        <v/>
      </c>
      <c r="AA414" s="117"/>
      <c r="AB414" s="122"/>
      <c r="AC414" s="121"/>
      <c r="AD414" s="122"/>
      <c r="AE414" s="121"/>
      <c r="AF414" s="122"/>
      <c r="AG414" s="121"/>
      <c r="AH414" s="122"/>
      <c r="AI414" s="125"/>
      <c r="AJ414" s="121"/>
      <c r="AK414" s="126"/>
      <c r="AL414" s="121"/>
    </row>
    <row r="415" spans="1:38" ht="12.75">
      <c r="A415" s="122"/>
      <c r="B415" s="121"/>
      <c r="C415" s="122"/>
      <c r="D415" s="127"/>
      <c r="E415" s="122"/>
      <c r="F415" s="124"/>
      <c r="G415" s="122"/>
      <c r="H415" s="124"/>
      <c r="I415" s="120"/>
      <c r="J415" s="124"/>
      <c r="K415" s="122" t="str">
        <v/>
      </c>
      <c r="L415" s="121" t="str">
        <v/>
      </c>
      <c r="M415" s="122" t="str">
        <v/>
      </c>
      <c r="N415" s="121" t="str">
        <v/>
      </c>
      <c r="O415" s="122" t="str">
        <v/>
      </c>
      <c r="P415" s="121" t="str">
        <v/>
      </c>
      <c r="Q415" s="122" t="str">
        <v/>
      </c>
      <c r="R415" s="121" t="str">
        <v/>
      </c>
      <c r="S415" s="122" t="str">
        <v/>
      </c>
      <c r="T415" s="121" t="str">
        <v/>
      </c>
      <c r="U415" s="122" t="str">
        <v/>
      </c>
      <c r="V415" s="121" t="str">
        <v/>
      </c>
      <c r="W415" s="122" t="str">
        <v/>
      </c>
      <c r="X415" s="121" t="str">
        <v/>
      </c>
      <c r="Y415" s="122" t="str">
        <v/>
      </c>
      <c r="Z415" s="128" t="str">
        <v/>
      </c>
      <c r="AA415" s="121"/>
      <c r="AB415" s="122"/>
      <c r="AC415" s="121"/>
      <c r="AD415" s="122"/>
      <c r="AE415" s="121"/>
      <c r="AF415" s="122"/>
      <c r="AG415" s="121"/>
      <c r="AH415" s="122"/>
      <c r="AI415" s="125"/>
      <c r="AJ415" s="121"/>
      <c r="AK415" s="126"/>
      <c r="AL415" s="121"/>
    </row>
    <row r="416" spans="1:38" ht="12.75">
      <c r="A416" s="122"/>
      <c r="B416" s="121"/>
      <c r="C416" s="122"/>
      <c r="D416" s="127"/>
      <c r="E416" s="122"/>
      <c r="F416" s="124"/>
      <c r="G416" s="122"/>
      <c r="H416" s="124"/>
      <c r="I416" s="120"/>
      <c r="J416" s="124"/>
      <c r="K416" s="122" t="str">
        <v/>
      </c>
      <c r="L416" s="121" t="str">
        <v/>
      </c>
      <c r="M416" s="122" t="str">
        <v/>
      </c>
      <c r="N416" s="121" t="str">
        <v/>
      </c>
      <c r="O416" s="122" t="str">
        <v/>
      </c>
      <c r="P416" s="121" t="str">
        <v/>
      </c>
      <c r="Q416" s="122" t="str">
        <v/>
      </c>
      <c r="R416" s="121" t="str">
        <v/>
      </c>
      <c r="S416" s="122" t="str">
        <v/>
      </c>
      <c r="T416" s="121" t="str">
        <v/>
      </c>
      <c r="U416" s="122" t="str">
        <v/>
      </c>
      <c r="V416" s="121" t="str">
        <v/>
      </c>
      <c r="W416" s="122" t="str">
        <v/>
      </c>
      <c r="X416" s="121" t="str">
        <v/>
      </c>
      <c r="Y416" s="122" t="str">
        <v/>
      </c>
      <c r="Z416" s="128" t="str">
        <v/>
      </c>
      <c r="AA416" s="121"/>
      <c r="AB416" s="122"/>
      <c r="AC416" s="121"/>
      <c r="AD416" s="122"/>
      <c r="AE416" s="121"/>
      <c r="AF416" s="122"/>
      <c r="AG416" s="121"/>
      <c r="AH416" s="122"/>
      <c r="AI416" s="125"/>
      <c r="AJ416" s="121"/>
      <c r="AK416" s="126"/>
      <c r="AL416" s="121"/>
    </row>
    <row r="417" spans="1:37" ht="12.75">
      <c r="A417" s="129"/>
      <c r="B417" s="129"/>
      <c r="C417" s="129"/>
      <c r="D417" s="130"/>
      <c r="E417" s="129"/>
      <c r="F417" s="131"/>
      <c r="G417" s="129"/>
      <c r="H417" s="131"/>
      <c r="I417" s="131"/>
      <c r="J417" s="131"/>
      <c r="K417" s="129" t="str">
        <v/>
      </c>
      <c r="L417" s="129" t="str">
        <v/>
      </c>
      <c r="M417" s="129" t="str">
        <v/>
      </c>
      <c r="N417" s="129" t="str">
        <v/>
      </c>
      <c r="O417" s="129" t="str">
        <v/>
      </c>
      <c r="P417" s="129" t="str">
        <v/>
      </c>
      <c r="Q417" s="129" t="str">
        <v/>
      </c>
      <c r="R417" s="129" t="str">
        <v/>
      </c>
      <c r="S417" s="129" t="str">
        <v/>
      </c>
      <c r="T417" s="129" t="str">
        <v/>
      </c>
      <c r="U417" s="129" t="str">
        <v/>
      </c>
      <c r="V417" s="129" t="str">
        <v/>
      </c>
      <c r="W417" s="129" t="str">
        <v/>
      </c>
      <c r="X417" s="129" t="str">
        <v/>
      </c>
      <c r="Y417" s="129" t="str">
        <v/>
      </c>
      <c r="Z417" s="129" t="str">
        <v/>
      </c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6" t="str">
        <f ca="1">IFERROR(__xludf.DUMMYFUNCTION("QUERY(REP_EST_PARC!A5:Z1000,""SELECT A,B,C,D,E,F,G,M WHERE M&gt;0 label M 'AEE'"")"),"Araguaina")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6" t="str">
        <f ca="1">IFERROR(__xludf.DUMMYFUNCTION("""COMPUTED_VALUE"""),"114510")</f>
        <v>114510</v>
      </c>
      <c r="H1" s="216" t="str">
        <f ca="1">IFERROR(__xludf.DUMMYFUNCTION("""COMPUTED_VALUE"""),"AEE")</f>
        <v>AEE</v>
      </c>
      <c r="I1" s="22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8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8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8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8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8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8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8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8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8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8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8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8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8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8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8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8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8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8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8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8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8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8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8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8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8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8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IFERROR(__xludf.DUMMYFUNCTION("""COMPUTED_VALUE"""),252)</f>
        <v>252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IFERROR(__xludf.DUMMYFUNCTION("""COMPUTED_VALUE"""),378)</f>
        <v>378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IFERROR(__xludf.DUMMYFUNCTION("""COMPUTED_VALUE"""),252)</f>
        <v>252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IFERROR(__xludf.DUMMYFUNCTION("""COMPUTED_VALUE"""),315)</f>
        <v>315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ESC. EST. MANOEL ESTEVAO DE SOUZA")</f>
        <v>A.A. ESC. EST. MANOEL ESTEVAO DE SOUZA</v>
      </c>
      <c r="D72" t="str">
        <f ca="1">IFERROR(__xludf.DUMMYFUNCTION("""COMPUTED_VALUE"""),"01213534000169")</f>
        <v>01213534000169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IFERROR(__xludf.DUMMYFUNCTION("""COMPUTED_VALUE"""),"181048")</f>
        <v>181048</v>
      </c>
      <c r="H72" s="8">
        <f ca="1">IFERROR(__xludf.DUMMYFUNCTION("""COMPUTED_VALUE"""),336)</f>
        <v>336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IFERROR(__xludf.DUMMYFUNCTION("""COMPUTED_VALUE"""),"Arraias")</f>
        <v>Arraias</v>
      </c>
      <c r="C73" t="str">
        <f ca="1">IFERROR(__xludf.DUMMYFUNCTION("""COMPUTED_VALUE"""),"A. E. COM.COL EST PROFA. JOANA B. CORDEIRO")</f>
        <v>A. E. COM.COL EST PROFA. JOANA B. CORDEIRO</v>
      </c>
      <c r="D73" t="str">
        <f ca="1">IFERROR(__xludf.DUMMYFUNCTION("""COMPUTED_VALUE"""),"00922190000102")</f>
        <v>00922190000102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IFERROR(__xludf.DUMMYFUNCTION("""COMPUTED_VALUE"""),"231770")</f>
        <v>231770</v>
      </c>
      <c r="H73" s="8">
        <f ca="1">IFERROR(__xludf.DUMMYFUNCTION("""COMPUTED_VALUE"""),126)</f>
        <v>126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IFERROR(__xludf.DUMMYFUNCTION("""COMPUTED_VALUE"""),"ASS. APOIO ESC. EST. JACY ALVES DE BARROS")</f>
        <v>ASS. APOIO ESC. EST. JACY ALVES DE BARROS</v>
      </c>
      <c r="D74" t="str">
        <f ca="1">IFERROR(__xludf.DUMMYFUNCTION("""COMPUTED_VALUE"""),"01284634000186")</f>
        <v>01284634000186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IFERROR(__xludf.DUMMYFUNCTION("""COMPUTED_VALUE"""),"232246")</f>
        <v>232246</v>
      </c>
      <c r="H74" s="8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ESCOLA ESTADUAL CANABRAVA/ZULMIRA MAGALHÃES")</f>
        <v>A.A. ESCOLA ESTADUAL CANABRAVA/ZULMIRA MAGALHÃES</v>
      </c>
      <c r="D75" t="str">
        <f ca="1">IFERROR(__xludf.DUMMYFUNCTION("""COMPUTED_VALUE"""),"01284633000131")</f>
        <v>01284633000131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IFERROR(__xludf.DUMMYFUNCTION("""COMPUTED_VALUE"""),"23219X")</f>
        <v>23219X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IFERROR(__xludf.DUMMYFUNCTION("""COMPUTED_VALUE"""),"A.A. ESCOLAR DA ESC. EST. SILVA DOURADO")</f>
        <v>A.A. ESCOLAR DA ESC. EST. SILVA DOURADO</v>
      </c>
      <c r="D76" t="str">
        <f ca="1">IFERROR(__xludf.DUMMYFUNCTION("""COMPUTED_VALUE"""),"01301519000172")</f>
        <v>01301519000172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IFERROR(__xludf.DUMMYFUNCTION("""COMPUTED_VALUE"""),"232297")</f>
        <v>232297</v>
      </c>
      <c r="H76" s="8">
        <f ca="1">IFERROR(__xludf.DUMMYFUNCTION("""COMPUTED_VALUE"""),231)</f>
        <v>231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IFERROR(__xludf.DUMMYFUNCTION("""COMPUTED_VALUE"""),"Aurora do Tocantins")</f>
        <v>Aurora do Tocantins</v>
      </c>
      <c r="C77" t="str">
        <f ca="1">IFERROR(__xludf.DUMMYFUNCTION("""COMPUTED_VALUE"""),"A.A. A ESCOLA/COL. EST.PROF. RANULFA")</f>
        <v>A.A. A ESCOLA/COL. EST.PROF. RANULFA</v>
      </c>
      <c r="D77" t="str">
        <f ca="1">IFERROR(__xludf.DUMMYFUNCTION("""COMPUTED_VALUE"""),"01133691000164")</f>
        <v>01133691000164</v>
      </c>
      <c r="E77" t="str">
        <f ca="1">IFERROR(__xludf.DUMMYFUNCTION("""COMPUTED_VALUE"""),"001")</f>
        <v>001</v>
      </c>
      <c r="F77" t="str">
        <f ca="1">IFERROR(__xludf.DUMMYFUNCTION("""COMPUTED_VALUE"""),"3977")</f>
        <v>3977</v>
      </c>
      <c r="G77" t="str">
        <f ca="1">IFERROR(__xludf.DUMMYFUNCTION("""COMPUTED_VALUE"""),"102725")</f>
        <v>102725</v>
      </c>
      <c r="H77" s="8">
        <f ca="1">IFERROR(__xludf.DUMMYFUNCTION("""COMPUTED_VALUE"""),168)</f>
        <v>168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IFERROR(__xludf.DUMMYFUNCTION("""COMPUTED_VALUE"""),"Combinado")</f>
        <v>Combinado</v>
      </c>
      <c r="C78" t="str">
        <f ca="1">IFERROR(__xludf.DUMMYFUNCTION("""COMPUTED_VALUE"""),"A.A. ESC. EST. AUGUSTA VAZ DOS S.TEIXEIRA")</f>
        <v>A.A. ESC. EST. AUGUSTA VAZ DOS S.TEIXEIRA</v>
      </c>
      <c r="D78" t="str">
        <f ca="1">IFERROR(__xludf.DUMMYFUNCTION("""COMPUTED_VALUE"""),"01186458000140")</f>
        <v>01186458000140</v>
      </c>
      <c r="E78" t="str">
        <f ca="1">IFERROR(__xludf.DUMMYFUNCTION("""COMPUTED_VALUE"""),"001")</f>
        <v>001</v>
      </c>
      <c r="F78" t="str">
        <f ca="1">IFERROR(__xludf.DUMMYFUNCTION("""COMPUTED_VALUE"""),"3977")</f>
        <v>3977</v>
      </c>
      <c r="G78" t="str">
        <f ca="1">IFERROR(__xludf.DUMMYFUNCTION("""COMPUTED_VALUE"""),"56855")</f>
        <v>56855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IFERROR(__xludf.DUMMYFUNCTION("""COMPUTED_VALUE"""),"Lavandeira")</f>
        <v>Lavandeira</v>
      </c>
      <c r="C79" t="str">
        <f ca="1">IFERROR(__xludf.DUMMYFUNCTION("""COMPUTED_VALUE"""),"ASSOC. DE APOIO ESC. EST. LAVANDEIRA")</f>
        <v>ASSOC. DE APOIO ESC. EST. LAVANDEIRA</v>
      </c>
      <c r="D79" t="str">
        <f ca="1">IFERROR(__xludf.DUMMYFUNCTION("""COMPUTED_VALUE"""),"01136024000135")</f>
        <v>01136024000135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IFERROR(__xludf.DUMMYFUNCTION("""COMPUTED_VALUE"""),"231916")</f>
        <v>231916</v>
      </c>
      <c r="H79" s="8">
        <f ca="1">IFERROR(__xludf.DUMMYFUNCTION("""COMPUTED_VALUE"""),420)</f>
        <v>420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IFERROR(__xludf.DUMMYFUNCTION("""COMPUTED_VALUE"""),"Novo Alegre")</f>
        <v>Novo Alegre</v>
      </c>
      <c r="C80" t="str">
        <f ca="1">IFERROR(__xludf.DUMMYFUNCTION("""COMPUTED_VALUE"""),"ASSOC. DE APOIO COL. EST. DR.JOAO D`ABREU")</f>
        <v>ASSOC. DE APOIO COL. EST. DR.JOAO D`ABREU</v>
      </c>
      <c r="D80" t="str">
        <f ca="1">IFERROR(__xludf.DUMMYFUNCTION("""COMPUTED_VALUE"""),"01146115000151")</f>
        <v>01146115000151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IFERROR(__xludf.DUMMYFUNCTION("""COMPUTED_VALUE"""),"178845")</f>
        <v>178845</v>
      </c>
      <c r="H80" s="8">
        <f ca="1">IFERROR(__xludf.DUMMYFUNCTION("""COMPUTED_VALUE"""),399)</f>
        <v>399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IFERROR(__xludf.DUMMYFUNCTION("""COMPUTED_VALUE"""),"Parana")</f>
        <v>Parana</v>
      </c>
      <c r="C81" t="str">
        <f ca="1">IFERROR(__xludf.DUMMYFUNCTION("""COMPUTED_VALUE"""),"A.A. DA ESC. EST.EUCLIDES BEZERRA GERAIS")</f>
        <v>A.A. DA ESC. EST.EUCLIDES BEZERRA GERAIS</v>
      </c>
      <c r="D81" t="str">
        <f ca="1">IFERROR(__xludf.DUMMYFUNCTION("""COMPUTED_VALUE"""),"01401950000190")</f>
        <v>01401950000190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IFERROR(__xludf.DUMMYFUNCTION("""COMPUTED_VALUE"""),"232483")</f>
        <v>232483</v>
      </c>
      <c r="H81" s="8">
        <f ca="1">IFERROR(__xludf.DUMMYFUNCTION("""COMPUTED_VALUE"""),399)</f>
        <v>399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IFERROR(__xludf.DUMMYFUNCTION("""COMPUTED_VALUE"""),"Parana")</f>
        <v>Parana</v>
      </c>
      <c r="C82" t="str">
        <f ca="1">IFERROR(__xludf.DUMMYFUNCTION("""COMPUTED_VALUE"""),"ASSOC. DE APOIO A ESC. EST. REUNIDA FLORESTA")</f>
        <v>ASSOC. DE APOIO A ESC. EST. REUNIDA FLORESTA</v>
      </c>
      <c r="D82" t="str">
        <f ca="1">IFERROR(__xludf.DUMMYFUNCTION("""COMPUTED_VALUE"""),"03834797000110")</f>
        <v>03834797000110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IFERROR(__xludf.DUMMYFUNCTION("""COMPUTED_VALUE"""),"113247")</f>
        <v>113247</v>
      </c>
      <c r="H82" s="8">
        <f ca="1">IFERROR(__xludf.DUMMYFUNCTION("""COMPUTED_VALUE"""),105)</f>
        <v>105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IFERROR(__xludf.DUMMYFUNCTION("""COMPUTED_VALUE"""),"Arapoema")</f>
        <v>Arapoema</v>
      </c>
      <c r="C83" t="str">
        <f ca="1">IFERROR(__xludf.DUMMYFUNCTION("""COMPUTED_VALUE"""),"A.A. E. EST. ANTONIO DELFINO GUIMARAES")</f>
        <v>A.A. E. EST. ANTONIO DELFINO GUIMARAES</v>
      </c>
      <c r="D83" t="str">
        <f ca="1">IFERROR(__xludf.DUMMYFUNCTION("""COMPUTED_VALUE"""),"01135998000102")</f>
        <v>01135998000102</v>
      </c>
      <c r="E83" t="str">
        <f ca="1">IFERROR(__xludf.DUMMYFUNCTION("""COMPUTED_VALUE"""),"001")</f>
        <v>001</v>
      </c>
      <c r="F83" t="str">
        <f ca="1">IFERROR(__xludf.DUMMYFUNCTION("""COMPUTED_VALUE"""),"3974")</f>
        <v>3974</v>
      </c>
      <c r="G83" t="str">
        <f ca="1">IFERROR(__xludf.DUMMYFUNCTION("""COMPUTED_VALUE"""),"2287X")</f>
        <v>2287X</v>
      </c>
      <c r="H83" s="8">
        <f ca="1">IFERROR(__xludf.DUMMYFUNCTION("""COMPUTED_VALUE"""),525)</f>
        <v>525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IFERROR(__xludf.DUMMYFUNCTION("""COMPUTED_VALUE"""),"Bandeirantes do Tocantins")</f>
        <v>Bandeirantes do Tocantins</v>
      </c>
      <c r="C84" t="str">
        <f ca="1">IFERROR(__xludf.DUMMYFUNCTION("""COMPUTED_VALUE"""),"A.A. E. E. ARCELINO F. DO NASCIMENTO")</f>
        <v>A.A. E. E. ARCELINO F. DO NASCIMENTO</v>
      </c>
      <c r="D84" t="str">
        <f ca="1">IFERROR(__xludf.DUMMYFUNCTION("""COMPUTED_VALUE"""),"01181179000193")</f>
        <v>01181179000193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IFERROR(__xludf.DUMMYFUNCTION("""COMPUTED_VALUE"""),"46578X")</f>
        <v>46578X</v>
      </c>
      <c r="H84" s="8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IFERROR(__xludf.DUMMYFUNCTION("""COMPUTED_VALUE"""),"Bernardo Sayao")</f>
        <v>Bernardo Sayao</v>
      </c>
      <c r="C85" t="str">
        <f ca="1">IFERROR(__xludf.DUMMYFUNCTION("""COMPUTED_VALUE"""),"A.A. COL. EST. BERNARDO SAYAO")</f>
        <v>A.A. COL. EST. BERNARDO SAYAO</v>
      </c>
      <c r="D85" t="str">
        <f ca="1">IFERROR(__xludf.DUMMYFUNCTION("""COMPUTED_VALUE"""),"01190188000140")</f>
        <v>01190188000140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IFERROR(__xludf.DUMMYFUNCTION("""COMPUTED_VALUE"""),"369403")</f>
        <v>369403</v>
      </c>
      <c r="H85" s="8">
        <f ca="1">IFERROR(__xludf.DUMMYFUNCTION("""COMPUTED_VALUE"""),147)</f>
        <v>147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IFERROR(__xludf.DUMMYFUNCTION("""COMPUTED_VALUE"""),"Colinas do Tocantins")</f>
        <v>Colinas do Tocantins</v>
      </c>
      <c r="C86" t="str">
        <f ca="1">IFERROR(__xludf.DUMMYFUNCTION("""COMPUTED_VALUE"""),"ASSOC. DE APOIO DO COL. EST. CASTELO BRANCO")</f>
        <v>ASSOC. DE APOIO DO COL. EST. CASTELO BRANCO</v>
      </c>
      <c r="D86" t="str">
        <f ca="1">IFERROR(__xludf.DUMMYFUNCTION("""COMPUTED_VALUE"""),"01071413000120")</f>
        <v>01071413000120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IFERROR(__xludf.DUMMYFUNCTION("""COMPUTED_VALUE"""),"187275")</f>
        <v>187275</v>
      </c>
      <c r="H86" s="8">
        <f ca="1">IFERROR(__xludf.DUMMYFUNCTION("""COMPUTED_VALUE"""),273)</f>
        <v>273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IFERROR(__xludf.DUMMYFUNCTION("""COMPUTED_VALUE"""),"Colinas do Tocantins")</f>
        <v>Colinas do Tocantins</v>
      </c>
      <c r="C87" t="str">
        <f ca="1">IFERROR(__xludf.DUMMYFUNCTION("""COMPUTED_VALUE"""),"A.A. ESCOLA ESTADUAL ERNESTO BARROS")</f>
        <v>A.A. ESCOLA ESTADUAL ERNESTO BARROS</v>
      </c>
      <c r="D87" t="str">
        <f ca="1">IFERROR(__xludf.DUMMYFUNCTION("""COMPUTED_VALUE"""),"01064857000138")</f>
        <v>01064857000138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IFERROR(__xludf.DUMMYFUNCTION("""COMPUTED_VALUE"""),"0368571")</f>
        <v>0368571</v>
      </c>
      <c r="H87" s="8">
        <f ca="1">IFERROR(__xludf.DUMMYFUNCTION("""COMPUTED_VALUE"""),273)</f>
        <v>273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IFERROR(__xludf.DUMMYFUNCTION("""COMPUTED_VALUE"""),"A.A.  COLEGIO JOAO XXIII")</f>
        <v>A.A.  COLEGIO JOAO XXIII</v>
      </c>
      <c r="D88" t="str">
        <f ca="1">IFERROR(__xludf.DUMMYFUNCTION("""COMPUTED_VALUE"""),"01064859000127")</f>
        <v>01064859000127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IFERROR(__xludf.DUMMYFUNCTION("""COMPUTED_VALUE"""),"368555")</f>
        <v>368555</v>
      </c>
      <c r="H88" s="8">
        <f ca="1">IFERROR(__xludf.DUMMYFUNCTION("""COMPUTED_VALUE"""),378)</f>
        <v>378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IFERROR(__xludf.DUMMYFUNCTION("""COMPUTED_VALUE"""),"AAE ESPECIAL GOTA DE ESPERANÇA")</f>
        <v>AAE ESPECIAL GOTA DE ESPERANÇA</v>
      </c>
      <c r="D89" t="str">
        <f ca="1">IFERROR(__xludf.DUMMYFUNCTION("""COMPUTED_VALUE"""),"07944635000196")</f>
        <v>07944635000196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IFERROR(__xludf.DUMMYFUNCTION("""COMPUTED_VALUE"""),"184861")</f>
        <v>184861</v>
      </c>
      <c r="H89" s="8">
        <f ca="1">IFERROR(__xludf.DUMMYFUNCTION("""COMPUTED_VALUE"""),2541)</f>
        <v>2541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E. E. FRANCISCO PEREIRA FELICIO")</f>
        <v>A.A. E. E. FRANCISCO PEREIRA FELICIO</v>
      </c>
      <c r="D90" t="str">
        <f ca="1">IFERROR(__xludf.DUMMYFUNCTION("""COMPUTED_VALUE"""),"01086969000190")</f>
        <v>01086969000190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IFERROR(__xludf.DUMMYFUNCTION("""COMPUTED_VALUE"""),"368814")</f>
        <v>368814</v>
      </c>
      <c r="H90" s="8">
        <f ca="1">IFERROR(__xludf.DUMMYFUNCTION("""COMPUTED_VALUE"""),588)</f>
        <v>588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E. E. LACERDINO OLIVEIRA CAMPOS")</f>
        <v>A.A. E. E. LACERDINO OLIVEIRA CAMPOS</v>
      </c>
      <c r="D91" t="str">
        <f ca="1">IFERROR(__xludf.DUMMYFUNCTION("""COMPUTED_VALUE"""),"01077439000185")</f>
        <v>01077439000185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IFERROR(__xludf.DUMMYFUNCTION("""COMPUTED_VALUE"""),"368741")</f>
        <v>368741</v>
      </c>
      <c r="H91" s="8">
        <f ca="1">IFERROR(__xludf.DUMMYFUNCTION("""COMPUTED_VALUE"""),441)</f>
        <v>441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IFERROR(__xludf.DUMMYFUNCTION("""COMPUTED_VALUE"""),"ASSOC. APOIO AO INSTITUTO EDUC. GUNNAR VINGREN")</f>
        <v>ASSOC. APOIO AO INSTITUTO EDUC. GUNNAR VINGREN</v>
      </c>
      <c r="D92" t="str">
        <f ca="1">IFERROR(__xludf.DUMMYFUNCTION("""COMPUTED_VALUE"""),"05537107000197")</f>
        <v>05537107000197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IFERROR(__xludf.DUMMYFUNCTION("""COMPUTED_VALUE"""),"172286")</f>
        <v>172286</v>
      </c>
      <c r="H92" s="8">
        <f ca="1">IFERROR(__xludf.DUMMYFUNCTION("""COMPUTED_VALUE"""),231)</f>
        <v>231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IFERROR(__xludf.DUMMYFUNCTION("""COMPUTED_VALUE"""),"Juarina")</f>
        <v>Juarina</v>
      </c>
      <c r="C93" t="str">
        <f ca="1">IFERROR(__xludf.DUMMYFUNCTION("""COMPUTED_VALUE"""),"A.A. ESCOLA ESTADUAL ZICO DORNELAS")</f>
        <v>A.A. ESCOLA ESTADUAL ZICO DORNELAS</v>
      </c>
      <c r="D93" t="str">
        <f ca="1">IFERROR(__xludf.DUMMYFUNCTION("""COMPUTED_VALUE"""),"01136018000188")</f>
        <v>01136018000188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IFERROR(__xludf.DUMMYFUNCTION("""COMPUTED_VALUE"""),"369349")</f>
        <v>369349</v>
      </c>
      <c r="H93" s="8">
        <f ca="1">IFERROR(__xludf.DUMMYFUNCTION("""COMPUTED_VALUE"""),168)</f>
        <v>168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IFERROR(__xludf.DUMMYFUNCTION("""COMPUTED_VALUE"""),"Palmeirante")</f>
        <v>Palmeirante</v>
      </c>
      <c r="C94" t="str">
        <f ca="1">IFERROR(__xludf.DUMMYFUNCTION("""COMPUTED_VALUE"""),"ASS. COM. ESC. EST JOAO AIRES GABRIEL")</f>
        <v>ASS. COM. ESC. EST JOAO AIRES GABRIEL</v>
      </c>
      <c r="D94" t="str">
        <f ca="1">IFERROR(__xludf.DUMMYFUNCTION("""COMPUTED_VALUE"""),"01465793000187")</f>
        <v>01465793000187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IFERROR(__xludf.DUMMYFUNCTION("""COMPUTED_VALUE"""),"342246")</f>
        <v>342246</v>
      </c>
      <c r="H94" s="8">
        <f ca="1">IFERROR(__xludf.DUMMYFUNCTION("""COMPUTED_VALUE"""),315)</f>
        <v>315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IFERROR(__xludf.DUMMYFUNCTION("""COMPUTED_VALUE"""),"Pau D'arco")</f>
        <v>Pau D'arco</v>
      </c>
      <c r="C95" t="str">
        <f ca="1">IFERROR(__xludf.DUMMYFUNCTION("""COMPUTED_VALUE"""),"A.COM. ESCOLA EST. ULISSES GUIMARAES")</f>
        <v>A.COM. ESCOLA EST. ULISSES GUIMARAES</v>
      </c>
      <c r="D95" t="str">
        <f ca="1">IFERROR(__xludf.DUMMYFUNCTION("""COMPUTED_VALUE"""),"01181178000149")</f>
        <v>01181178000149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IFERROR(__xludf.DUMMYFUNCTION("""COMPUTED_VALUE"""),"23485")</f>
        <v>23485</v>
      </c>
      <c r="H95" s="8">
        <f ca="1">IFERROR(__xludf.DUMMYFUNCTION("""COMPUTED_VALUE"""),546)</f>
        <v>546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IFERROR(__xludf.DUMMYFUNCTION("""COMPUTED_VALUE"""),"Almas")</f>
        <v>Almas</v>
      </c>
      <c r="C96" t="str">
        <f ca="1">IFERROR(__xludf.DUMMYFUNCTION("""COMPUTED_VALUE"""),"A.A. COL. E.II GRAU DR.ABNER A.PACINI")</f>
        <v>A.A. COL. E.II GRAU DR.ABNER A.PACINI</v>
      </c>
      <c r="D96" t="str">
        <f ca="1">IFERROR(__xludf.DUMMYFUNCTION("""COMPUTED_VALUE"""),"01197160000135")</f>
        <v>01197160000135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IFERROR(__xludf.DUMMYFUNCTION("""COMPUTED_VALUE"""),"0107700")</f>
        <v>0107700</v>
      </c>
      <c r="H96" s="8">
        <f ca="1">IFERROR(__xludf.DUMMYFUNCTION("""COMPUTED_VALUE"""),420)</f>
        <v>420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IFERROR(__xludf.DUMMYFUNCTION("""COMPUTED_VALUE"""),"Conceicao do Tocantins")</f>
        <v>Conceicao do Tocantins</v>
      </c>
      <c r="C97" t="str">
        <f ca="1">IFERROR(__xludf.DUMMYFUNCTION("""COMPUTED_VALUE"""),"A.A. E. CEL JOSE FRANCISCO DE AZEVEDO")</f>
        <v>A.A. E. CEL JOSE FRANCISCO DE AZEVEDO</v>
      </c>
      <c r="D97" t="str">
        <f ca="1">IFERROR(__xludf.DUMMYFUNCTION("""COMPUTED_VALUE"""),"01136040000128")</f>
        <v>01136040000128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IFERROR(__xludf.DUMMYFUNCTION("""COMPUTED_VALUE"""),"106208")</f>
        <v>106208</v>
      </c>
      <c r="H97" s="8">
        <f ca="1">IFERROR(__xludf.DUMMYFUNCTION("""COMPUTED_VALUE"""),357)</f>
        <v>357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IFERROR(__xludf.DUMMYFUNCTION("""COMPUTED_VALUE"""),"Dianopolis")</f>
        <v>Dianopolis</v>
      </c>
      <c r="C98" t="str">
        <f ca="1">IFERROR(__xludf.DUMMYFUNCTION("""COMPUTED_VALUE"""),"A. DE APOIO AO COLEGIO JOAO DE ABREU")</f>
        <v>A. DE APOIO AO COLEGIO JOAO DE ABREU</v>
      </c>
      <c r="D98" t="str">
        <f ca="1">IFERROR(__xludf.DUMMYFUNCTION("""COMPUTED_VALUE"""),"05059617000104")</f>
        <v>05059617000104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IFERROR(__xludf.DUMMYFUNCTION("""COMPUTED_VALUE"""),"127027")</f>
        <v>127027</v>
      </c>
      <c r="H98" s="8">
        <f ca="1">IFERROR(__xludf.DUMMYFUNCTION("""COMPUTED_VALUE"""),315)</f>
        <v>315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IFERROR(__xludf.DUMMYFUNCTION("""COMPUTED_VALUE"""),"Dianopolis")</f>
        <v>Dianopolis</v>
      </c>
      <c r="C99" t="str">
        <f ca="1">IFERROR(__xludf.DUMMYFUNCTION("""COMPUTED_VALUE"""),"ASSOC. DE APOIO A ESCOLA COOPERATIVA CHAPADÃO/DIANÓPOLIS")</f>
        <v>ASSOC. DE APOIO A ESCOLA COOPERATIVA CHAPADÃO/DIANÓPOLIS</v>
      </c>
      <c r="D99" t="str">
        <f ca="1">IFERROR(__xludf.DUMMYFUNCTION("""COMPUTED_VALUE"""),"07056712000171")</f>
        <v>07056712000171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IFERROR(__xludf.DUMMYFUNCTION("""COMPUTED_VALUE"""),"15704X")</f>
        <v>15704X</v>
      </c>
      <c r="H99" s="8">
        <f ca="1">IFERROR(__xludf.DUMMYFUNCTION("""COMPUTED_VALUE"""),315)</f>
        <v>315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IFERROR(__xludf.DUMMYFUNCTION("""COMPUTED_VALUE"""),"Dianopolis")</f>
        <v>Dianopolis</v>
      </c>
      <c r="C100" t="str">
        <f ca="1">IFERROR(__xludf.DUMMYFUNCTION("""COMPUTED_VALUE"""),"ESCOLA ESPECIAL COLIBRI")</f>
        <v>ESCOLA ESPECIAL COLIBRI</v>
      </c>
      <c r="D100" t="str">
        <f ca="1">IFERROR(__xludf.DUMMYFUNCTION("""COMPUTED_VALUE"""),"15413383000105")</f>
        <v>15413383000105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IFERROR(__xludf.DUMMYFUNCTION("""COMPUTED_VALUE"""),"312967")</f>
        <v>312967</v>
      </c>
      <c r="H100" s="8">
        <f ca="1">IFERROR(__xludf.DUMMYFUNCTION("""COMPUTED_VALUE"""),1491)</f>
        <v>1491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IFERROR(__xludf.DUMMYFUNCTION("""COMPUTED_VALUE"""),"A.A. ESCOLA ESTADUAL JOCA COSTA")</f>
        <v>A.A. ESCOLA ESTADUAL JOCA COSTA</v>
      </c>
      <c r="D101" t="str">
        <f ca="1">IFERROR(__xludf.DUMMYFUNCTION("""COMPUTED_VALUE"""),"01138323000109")</f>
        <v>01138323000109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IFERROR(__xludf.DUMMYFUNCTION("""COMPUTED_VALUE"""),"107492")</f>
        <v>107492</v>
      </c>
      <c r="H101" s="8">
        <f ca="1">IFERROR(__xludf.DUMMYFUNCTION("""COMPUTED_VALUE"""),441)</f>
        <v>441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IFERROR(__xludf.DUMMYFUNCTION("""COMPUTED_VALUE"""),"Porto Alegre do Tocantins")</f>
        <v>Porto Alegre do Tocantins</v>
      </c>
      <c r="C102" t="str">
        <f ca="1">IFERROR(__xludf.DUMMYFUNCTION("""COMPUTED_VALUE"""),"ASSOC. APOIO ESC. EST. ALFREDO NASSER")</f>
        <v>ASSOC. APOIO ESC. EST. ALFREDO NASSER</v>
      </c>
      <c r="D102" t="str">
        <f ca="1">IFERROR(__xludf.DUMMYFUNCTION("""COMPUTED_VALUE"""),"01105525000154")</f>
        <v>01105525000154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IFERROR(__xludf.DUMMYFUNCTION("""COMPUTED_VALUE"""),"0106321")</f>
        <v>0106321</v>
      </c>
      <c r="H102" s="8">
        <f ca="1">IFERROR(__xludf.DUMMYFUNCTION("""COMPUTED_VALUE"""),504)</f>
        <v>504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IFERROR(__xludf.DUMMYFUNCTION("""COMPUTED_VALUE"""),"Rio da Conceicao")</f>
        <v>Rio da Conceicao</v>
      </c>
      <c r="C103" t="str">
        <f ca="1">IFERROR(__xludf.DUMMYFUNCTION("""COMPUTED_VALUE"""),"A.A. E. E.VIRGILIO FERREIRA DE FRANCA")</f>
        <v>A.A. E. E.VIRGILIO FERREIRA DE FRANCA</v>
      </c>
      <c r="D103" t="str">
        <f ca="1">IFERROR(__xludf.DUMMYFUNCTION("""COMPUTED_VALUE"""),"01136115000170")</f>
        <v>01136115000170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IFERROR(__xludf.DUMMYFUNCTION("""COMPUTED_VALUE"""),"106305")</f>
        <v>106305</v>
      </c>
      <c r="H103" s="8">
        <f ca="1">IFERROR(__xludf.DUMMYFUNCTION("""COMPUTED_VALUE"""),147)</f>
        <v>147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IFERROR(__xludf.DUMMYFUNCTION("""COMPUTED_VALUE"""),"Taguatinga")</f>
        <v>Taguatinga</v>
      </c>
      <c r="C104" t="str">
        <f ca="1">IFERROR(__xludf.DUMMYFUNCTION("""COMPUTED_VALUE"""),"A.A.  ESCOLA EST. JUSTINO DE ALMEIDA")</f>
        <v>A.A.  ESCOLA EST. JUSTINO DE ALMEIDA</v>
      </c>
      <c r="D104" t="str">
        <f ca="1">IFERROR(__xludf.DUMMYFUNCTION("""COMPUTED_VALUE"""),"01184379000108")</f>
        <v>01184379000108</v>
      </c>
      <c r="E104" t="str">
        <f ca="1">IFERROR(__xludf.DUMMYFUNCTION("""COMPUTED_VALUE"""),"001")</f>
        <v>001</v>
      </c>
      <c r="F104" t="str">
        <f ca="1">IFERROR(__xludf.DUMMYFUNCTION("""COMPUTED_VALUE"""),"2704")</f>
        <v>2704</v>
      </c>
      <c r="G104" t="str">
        <f ca="1">IFERROR(__xludf.DUMMYFUNCTION("""COMPUTED_VALUE"""),"102563")</f>
        <v>102563</v>
      </c>
      <c r="H104" s="8">
        <f ca="1">IFERROR(__xludf.DUMMYFUNCTION("""COMPUTED_VALUE"""),252)</f>
        <v>252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IFERROR(__xludf.DUMMYFUNCTION("""COMPUTED_VALUE"""),"Taguatinga")</f>
        <v>Taguatinga</v>
      </c>
      <c r="C105" t="str">
        <f ca="1">IFERROR(__xludf.DUMMYFUNCTION("""COMPUTED_VALUE"""),"A.A. COL. EST. PROFESSOR AURELIANO")</f>
        <v>A.A. COL. EST. PROFESSOR AURELIANO</v>
      </c>
      <c r="D105" t="str">
        <f ca="1">IFERROR(__xludf.DUMMYFUNCTION("""COMPUTED_VALUE"""),"01133709000128")</f>
        <v>01133709000128</v>
      </c>
      <c r="E105" t="str">
        <f ca="1">IFERROR(__xludf.DUMMYFUNCTION("""COMPUTED_VALUE"""),"001")</f>
        <v>001</v>
      </c>
      <c r="F105" t="str">
        <f ca="1">IFERROR(__xludf.DUMMYFUNCTION("""COMPUTED_VALUE"""),"2704")</f>
        <v>2704</v>
      </c>
      <c r="G105" t="str">
        <f ca="1">IFERROR(__xludf.DUMMYFUNCTION("""COMPUTED_VALUE"""),"102717")</f>
        <v>102717</v>
      </c>
      <c r="H105" s="8">
        <f ca="1">IFERROR(__xludf.DUMMYFUNCTION("""COMPUTED_VALUE"""),231)</f>
        <v>231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IFERROR(__xludf.DUMMYFUNCTION("""COMPUTED_VALUE"""),"Taguatinga")</f>
        <v>Taguatinga</v>
      </c>
      <c r="C106" t="str">
        <f ca="1">IFERROR(__xludf.DUMMYFUNCTION("""COMPUTED_VALUE"""),"A.A. ESC. EST. AGOSTINHO DE ALMEIDA")</f>
        <v>A.A. ESC. EST. AGOSTINHO DE ALMEIDA</v>
      </c>
      <c r="D106" t="str">
        <f ca="1">IFERROR(__xludf.DUMMYFUNCTION("""COMPUTED_VALUE"""),"01197159000100")</f>
        <v>01197159000100</v>
      </c>
      <c r="E106" t="str">
        <f ca="1">IFERROR(__xludf.DUMMYFUNCTION("""COMPUTED_VALUE"""),"001")</f>
        <v>001</v>
      </c>
      <c r="F106" t="str">
        <f ca="1">IFERROR(__xludf.DUMMYFUNCTION("""COMPUTED_VALUE"""),"2704")</f>
        <v>2704</v>
      </c>
      <c r="G106" t="str">
        <f ca="1">IFERROR(__xludf.DUMMYFUNCTION("""COMPUTED_VALUE"""),"102555")</f>
        <v>102555</v>
      </c>
      <c r="H106" s="8">
        <f ca="1">IFERROR(__xludf.DUMMYFUNCTION("""COMPUTED_VALUE"""),420)</f>
        <v>420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IFERROR(__xludf.DUMMYFUNCTION("""COMPUTED_VALUE"""),"Taipas do Tocantins")</f>
        <v>Taipas do Tocantins</v>
      </c>
      <c r="C107" t="str">
        <f ca="1">IFERROR(__xludf.DUMMYFUNCTION("""COMPUTED_VALUE"""),"A.A. E. EST. JOAQUIM FRANCISCO AZEVEDO")</f>
        <v>A.A. E. EST. JOAQUIM FRANCISCO AZEVEDO</v>
      </c>
      <c r="D107" t="str">
        <f ca="1">IFERROR(__xludf.DUMMYFUNCTION("""COMPUTED_VALUE"""),"01136011000166")</f>
        <v>01136011000166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IFERROR(__xludf.DUMMYFUNCTION("""COMPUTED_VALUE"""),"0106291")</f>
        <v>0106291</v>
      </c>
      <c r="H107" s="8">
        <f ca="1">IFERROR(__xludf.DUMMYFUNCTION("""COMPUTED_VALUE"""),294)</f>
        <v>294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IFERROR(__xludf.DUMMYFUNCTION("""COMPUTED_VALUE"""),"Colmeia")</f>
        <v>Colmeia</v>
      </c>
      <c r="C108" t="str">
        <f ca="1">IFERROR(__xludf.DUMMYFUNCTION("""COMPUTED_VALUE"""),"A.A.  COL. EST. SERRA DAS CORDILHEIRAS")</f>
        <v>A.A.  COL. EST. SERRA DAS CORDILHEIRAS</v>
      </c>
      <c r="D108" t="str">
        <f ca="1">IFERROR(__xludf.DUMMYFUNCTION("""COMPUTED_VALUE"""),"01138330000100")</f>
        <v>01138330000100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IFERROR(__xludf.DUMMYFUNCTION("""COMPUTED_VALUE"""),"102776")</f>
        <v>102776</v>
      </c>
      <c r="H108" s="8">
        <f ca="1">IFERROR(__xludf.DUMMYFUNCTION("""COMPUTED_VALUE"""),357)</f>
        <v>357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IFERROR(__xludf.DUMMYFUNCTION("""COMPUTED_VALUE"""),"Colmeia")</f>
        <v>Colmeia</v>
      </c>
      <c r="C109" t="str">
        <f ca="1">IFERROR(__xludf.DUMMYFUNCTION("""COMPUTED_VALUE"""),"A..A. ESC. ESPECIAL  FILHOS DA LUZ")</f>
        <v>A..A. ESC. ESPECIAL  FILHOS DA LUZ</v>
      </c>
      <c r="D109" t="str">
        <f ca="1">IFERROR(__xludf.DUMMYFUNCTION("""COMPUTED_VALUE"""),"07921086000134")</f>
        <v>07921086000134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IFERROR(__xludf.DUMMYFUNCTION("""COMPUTED_VALUE"""),"167940")</f>
        <v>167940</v>
      </c>
      <c r="H109" s="8">
        <f ca="1">IFERROR(__xludf.DUMMYFUNCTION("""COMPUTED_VALUE"""),336)</f>
        <v>336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IFERROR(__xludf.DUMMYFUNCTION("""COMPUTED_VALUE"""),"Colmeia")</f>
        <v>Colmeia</v>
      </c>
      <c r="C110" t="str">
        <f ca="1">IFERROR(__xludf.DUMMYFUNCTION("""COMPUTED_VALUE"""),"A.A. ESC. EST. ARY RIBEIRO VALADAO FILHO")</f>
        <v>A.A. ESC. EST. ARY RIBEIRO VALADAO FILHO</v>
      </c>
      <c r="D110" t="str">
        <f ca="1">IFERROR(__xludf.DUMMYFUNCTION("""COMPUTED_VALUE"""),"01138331000155")</f>
        <v>01138331000155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IFERROR(__xludf.DUMMYFUNCTION("""COMPUTED_VALUE"""),"102806")</f>
        <v>102806</v>
      </c>
      <c r="H110" s="8">
        <f ca="1">IFERROR(__xludf.DUMMYFUNCTION("""COMPUTED_VALUE"""),189)</f>
        <v>189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IFERROR(__xludf.DUMMYFUNCTION("""COMPUTED_VALUE"""),"Couto Magalhaes")</f>
        <v>Couto Magalhaes</v>
      </c>
      <c r="C111" t="str">
        <f ca="1">IFERROR(__xludf.DUMMYFUNCTION("""COMPUTED_VALUE"""),"A.A. ESC. ESPECIAL  DEUS É FIEL")</f>
        <v>A.A. ESC. ESPECIAL  DEUS É FIEL</v>
      </c>
      <c r="D111" t="str">
        <f ca="1">IFERROR(__xludf.DUMMYFUNCTION("""COMPUTED_VALUE"""),"17467216000164")</f>
        <v>17467216000164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IFERROR(__xludf.DUMMYFUNCTION("""COMPUTED_VALUE"""),"265969")</f>
        <v>265969</v>
      </c>
      <c r="H111" s="8">
        <f ca="1">IFERROR(__xludf.DUMMYFUNCTION("""COMPUTED_VALUE"""),672)</f>
        <v>672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IFERROR(__xludf.DUMMYFUNCTION("""COMPUTED_VALUE"""),"Fortaleza do Tabocao")</f>
        <v>Fortaleza do Tabocao</v>
      </c>
      <c r="C112" t="str">
        <f ca="1">IFERROR(__xludf.DUMMYFUNCTION("""COMPUTED_VALUE"""),"ASSOC. DE APOIO A ESCOLA ESPECIAL EDSON DUTRA")</f>
        <v>ASSOC. DE APOIO A ESCOLA ESPECIAL EDSON DUTRA</v>
      </c>
      <c r="D112" t="str">
        <f ca="1">IFERROR(__xludf.DUMMYFUNCTION("""COMPUTED_VALUE"""),"09405159000160")</f>
        <v>09405159000160</v>
      </c>
      <c r="E112" t="str">
        <f ca="1">IFERROR(__xludf.DUMMYFUNCTION("""COMPUTED_VALUE"""),"104")</f>
        <v>104</v>
      </c>
      <c r="F112" t="str">
        <f ca="1">IFERROR(__xludf.DUMMYFUNCTION("""COMPUTED_VALUE"""),"4481")</f>
        <v>4481</v>
      </c>
      <c r="G112" t="str">
        <f ca="1">IFERROR(__xludf.DUMMYFUNCTION("""COMPUTED_VALUE"""),"3982")</f>
        <v>3982</v>
      </c>
      <c r="H112" s="8">
        <f ca="1">IFERROR(__xludf.DUMMYFUNCTION("""COMPUTED_VALUE"""),399)</f>
        <v>399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IFERROR(__xludf.DUMMYFUNCTION("""COMPUTED_VALUE"""),"Fortaleza do Tabocao")</f>
        <v>Fortaleza do Tabocao</v>
      </c>
      <c r="C113" t="str">
        <f ca="1">IFERROR(__xludf.DUMMYFUNCTION("""COMPUTED_VALUE"""),"A.A. DA ESC. EST. MAJOR JUVENAL P.DE SOUZA")</f>
        <v>A.A. DA ESC. EST. MAJOR JUVENAL P.DE SOUZA</v>
      </c>
      <c r="D113" t="str">
        <f ca="1">IFERROR(__xludf.DUMMYFUNCTION("""COMPUTED_VALUE"""),"01408714000104")</f>
        <v>01408714000104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IFERROR(__xludf.DUMMYFUNCTION("""COMPUTED_VALUE"""),"46743X")</f>
        <v>46743X</v>
      </c>
      <c r="H113" s="8">
        <f ca="1">IFERROR(__xludf.DUMMYFUNCTION("""COMPUTED_VALUE"""),336)</f>
        <v>336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IFERROR(__xludf.DUMMYFUNCTION("""COMPUTED_VALUE"""),"Goianorte")</f>
        <v>Goianorte</v>
      </c>
      <c r="C114" t="str">
        <f ca="1">IFERROR(__xludf.DUMMYFUNCTION("""COMPUTED_VALUE"""),"A.A. DA ESC. EST. ANTENOR BARREIRA")</f>
        <v>A.A. DA ESC. EST. ANTENOR BARREIRA</v>
      </c>
      <c r="D114" t="str">
        <f ca="1">IFERROR(__xludf.DUMMYFUNCTION("""COMPUTED_VALUE"""),"02069808000150")</f>
        <v>02069808000150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IFERROR(__xludf.DUMMYFUNCTION("""COMPUTED_VALUE"""),"54186")</f>
        <v>54186</v>
      </c>
      <c r="H114" s="8">
        <f ca="1">IFERROR(__xludf.DUMMYFUNCTION("""COMPUTED_VALUE"""),336)</f>
        <v>336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IFERROR(__xludf.DUMMYFUNCTION("""COMPUTED_VALUE"""),"Goianorte")</f>
        <v>Goianorte</v>
      </c>
      <c r="C115" t="str">
        <f ca="1">IFERROR(__xludf.DUMMYFUNCTION("""COMPUTED_VALUE"""),"ASSOC. DE APOIO DA ESCOLA ESPECIAL NOVOV PARAÍSO - APAE")</f>
        <v>ASSOC. DE APOIO DA ESCOLA ESPECIAL NOVOV PARAÍSO - APAE</v>
      </c>
      <c r="D115" t="str">
        <f ca="1">IFERROR(__xludf.DUMMYFUNCTION("""COMPUTED_VALUE"""),"09510602000163")</f>
        <v>09510602000163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IFERROR(__xludf.DUMMYFUNCTION("""COMPUTED_VALUE"""),"138258")</f>
        <v>138258</v>
      </c>
      <c r="H115" s="8">
        <f ca="1">IFERROR(__xludf.DUMMYFUNCTION("""COMPUTED_VALUE"""),630)</f>
        <v>630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IFERROR(__xludf.DUMMYFUNCTION("""COMPUTED_VALUE"""),"Goianorte")</f>
        <v>Goianorte</v>
      </c>
      <c r="C116" t="str">
        <f ca="1">IFERROR(__xludf.DUMMYFUNCTION("""COMPUTED_VALUE"""),"A.A.  DA ESCOLA ESTADUAL MORRO DO MATO")</f>
        <v>A.A.  DA ESCOLA ESTADUAL MORRO DO MATO</v>
      </c>
      <c r="D116" t="str">
        <f ca="1">IFERROR(__xludf.DUMMYFUNCTION("""COMPUTED_VALUE"""),"01990368000107")</f>
        <v>01990368000107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IFERROR(__xludf.DUMMYFUNCTION("""COMPUTED_VALUE"""),"54178")</f>
        <v>54178</v>
      </c>
      <c r="H116" s="8">
        <f ca="1">IFERROR(__xludf.DUMMYFUNCTION("""COMPUTED_VALUE"""),630)</f>
        <v>630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IFERROR(__xludf.DUMMYFUNCTION("""COMPUTED_VALUE"""),"Guarai")</f>
        <v>Guarai</v>
      </c>
      <c r="C117" t="str">
        <f ca="1">IFERROR(__xludf.DUMMYFUNCTION("""COMPUTED_VALUE"""),"ASSOC. DE APOIO ESC. EST. OQUERLINA TORRES")</f>
        <v>ASSOC. DE APOIO ESC. EST. OQUERLINA TORRES</v>
      </c>
      <c r="D117" t="str">
        <f ca="1">IFERROR(__xludf.DUMMYFUNCTION("""COMPUTED_VALUE"""),"01421201000125")</f>
        <v>01421201000125</v>
      </c>
      <c r="E117" t="str">
        <f ca="1">IFERROR(__xludf.DUMMYFUNCTION("""COMPUTED_VALUE"""),"001")</f>
        <v>001</v>
      </c>
      <c r="F117" t="str">
        <f ca="1">IFERROR(__xludf.DUMMYFUNCTION("""COMPUTED_VALUE"""),"2094")</f>
        <v>2094</v>
      </c>
      <c r="G117" t="str">
        <f ca="1">IFERROR(__xludf.DUMMYFUNCTION("""COMPUTED_VALUE"""),"19266X")</f>
        <v>19266X</v>
      </c>
      <c r="H117" s="8">
        <f ca="1">IFERROR(__xludf.DUMMYFUNCTION("""COMPUTED_VALUE"""),315)</f>
        <v>315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IFERROR(__xludf.DUMMYFUNCTION("""COMPUTED_VALUE"""),"Guarai")</f>
        <v>Guarai</v>
      </c>
      <c r="C118" t="str">
        <f ca="1">IFERROR(__xludf.DUMMYFUNCTION("""COMPUTED_VALUE"""),"A.A.  AS ESC. EST. ANTONIO ALENCAR LEAO")</f>
        <v>A.A.  AS ESC. EST. ANTONIO ALENCAR LEAO</v>
      </c>
      <c r="D118" t="str">
        <f ca="1">IFERROR(__xludf.DUMMYFUNCTION("""COMPUTED_VALUE"""),"01575370000110")</f>
        <v>01575370000110</v>
      </c>
      <c r="E118" t="str">
        <f ca="1">IFERROR(__xludf.DUMMYFUNCTION("""COMPUTED_VALUE"""),"001")</f>
        <v>001</v>
      </c>
      <c r="F118" t="str">
        <f ca="1">IFERROR(__xludf.DUMMYFUNCTION("""COMPUTED_VALUE"""),"2094")</f>
        <v>2094</v>
      </c>
      <c r="G118" t="str">
        <f ca="1">IFERROR(__xludf.DUMMYFUNCTION("""COMPUTED_VALUE"""),"476536")</f>
        <v>476536</v>
      </c>
      <c r="H118" s="8">
        <f ca="1">IFERROR(__xludf.DUMMYFUNCTION("""COMPUTED_VALUE"""),210)</f>
        <v>210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IFERROR(__xludf.DUMMYFUNCTION("""COMPUTED_VALUE"""),"Guarai")</f>
        <v>Guarai</v>
      </c>
      <c r="C119" t="str">
        <f ca="1">IFERROR(__xludf.DUMMYFUNCTION("""COMPUTED_VALUE"""),"A.A. DO COL. EST. DONA ANAIDES B.MIRANDA")</f>
        <v>A.A. DO COL. EST. DONA ANAIDES B.MIRANDA</v>
      </c>
      <c r="D119" t="str">
        <f ca="1">IFERROR(__xludf.DUMMYFUNCTION("""COMPUTED_VALUE"""),"01867376000160")</f>
        <v>01867376000160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IFERROR(__xludf.DUMMYFUNCTION("""COMPUTED_VALUE"""),"472123")</f>
        <v>472123</v>
      </c>
      <c r="H119" s="8">
        <f ca="1">IFERROR(__xludf.DUMMYFUNCTION("""COMPUTED_VALUE"""),231)</f>
        <v>231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IFERROR(__xludf.DUMMYFUNCTION("""COMPUTED_VALUE"""),"A. ESCOLAR COM.COL. EST.RAIMUNDO A.LEAO")</f>
        <v>A. ESCOLAR COM.COL. EST.RAIMUNDO A.LEAO</v>
      </c>
      <c r="D120" t="str">
        <f ca="1">IFERROR(__xludf.DUMMYFUNCTION("""COMPUTED_VALUE"""),"00880649000144")</f>
        <v>00880649000144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IFERROR(__xludf.DUMMYFUNCTION("""COMPUTED_VALUE"""),"0472719")</f>
        <v>0472719</v>
      </c>
      <c r="H120" s="8">
        <f ca="1">IFERROR(__xludf.DUMMYFUNCTION("""COMPUTED_VALUE"""),231)</f>
        <v>231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IFERROR(__xludf.DUMMYFUNCTION("""COMPUTED_VALUE"""),"ASSOCIAÇÃO DE APOIO A ESCOLA ESPECIAL ESTRELA DA ESPERANÇA")</f>
        <v>ASSOCIAÇÃO DE APOIO A ESCOLA ESPECIAL ESTRELA DA ESPERANÇA</v>
      </c>
      <c r="D121" t="str">
        <f ca="1">IFERROR(__xludf.DUMMYFUNCTION("""COMPUTED_VALUE"""),"07938604000122")</f>
        <v>07938604000122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IFERROR(__xludf.DUMMYFUNCTION("""COMPUTED_VALUE"""),"211621")</f>
        <v>211621</v>
      </c>
      <c r="H121" s="8">
        <f ca="1">IFERROR(__xludf.DUMMYFUNCTION("""COMPUTED_VALUE"""),336)</f>
        <v>336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ESC. EST.IRINEU ALBANO HENDGES")</f>
        <v>A.A. ESC. EST.IRINEU ALBANO HENDGES</v>
      </c>
      <c r="D122" t="str">
        <f ca="1">IFERROR(__xludf.DUMMYFUNCTION("""COMPUTED_VALUE"""),"01136012000100")</f>
        <v>01136012000100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IFERROR(__xludf.DUMMYFUNCTION("""COMPUTED_VALUE"""),"0472433")</f>
        <v>0472433</v>
      </c>
      <c r="H122" s="8">
        <f ca="1">IFERROR(__xludf.DUMMYFUNCTION("""COMPUTED_VALUE"""),252)</f>
        <v>252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IFERROR(__xludf.DUMMYFUNCTION("""COMPUTED_VALUE"""),"A.A. ESCOLA EST. JOSE COSTA SOARES")</f>
        <v>A.A. ESCOLA EST. JOSE COSTA SOARES</v>
      </c>
      <c r="D123" t="str">
        <f ca="1">IFERROR(__xludf.DUMMYFUNCTION("""COMPUTED_VALUE"""),"01421200000180")</f>
        <v>01421200000180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IFERROR(__xludf.DUMMYFUNCTION("""COMPUTED_VALUE"""),"471577")</f>
        <v>471577</v>
      </c>
      <c r="H123" s="8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IFERROR(__xludf.DUMMYFUNCTION("""COMPUTED_VALUE"""),"Itapora do Tocantins")</f>
        <v>Itapora do Tocantins</v>
      </c>
      <c r="C124" t="str">
        <f ca="1">IFERROR(__xludf.DUMMYFUNCTION("""COMPUTED_VALUE"""),"A.A. COL. EST. FRANCISCA ALVES ALENCAR")</f>
        <v>A.A. COL. EST. FRANCISCA ALVES ALENCAR</v>
      </c>
      <c r="D124" t="str">
        <f ca="1">IFERROR(__xludf.DUMMYFUNCTION("""COMPUTED_VALUE"""),"01190193000153")</f>
        <v>01190193000153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IFERROR(__xludf.DUMMYFUNCTION("""COMPUTED_VALUE"""),"102865")</f>
        <v>102865</v>
      </c>
      <c r="H124" s="8">
        <f ca="1">IFERROR(__xludf.DUMMYFUNCTION("""COMPUTED_VALUE"""),210)</f>
        <v>210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IFERROR(__xludf.DUMMYFUNCTION("""COMPUTED_VALUE"""),"Pequizeiro")</f>
        <v>Pequizeiro</v>
      </c>
      <c r="C125" t="str">
        <f ca="1">IFERROR(__xludf.DUMMYFUNCTION("""COMPUTED_VALUE"""),"A.A. DO COLEGIO ESTADUAL BERNARDO SAYAO")</f>
        <v>A.A. DO COLEGIO ESTADUAL BERNARDO SAYAO</v>
      </c>
      <c r="D125" t="str">
        <f ca="1">IFERROR(__xludf.DUMMYFUNCTION("""COMPUTED_VALUE"""),"02160863000151")</f>
        <v>02160863000151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IFERROR(__xludf.DUMMYFUNCTION("""COMPUTED_VALUE"""),"53910")</f>
        <v>53910</v>
      </c>
      <c r="H125" s="8">
        <f ca="1">IFERROR(__xludf.DUMMYFUNCTION("""COMPUTED_VALUE"""),525)</f>
        <v>525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IFERROR(__xludf.DUMMYFUNCTION("""COMPUTED_VALUE"""),"Presidente Kennedy")</f>
        <v>Presidente Kennedy</v>
      </c>
      <c r="C126" t="str">
        <f ca="1">IFERROR(__xludf.DUMMYFUNCTION("""COMPUTED_VALUE"""),"A.PAIS E M.COL. EST. JUSCELINO KUBITSCHEK")</f>
        <v>A.PAIS E M.COL. EST. JUSCELINO KUBITSCHEK</v>
      </c>
      <c r="D126" t="str">
        <f ca="1">IFERROR(__xludf.DUMMYFUNCTION("""COMPUTED_VALUE"""),"02060456000172")</f>
        <v>02060456000172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IFERROR(__xludf.DUMMYFUNCTION("""COMPUTED_VALUE"""),"047553X")</f>
        <v>047553X</v>
      </c>
      <c r="H126" s="8">
        <f ca="1">IFERROR(__xludf.DUMMYFUNCTION("""COMPUTED_VALUE"""),252)</f>
        <v>252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IFERROR(__xludf.DUMMYFUNCTION("""COMPUTED_VALUE"""),"Alianca do Tocantins")</f>
        <v>Alianca do Tocantins</v>
      </c>
      <c r="C127" t="str">
        <f ca="1">IFERROR(__xludf.DUMMYFUNCTION("""COMPUTED_VALUE"""),"ASSOCIAÇÃO DE APOIO A ESCOLA ESPECIAL AMOR FRATERNAL")</f>
        <v>ASSOCIAÇÃO DE APOIO A ESCOLA ESPECIAL AMOR FRATERNAL</v>
      </c>
      <c r="D127" t="str">
        <f ca="1">IFERROR(__xludf.DUMMYFUNCTION("""COMPUTED_VALUE"""),"07953958000146")</f>
        <v>07953958000146</v>
      </c>
      <c r="E127" t="str">
        <f ca="1">IFERROR(__xludf.DUMMYFUNCTION("""COMPUTED_VALUE"""),"001")</f>
        <v>001</v>
      </c>
      <c r="F127" t="str">
        <f ca="1">IFERROR(__xludf.DUMMYFUNCTION("""COMPUTED_VALUE"""),"3972")</f>
        <v>3972</v>
      </c>
      <c r="G127" t="str">
        <f ca="1">IFERROR(__xludf.DUMMYFUNCTION("""COMPUTED_VALUE"""),"90115")</f>
        <v>90115</v>
      </c>
      <c r="H127" s="8">
        <f ca="1">IFERROR(__xludf.DUMMYFUNCTION("""COMPUTED_VALUE"""),735)</f>
        <v>735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IFERROR(__xludf.DUMMYFUNCTION("""COMPUTED_VALUE"""),"Alianca do Tocantins")</f>
        <v>Alianca do Tocantins</v>
      </c>
      <c r="C128" t="str">
        <f ca="1">IFERROR(__xludf.DUMMYFUNCTION("""COMPUTED_VALUE"""),"A. PAIS E MESTRES ESC. EST.N.SRA.DO CARMO")</f>
        <v>A. PAIS E MESTRES ESC. EST.N.SRA.DO CARMO</v>
      </c>
      <c r="D128" t="str">
        <f ca="1">IFERROR(__xludf.DUMMYFUNCTION("""COMPUTED_VALUE"""),"01034192000110")</f>
        <v>01034192000110</v>
      </c>
      <c r="E128" t="str">
        <f ca="1">IFERROR(__xludf.DUMMYFUNCTION("""COMPUTED_VALUE"""),"001")</f>
        <v>001</v>
      </c>
      <c r="F128" t="str">
        <f ca="1">IFERROR(__xludf.DUMMYFUNCTION("""COMPUTED_VALUE"""),"3972")</f>
        <v>3972</v>
      </c>
      <c r="G128" t="str">
        <f ca="1">IFERROR(__xludf.DUMMYFUNCTION("""COMPUTED_VALUE"""),"243590")</f>
        <v>243590</v>
      </c>
      <c r="H128" s="8">
        <f ca="1">IFERROR(__xludf.DUMMYFUNCTION("""COMPUTED_VALUE"""),462)</f>
        <v>462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IFERROR(__xludf.DUMMYFUNCTION("""COMPUTED_VALUE"""),"Alvorada")</f>
        <v>Alvorada</v>
      </c>
      <c r="C129" t="str">
        <f ca="1">IFERROR(__xludf.DUMMYFUNCTION("""COMPUTED_VALUE"""),"A.P.A.DOS EXCEP. DE ALVORADA-APAE")</f>
        <v>A.P.A.DOS EXCEP. DE ALVORADA-APAE</v>
      </c>
      <c r="D129" t="str">
        <f ca="1">IFERROR(__xludf.DUMMYFUNCTION("""COMPUTED_VALUE"""),"02201735000109")</f>
        <v>02201735000109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IFERROR(__xludf.DUMMYFUNCTION("""COMPUTED_VALUE"""),"101826")</f>
        <v>101826</v>
      </c>
      <c r="H129" s="8">
        <f ca="1">IFERROR(__xludf.DUMMYFUNCTION("""COMPUTED_VALUE"""),1596)</f>
        <v>1596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IFERROR(__xludf.DUMMYFUNCTION("""COMPUTED_VALUE"""),"Alvorada")</f>
        <v>Alvorada</v>
      </c>
      <c r="C130" t="str">
        <f ca="1">IFERROR(__xludf.DUMMYFUNCTION("""COMPUTED_VALUE"""),"ASS. APOIO ESC. EST. ANA MARIA DE JESUS")</f>
        <v>ASS. APOIO ESC. EST. ANA MARIA DE JESUS</v>
      </c>
      <c r="D130" t="str">
        <f ca="1">IFERROR(__xludf.DUMMYFUNCTION("""COMPUTED_VALUE"""),"01221145000185")</f>
        <v>01221145000185</v>
      </c>
      <c r="E130" t="str">
        <f ca="1">IFERROR(__xludf.DUMMYFUNCTION("""COMPUTED_VALUE"""),"001")</f>
        <v>001</v>
      </c>
      <c r="F130" t="str">
        <f ca="1">IFERROR(__xludf.DUMMYFUNCTION("""COMPUTED_VALUE"""),"1303")</f>
        <v>1303</v>
      </c>
      <c r="G130" t="str">
        <f ca="1">IFERROR(__xludf.DUMMYFUNCTION("""COMPUTED_VALUE"""),"103691")</f>
        <v>103691</v>
      </c>
      <c r="H130" s="8">
        <f ca="1">IFERROR(__xludf.DUMMYFUNCTION("""COMPUTED_VALUE"""),147)</f>
        <v>147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IFERROR(__xludf.DUMMYFUNCTION("""COMPUTED_VALUE"""),"Araguacu")</f>
        <v>Araguacu</v>
      </c>
      <c r="C131" t="str">
        <f ca="1">IFERROR(__xludf.DUMMYFUNCTION("""COMPUTED_VALUE"""),"A..A. ESC. ESPECIAL  ABELINHA EM BUSCA DO SABER")</f>
        <v>A..A. ESC. ESPECIAL  ABELINHA EM BUSCA DO SABER</v>
      </c>
      <c r="D131" t="str">
        <f ca="1">IFERROR(__xludf.DUMMYFUNCTION("""COMPUTED_VALUE"""),"07924466000122")</f>
        <v>07924466000122</v>
      </c>
      <c r="E131" t="str">
        <f ca="1">IFERROR(__xludf.DUMMYFUNCTION("""COMPUTED_VALUE"""),"001")</f>
        <v>001</v>
      </c>
      <c r="F131" t="str">
        <f ca="1">IFERROR(__xludf.DUMMYFUNCTION("""COMPUTED_VALUE"""),"1304")</f>
        <v>1304</v>
      </c>
      <c r="G131" t="str">
        <f ca="1">IFERROR(__xludf.DUMMYFUNCTION("""COMPUTED_VALUE"""),"136417")</f>
        <v>136417</v>
      </c>
      <c r="H131" s="8">
        <f ca="1">IFERROR(__xludf.DUMMYFUNCTION("""COMPUTED_VALUE"""),1659)</f>
        <v>1659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IFERROR(__xludf.DUMMYFUNCTION("""COMPUTED_VALUE"""),"Araguacu")</f>
        <v>Araguacu</v>
      </c>
      <c r="C132" t="str">
        <f ca="1">IFERROR(__xludf.DUMMYFUNCTION("""COMPUTED_VALUE"""),"ASS. APOIO ESC. EST. SALVADOR CAETANO")</f>
        <v>ASS. APOIO ESC. EST. SALVADOR CAETANO</v>
      </c>
      <c r="D132" t="str">
        <f ca="1">IFERROR(__xludf.DUMMYFUNCTION("""COMPUTED_VALUE"""),"01341484000103")</f>
        <v>01341484000103</v>
      </c>
      <c r="E132" t="str">
        <f ca="1">IFERROR(__xludf.DUMMYFUNCTION("""COMPUTED_VALUE"""),"001")</f>
        <v>001</v>
      </c>
      <c r="F132" t="str">
        <f ca="1">IFERROR(__xludf.DUMMYFUNCTION("""COMPUTED_VALUE"""),"1304")</f>
        <v>1304</v>
      </c>
      <c r="G132" t="str">
        <f ca="1">IFERROR(__xludf.DUMMYFUNCTION("""COMPUTED_VALUE"""),"0105589")</f>
        <v>0105589</v>
      </c>
      <c r="H132" s="8">
        <f ca="1">IFERROR(__xludf.DUMMYFUNCTION("""COMPUTED_VALUE"""),546)</f>
        <v>546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IFERROR(__xludf.DUMMYFUNCTION("""COMPUTED_VALUE"""),"Duere")</f>
        <v>Duere</v>
      </c>
      <c r="C133" t="str">
        <f ca="1">IFERROR(__xludf.DUMMYFUNCTION("""COMPUTED_VALUE"""),"A.P.MESTRES DA ESCOLA EST.ELESBAO LIMA")</f>
        <v>A.P.MESTRES DA ESCOLA EST.ELESBAO LIMA</v>
      </c>
      <c r="D133" t="str">
        <f ca="1">IFERROR(__xludf.DUMMYFUNCTION("""COMPUTED_VALUE"""),"01865387000101")</f>
        <v>01865387000101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IFERROR(__xludf.DUMMYFUNCTION("""COMPUTED_VALUE"""),"6758X")</f>
        <v>6758X</v>
      </c>
      <c r="H133" s="8">
        <f ca="1">IFERROR(__xludf.DUMMYFUNCTION("""COMPUTED_VALUE"""),462)</f>
        <v>462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IFERROR(__xludf.DUMMYFUNCTION("""COMPUTED_VALUE"""),"Figueiropolis")</f>
        <v>Figueiropolis</v>
      </c>
      <c r="C134" t="str">
        <f ca="1">IFERROR(__xludf.DUMMYFUNCTION("""COMPUTED_VALUE"""),"A. APOIO COLEGIO EST. CANDIDO FIGUEIRA")</f>
        <v>A. APOIO COLEGIO EST. CANDIDO FIGUEIRA</v>
      </c>
      <c r="D134" t="str">
        <f ca="1">IFERROR(__xludf.DUMMYFUNCTION("""COMPUTED_VALUE"""),"01262902000169")</f>
        <v>01262902000169</v>
      </c>
      <c r="E134" t="str">
        <f ca="1">IFERROR(__xludf.DUMMYFUNCTION("""COMPUTED_VALUE"""),"001")</f>
        <v>001</v>
      </c>
      <c r="F134" t="str">
        <f ca="1">IFERROR(__xludf.DUMMYFUNCTION("""COMPUTED_VALUE"""),"3978")</f>
        <v>3978</v>
      </c>
      <c r="G134" t="str">
        <f ca="1">IFERROR(__xludf.DUMMYFUNCTION("""COMPUTED_VALUE"""),"4802X")</f>
        <v>4802X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IFERROR(__xludf.DUMMYFUNCTION("""COMPUTED_VALUE"""),"Formoso do Araguaia")</f>
        <v>Formoso do Araguaia</v>
      </c>
      <c r="C135" t="str">
        <f ca="1">IFERROR(__xludf.DUMMYFUNCTION("""COMPUTED_VALUE"""),"A.A. ESC ESPECIAL ANJO DA GUARDA")</f>
        <v>A.A. ESC ESPECIAL ANJO DA GUARDA</v>
      </c>
      <c r="D135" t="str">
        <f ca="1">IFERROR(__xludf.DUMMYFUNCTION("""COMPUTED_VALUE"""),"17617389000111")</f>
        <v>17617389000111</v>
      </c>
      <c r="E135" t="str">
        <f ca="1">IFERROR(__xludf.DUMMYFUNCTION("""COMPUTED_VALUE"""),"001")</f>
        <v>001</v>
      </c>
      <c r="F135" t="str">
        <f ca="1">IFERROR(__xludf.DUMMYFUNCTION("""COMPUTED_VALUE"""),"3123")</f>
        <v>3123</v>
      </c>
      <c r="G135" t="str">
        <f ca="1">IFERROR(__xludf.DUMMYFUNCTION("""COMPUTED_VALUE"""),"168211")</f>
        <v>168211</v>
      </c>
      <c r="H135" s="8">
        <f ca="1">IFERROR(__xludf.DUMMYFUNCTION("""COMPUTED_VALUE"""),735)</f>
        <v>735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IFERROR(__xludf.DUMMYFUNCTION("""COMPUTED_VALUE"""),"Formoso do Araguaia")</f>
        <v>Formoso do Araguaia</v>
      </c>
      <c r="C136" t="str">
        <f ca="1">IFERROR(__xludf.DUMMYFUNCTION("""COMPUTED_VALUE"""),"A.A. ESC. EST. DONA GERCINA BORGES TEIXEIRA")</f>
        <v>A.A. ESC. EST. DONA GERCINA BORGES TEIXEIRA</v>
      </c>
      <c r="D136" t="str">
        <f ca="1">IFERROR(__xludf.DUMMYFUNCTION("""COMPUTED_VALUE"""),"01268334000103")</f>
        <v>01268334000103</v>
      </c>
      <c r="E136" t="str">
        <f ca="1">IFERROR(__xludf.DUMMYFUNCTION("""COMPUTED_VALUE"""),"001")</f>
        <v>001</v>
      </c>
      <c r="F136" t="str">
        <f ca="1">IFERROR(__xludf.DUMMYFUNCTION("""COMPUTED_VALUE"""),"3123")</f>
        <v>3123</v>
      </c>
      <c r="G136" t="str">
        <f ca="1">IFERROR(__xludf.DUMMYFUNCTION("""COMPUTED_VALUE"""),"302880")</f>
        <v>302880</v>
      </c>
      <c r="H136" s="8">
        <f ca="1">IFERROR(__xludf.DUMMYFUNCTION("""COMPUTED_VALUE"""),630)</f>
        <v>630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IFERROR(__xludf.DUMMYFUNCTION("""COMPUTED_VALUE"""),"ASSOC. A. CENTRO DE ENS. MÉDIO ARY R. VALADÃO FILHO")</f>
        <v>ASSOC. A. CENTRO DE ENS. MÉDIO ARY R. VALADÃO FILHO</v>
      </c>
      <c r="D137" t="str">
        <f ca="1">IFERROR(__xludf.DUMMYFUNCTION("""COMPUTED_VALUE"""),"02152392000130")</f>
        <v>02152392000130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IFERROR(__xludf.DUMMYFUNCTION("""COMPUTED_VALUE"""),"420646")</f>
        <v>420646</v>
      </c>
      <c r="H137" s="8">
        <f ca="1">IFERROR(__xludf.DUMMYFUNCTION("""COMPUTED_VALUE"""),630)</f>
        <v>630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IFERROR(__xludf.DUMMYFUNCTION("""COMPUTED_VALUE"""),"ASSOC. DE APOIO ESC. EST. BOM JESUS")</f>
        <v>ASSOC. DE APOIO ESC. EST. BOM JESUS</v>
      </c>
      <c r="D138" t="str">
        <f ca="1">IFERROR(__xludf.DUMMYFUNCTION("""COMPUTED_VALUE"""),"01865430000139")</f>
        <v>01865430000139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IFERROR(__xludf.DUMMYFUNCTION("""COMPUTED_VALUE"""),"420603")</f>
        <v>420603</v>
      </c>
      <c r="H138" s="8">
        <f ca="1">IFERROR(__xludf.DUMMYFUNCTION("""COMPUTED_VALUE"""),336)</f>
        <v>336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IFERROR(__xludf.DUMMYFUNCTION("""COMPUTED_VALUE"""),"ASSOC. DE APOIO COL. EST. DE GURUPI")</f>
        <v>ASSOC. DE APOIO COL. EST. DE GURUPI</v>
      </c>
      <c r="D139" t="str">
        <f ca="1">IFERROR(__xludf.DUMMYFUNCTION("""COMPUTED_VALUE"""),"01887135000183")</f>
        <v>01887135000183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IFERROR(__xludf.DUMMYFUNCTION("""COMPUTED_VALUE"""),"420700")</f>
        <v>420700</v>
      </c>
      <c r="H139" s="8">
        <f ca="1">IFERROR(__xludf.DUMMYFUNCTION("""COMPUTED_VALUE"""),168)</f>
        <v>168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IFERROR(__xludf.DUMMYFUNCTION("""COMPUTED_VALUE"""),"A.A.  DO COL. PAROQUIAL BERNARDO SAYAO")</f>
        <v>A.A.  DO COL. PAROQUIAL BERNARDO SAYAO</v>
      </c>
      <c r="D140" t="str">
        <f ca="1">IFERROR(__xludf.DUMMYFUNCTION("""COMPUTED_VALUE"""),"01865371000107")</f>
        <v>01865371000107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IFERROR(__xludf.DUMMYFUNCTION("""COMPUTED_VALUE"""),"66796")</f>
        <v>66796</v>
      </c>
      <c r="H140" s="8">
        <f ca="1">IFERROR(__xludf.DUMMYFUNCTION("""COMPUTED_VALUE"""),693)</f>
        <v>693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IFERROR(__xludf.DUMMYFUNCTION("""COMPUTED_VALUE"""),"ASSOCIAÇÃO DE APOIO A ESCOLA ESPECIAL SÃO FRANCISCO DE ASSIS")</f>
        <v>ASSOCIAÇÃO DE APOIO A ESCOLA ESPECIAL SÃO FRANCISCO DE ASSIS</v>
      </c>
      <c r="D141" t="str">
        <f ca="1">IFERROR(__xludf.DUMMYFUNCTION("""COMPUTED_VALUE"""),"07947356000186")</f>
        <v>07947356000186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IFERROR(__xludf.DUMMYFUNCTION("""COMPUTED_VALUE"""),"431109")</f>
        <v>431109</v>
      </c>
      <c r="H141" s="8">
        <f ca="1">IFERROR(__xludf.DUMMYFUNCTION("""COMPUTED_VALUE"""),378)</f>
        <v>378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IFERROR(__xludf.DUMMYFUNCTION("""COMPUTED_VALUE"""),"A.A. ESC. EST. DR. JOAQUIM P. DA COSTA")</f>
        <v>A.A. ESC. EST. DR. JOAQUIM P. DA COSTA</v>
      </c>
      <c r="D142" t="str">
        <f ca="1">IFERROR(__xludf.DUMMYFUNCTION("""COMPUTED_VALUE"""),"01865386000167")</f>
        <v>01865386000167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IFERROR(__xludf.DUMMYFUNCTION("""COMPUTED_VALUE"""),"67288")</f>
        <v>67288</v>
      </c>
      <c r="H142" s="8">
        <f ca="1">IFERROR(__xludf.DUMMYFUNCTION("""COMPUTED_VALUE"""),651)</f>
        <v>651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ESCOLAR DA ESC. EST. DR.WALDIR LINS")</f>
        <v>A.A. ESCOLAR DA ESC. EST. DR.WALDIR LINS</v>
      </c>
      <c r="D143" t="str">
        <f ca="1">IFERROR(__xludf.DUMMYFUNCTION("""COMPUTED_VALUE"""),"01936535000131")</f>
        <v>01936535000131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IFERROR(__xludf.DUMMYFUNCTION("""COMPUTED_VALUE"""),"66966")</f>
        <v>66966</v>
      </c>
      <c r="H143" s="8">
        <f ca="1">IFERROR(__xludf.DUMMYFUNCTION("""COMPUTED_VALUE"""),252)</f>
        <v>252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IFERROR(__xludf.DUMMYFUNCTION("""COMPUTED_VALUE"""),"A. EDUCACIONAL PRES. COSTA E SILVA")</f>
        <v>A. EDUCACIONAL PRES. COSTA E SILVA</v>
      </c>
      <c r="D144" t="str">
        <f ca="1">IFERROR(__xludf.DUMMYFUNCTION("""COMPUTED_VALUE"""),"01888719000173")</f>
        <v>01888719000173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IFERROR(__xludf.DUMMYFUNCTION("""COMPUTED_VALUE"""),"67490")</f>
        <v>67490</v>
      </c>
      <c r="H144" s="8">
        <f ca="1">IFERROR(__xludf.DUMMYFUNCTION("""COMPUTED_VALUE"""),588)</f>
        <v>588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HERCILIA CARVALHO DA SILVA")</f>
        <v>A.A. ESC. EST. HERCILIA CARVALHO DA SILVA</v>
      </c>
      <c r="D145" t="str">
        <f ca="1">IFERROR(__xludf.DUMMYFUNCTION("""COMPUTED_VALUE"""),"01465790000143")</f>
        <v>01465790000143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IFERROR(__xludf.DUMMYFUNCTION("""COMPUTED_VALUE"""),"66834")</f>
        <v>66834</v>
      </c>
      <c r="H145" s="8">
        <f ca="1">IFERROR(__xludf.DUMMYFUNCTION("""COMPUTED_VALUE"""),420)</f>
        <v>420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 DE PAIS E MESTRES/ESC. EST. VILA GUARACY")</f>
        <v>A. DE PAIS E MESTRES/ESC. EST. VILA GUARACY</v>
      </c>
      <c r="D146" t="str">
        <f ca="1">IFERROR(__xludf.DUMMYFUNCTION("""COMPUTED_VALUE"""),"01918955000195")</f>
        <v>01918955000195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IFERROR(__xludf.DUMMYFUNCTION("""COMPUTED_VALUE"""),"67008")</f>
        <v>67008</v>
      </c>
      <c r="H146" s="8">
        <f ca="1">IFERROR(__xludf.DUMMYFUNCTION("""COMPUTED_VALUE"""),315)</f>
        <v>315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IFERROR(__xludf.DUMMYFUNCTION("""COMPUTED_VALUE"""),"A.A. DO INSTITUTO PRESBITERIANO ARAGUAIA")</f>
        <v>A.A. DO INSTITUTO PRESBITERIANO ARAGUAIA</v>
      </c>
      <c r="D147" t="str">
        <f ca="1">IFERROR(__xludf.DUMMYFUNCTION("""COMPUTED_VALUE"""),"03060918000114")</f>
        <v>03060918000114</v>
      </c>
      <c r="E147" t="str">
        <f ca="1">IFERROR(__xludf.DUMMYFUNCTION("""COMPUTED_VALUE"""),"104")</f>
        <v>104</v>
      </c>
      <c r="F147" t="str">
        <f ca="1">IFERROR(__xludf.DUMMYFUNCTION("""COMPUTED_VALUE"""),"0793")</f>
        <v>0793</v>
      </c>
      <c r="G147" t="str">
        <f ca="1">IFERROR(__xludf.DUMMYFUNCTION("""COMPUTED_VALUE"""),"12090")</f>
        <v>12090</v>
      </c>
      <c r="H147" s="8">
        <f ca="1">IFERROR(__xludf.DUMMYFUNCTION("""COMPUTED_VALUE"""),567)</f>
        <v>567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IFERROR(__xludf.DUMMYFUNCTION("""COMPUTED_VALUE"""),"Palmeiropolis")</f>
        <v>Palmeiropolis</v>
      </c>
      <c r="C148" t="str">
        <f ca="1">IFERROR(__xludf.DUMMYFUNCTION("""COMPUTED_VALUE"""),"A.A. ESCOLA ESTADUAL PROFESSORA ONEIDES")</f>
        <v>A.A. ESCOLA ESTADUAL PROFESSORA ONEIDES</v>
      </c>
      <c r="D148" t="str">
        <f ca="1">IFERROR(__xludf.DUMMYFUNCTION("""COMPUTED_VALUE"""),"01262903000103")</f>
        <v>01262903000103</v>
      </c>
      <c r="E148" t="str">
        <f ca="1">IFERROR(__xludf.DUMMYFUNCTION("""COMPUTED_VALUE"""),"001")</f>
        <v>001</v>
      </c>
      <c r="F148" t="str">
        <f ca="1">IFERROR(__xludf.DUMMYFUNCTION("""COMPUTED_VALUE"""),"4608")</f>
        <v>4608</v>
      </c>
      <c r="G148" t="str">
        <f ca="1">IFERROR(__xludf.DUMMYFUNCTION("""COMPUTED_VALUE"""),"79758")</f>
        <v>79758</v>
      </c>
      <c r="H148" s="8">
        <f ca="1">IFERROR(__xludf.DUMMYFUNCTION("""COMPUTED_VALUE"""),504)</f>
        <v>504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IFERROR(__xludf.DUMMYFUNCTION("""COMPUTED_VALUE"""),"Palmeiropolis")</f>
        <v>Palmeiropolis</v>
      </c>
      <c r="C149" t="str">
        <f ca="1">IFERROR(__xludf.DUMMYFUNCTION("""COMPUTED_VALUE"""),"A. A.DO COLEGIO EST. DE PALMEIROPOLIS (COLÉGIO MILITAR)")</f>
        <v>A. A.DO COLEGIO EST. DE PALMEIROPOLIS (COLÉGIO MILITAR)</v>
      </c>
      <c r="D149" t="str">
        <f ca="1">IFERROR(__xludf.DUMMYFUNCTION("""COMPUTED_VALUE"""),"01210496000190")</f>
        <v>01210496000190</v>
      </c>
      <c r="E149" t="str">
        <f ca="1">IFERROR(__xludf.DUMMYFUNCTION("""COMPUTED_VALUE"""),"001")</f>
        <v>001</v>
      </c>
      <c r="F149" t="str">
        <f ca="1">IFERROR(__xludf.DUMMYFUNCTION("""COMPUTED_VALUE"""),"1303")</f>
        <v>1303</v>
      </c>
      <c r="G149" t="str">
        <f ca="1">IFERROR(__xludf.DUMMYFUNCTION("""COMPUTED_VALUE"""),"97438")</f>
        <v>97438</v>
      </c>
      <c r="H149" s="8">
        <f ca="1">IFERROR(__xludf.DUMMYFUNCTION("""COMPUTED_VALUE"""),294)</f>
        <v>294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IFERROR(__xludf.DUMMYFUNCTION("""COMPUTED_VALUE"""),"Sandolandia")</f>
        <v>Sandolandia</v>
      </c>
      <c r="C150" t="str">
        <f ca="1">IFERROR(__xludf.DUMMYFUNCTION("""COMPUTED_VALUE"""),"A.A. A ESC. EST.NOSSA SENHORA APARECIDA")</f>
        <v>A.A. A ESC. EST.NOSSA SENHORA APARECIDA</v>
      </c>
      <c r="D150" t="str">
        <f ca="1">IFERROR(__xludf.DUMMYFUNCTION("""COMPUTED_VALUE"""),"01393269000148")</f>
        <v>01393269000148</v>
      </c>
      <c r="E150" t="str">
        <f ca="1">IFERROR(__xludf.DUMMYFUNCTION("""COMPUTED_VALUE"""),"001")</f>
        <v>001</v>
      </c>
      <c r="F150" t="str">
        <f ca="1">IFERROR(__xludf.DUMMYFUNCTION("""COMPUTED_VALUE"""),"1304")</f>
        <v>1304</v>
      </c>
      <c r="G150" t="str">
        <f ca="1">IFERROR(__xludf.DUMMYFUNCTION("""COMPUTED_VALUE"""),"105163")</f>
        <v>105163</v>
      </c>
      <c r="H150" s="8">
        <f ca="1">IFERROR(__xludf.DUMMYFUNCTION("""COMPUTED_VALUE"""),399)</f>
        <v>399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IFERROR(__xludf.DUMMYFUNCTION("""COMPUTED_VALUE"""),"Sao Valerio da Natividade")</f>
        <v>Sao Valerio da Natividade</v>
      </c>
      <c r="C151" t="str">
        <f ca="1">IFERROR(__xludf.DUMMYFUNCTION("""COMPUTED_VALUE"""),"A.P.M.E ALUNOS COL. EST. REGINA S. CAMPOS")</f>
        <v>A.P.M.E ALUNOS COL. EST. REGINA S. CAMPOS</v>
      </c>
      <c r="D151" t="str">
        <f ca="1">IFERROR(__xludf.DUMMYFUNCTION("""COMPUTED_VALUE"""),"01431377000168")</f>
        <v>01431377000168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IFERROR(__xludf.DUMMYFUNCTION("""COMPUTED_VALUE"""),"52477")</f>
        <v>52477</v>
      </c>
      <c r="H151" s="8">
        <f ca="1">IFERROR(__xludf.DUMMYFUNCTION("""COMPUTED_VALUE"""),420)</f>
        <v>420</v>
      </c>
      <c r="I151" t="str">
        <v>AEE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IFERROR(__xludf.DUMMYFUNCTION("""COMPUTED_VALUE"""),"dois Irmaos do Tocantins")</f>
        <v>dois Irmaos do Tocantins</v>
      </c>
      <c r="C152" t="str">
        <f ca="1">IFERROR(__xludf.DUMMYFUNCTION("""COMPUTED_VALUE"""),"A.C.E. COL PRES. CASTELO BRANCO")</f>
        <v>A.C.E. COL PRES. CASTELO BRANCO</v>
      </c>
      <c r="D152" t="str">
        <f ca="1">IFERROR(__xludf.DUMMYFUNCTION("""COMPUTED_VALUE"""),"01034882000179")</f>
        <v>01034882000179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IFERROR(__xludf.DUMMYFUNCTION("""COMPUTED_VALUE"""),"68950")</f>
        <v>68950</v>
      </c>
      <c r="H152" s="8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IFERROR(__xludf.DUMMYFUNCTION("""COMPUTED_VALUE"""),"dois Irmaos do Tocantins")</f>
        <v>dois Irmaos do Tocantins</v>
      </c>
      <c r="C153" t="str">
        <f ca="1">IFERROR(__xludf.DUMMYFUNCTION("""COMPUTED_VALUE"""),"ASSOC. DE APOIO A ESCOLA ESPECIAL CLOVIS DE ASSIS")</f>
        <v>ASSOC. DE APOIO A ESCOLA ESPECIAL CLOVIS DE ASSIS</v>
      </c>
      <c r="D153" t="str">
        <f ca="1">IFERROR(__xludf.DUMMYFUNCTION("""COMPUTED_VALUE"""),"09327390000183")</f>
        <v>09327390000183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IFERROR(__xludf.DUMMYFUNCTION("""COMPUTED_VALUE"""),"211087")</f>
        <v>211087</v>
      </c>
      <c r="H153" s="8">
        <f ca="1">IFERROR(__xludf.DUMMYFUNCTION("""COMPUTED_VALUE"""),987)</f>
        <v>987</v>
      </c>
      <c r="I153" t="str">
        <v>AEE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IFERROR(__xludf.DUMMYFUNCTION("""COMPUTED_VALUE"""),"Lizarda")</f>
        <v>Lizarda</v>
      </c>
      <c r="C154" t="str">
        <f ca="1">IFERROR(__xludf.DUMMYFUNCTION("""COMPUTED_VALUE"""),"A. ESC. COMUN. DO COL. EST. 31 DE MARCO")</f>
        <v>A. ESC. COMUN. DO COL. EST. 31 DE MARCO</v>
      </c>
      <c r="D154" t="str">
        <f ca="1">IFERROR(__xludf.DUMMYFUNCTION("""COMPUTED_VALUE"""),"01232873000192")</f>
        <v>01232873000192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IFERROR(__xludf.DUMMYFUNCTION("""COMPUTED_VALUE"""),"68969")</f>
        <v>68969</v>
      </c>
      <c r="H154" s="8">
        <f ca="1">IFERROR(__xludf.DUMMYFUNCTION("""COMPUTED_VALUE"""),252)</f>
        <v>252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IFERROR(__xludf.DUMMYFUNCTION("""COMPUTED_VALUE"""),"Lizarda")</f>
        <v>Lizarda</v>
      </c>
      <c r="C155" t="str">
        <f ca="1">IFERROR(__xludf.DUMMYFUNCTION("""COMPUTED_VALUE"""),"ESCOLA ESTADUAL AYRTON SENNA")</f>
        <v>ESCOLA ESTADUAL AYRTON SENNA</v>
      </c>
      <c r="D155" t="str">
        <f ca="1">IFERROR(__xludf.DUMMYFUNCTION("""COMPUTED_VALUE"""),"11406586000105")</f>
        <v>11406586000105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IFERROR(__xludf.DUMMYFUNCTION("""COMPUTED_VALUE"""),"270393")</f>
        <v>270393</v>
      </c>
      <c r="H155" s="8">
        <f ca="1">IFERROR(__xludf.DUMMYFUNCTION("""COMPUTED_VALUE"""),105)</f>
        <v>105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IFERROR(__xludf.DUMMYFUNCTION("""COMPUTED_VALUE"""),"ASSOC ESC COM COL EST FILOMENA MOREIRA DE PAULA")</f>
        <v>ASSOC ESC COM COL EST FILOMENA MOREIRA DE PAULA</v>
      </c>
      <c r="D156" t="str">
        <f ca="1">IFERROR(__xludf.DUMMYFUNCTION("""COMPUTED_VALUE"""),"00900200000109")</f>
        <v>00900200000109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IFERROR(__xludf.DUMMYFUNCTION("""COMPUTED_VALUE"""),"97527")</f>
        <v>97527</v>
      </c>
      <c r="H156" s="8">
        <f ca="1">IFERROR(__xludf.DUMMYFUNCTION("""COMPUTED_VALUE"""),357)</f>
        <v>357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IFERROR(__xludf.DUMMYFUNCTION("""COMPUTED_VALUE"""),"ASS. DE APOIO AO CEM SANTA TEREZINHA")</f>
        <v>ASS. DE APOIO AO CEM SANTA TEREZINHA</v>
      </c>
      <c r="D157" t="str">
        <f ca="1">IFERROR(__xludf.DUMMYFUNCTION("""COMPUTED_VALUE"""),"01085211000137")</f>
        <v>01085211000137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IFERROR(__xludf.DUMMYFUNCTION("""COMPUTED_VALUE"""),"244589")</f>
        <v>244589</v>
      </c>
      <c r="H157" s="8">
        <f ca="1">IFERROR(__xludf.DUMMYFUNCTION("""COMPUTED_VALUE"""),504)</f>
        <v>504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IFERROR(__xludf.DUMMYFUNCTION("""COMPUTED_VALUE"""),"Miracema do Tocantins")</f>
        <v>Miracema do Tocantins</v>
      </c>
      <c r="C158" t="str">
        <f ca="1">IFERROR(__xludf.DUMMYFUNCTION("""COMPUTED_VALUE"""),"SOCIEDADE EDUCADORA FEMININA/COLÉGIO TOCANTINS")</f>
        <v>SOCIEDADE EDUCADORA FEMININA/COLÉGIO TOCANTINS</v>
      </c>
      <c r="D158" t="str">
        <f ca="1">IFERROR(__xludf.DUMMYFUNCTION("""COMPUTED_VALUE"""),"61373585000694")</f>
        <v>61373585000694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IFERROR(__xludf.DUMMYFUNCTION("""COMPUTED_VALUE"""),"69086")</f>
        <v>69086</v>
      </c>
      <c r="H158" s="8">
        <f ca="1">IFERROR(__xludf.DUMMYFUNCTION("""COMPUTED_VALUE"""),273)</f>
        <v>273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IFERROR(__xludf.DUMMYFUNCTION("""COMPUTED_VALUE"""),"A.P.A.DOS EXECEPCIONAIS DE MIRACEMA - APAE")</f>
        <v>A.P.A.DOS EXECEPCIONAIS DE MIRACEMA - APAE</v>
      </c>
      <c r="D159" t="str">
        <f ca="1">IFERROR(__xludf.DUMMYFUNCTION("""COMPUTED_VALUE"""),"38146965000160")</f>
        <v>38146965000160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IFERROR(__xludf.DUMMYFUNCTION("""COMPUTED_VALUE"""),"93734")</f>
        <v>93734</v>
      </c>
      <c r="H159" s="8">
        <f ca="1">IFERROR(__xludf.DUMMYFUNCTION("""COMPUTED_VALUE"""),1785)</f>
        <v>1785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IFERROR(__xludf.DUMMYFUNCTION("""COMPUTED_VALUE"""),"A.COM.DA ESC. EST. JOSE D. VASCONCELOS")</f>
        <v>A.COM.DA ESC. EST. JOSE D. VASCONCELOS</v>
      </c>
      <c r="D160" t="str">
        <f ca="1">IFERROR(__xludf.DUMMYFUNCTION("""COMPUTED_VALUE"""),"01068379000134")</f>
        <v>01068379000134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IFERROR(__xludf.DUMMYFUNCTION("""COMPUTED_VALUE"""),"69035")</f>
        <v>69035</v>
      </c>
      <c r="H160" s="8">
        <f ca="1">IFERROR(__xludf.DUMMYFUNCTION("""COMPUTED_VALUE"""),399)</f>
        <v>399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IFERROR(__xludf.DUMMYFUNCTION("""COMPUTED_VALUE"""),"A.P.M.A. ESC. CONV. ONESINA BANDEIRA")</f>
        <v>A.P.M.A. ESC. CONV. ONESINA BANDEIRA</v>
      </c>
      <c r="D161" t="str">
        <f ca="1">IFERROR(__xludf.DUMMYFUNCTION("""COMPUTED_VALUE"""),"01133700000117")</f>
        <v>01133700000117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IFERROR(__xludf.DUMMYFUNCTION("""COMPUTED_VALUE"""),"69051")</f>
        <v>69051</v>
      </c>
      <c r="H161" s="8">
        <f ca="1">IFERROR(__xludf.DUMMYFUNCTION("""COMPUTED_VALUE"""),399)</f>
        <v>399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IFERROR(__xludf.DUMMYFUNCTION("""COMPUTED_VALUE"""),"A.A.  DA ESCOLA ESTADUAL OSCAR SARDINHA")</f>
        <v>A.A.  DA ESCOLA ESTADUAL OSCAR SARDINHA</v>
      </c>
      <c r="D162" t="str">
        <f ca="1">IFERROR(__xludf.DUMMYFUNCTION("""COMPUTED_VALUE"""),"01197158000166")</f>
        <v>01197158000166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IFERROR(__xludf.DUMMYFUNCTION("""COMPUTED_VALUE"""),"6906X")</f>
        <v>6906X</v>
      </c>
      <c r="H162" s="8">
        <f ca="1">IFERROR(__xludf.DUMMYFUNCTION("""COMPUTED_VALUE"""),231)</f>
        <v>231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IFERROR(__xludf.DUMMYFUNCTION("""COMPUTED_VALUE"""),"Miranorte")</f>
        <v>Miranorte</v>
      </c>
      <c r="C163" t="str">
        <f ca="1">IFERROR(__xludf.DUMMYFUNCTION("""COMPUTED_VALUE"""),"ASSOC. COM. DO COL. RUI BRASIL CAVALCANTE")</f>
        <v>ASSOC. COM. DO COL. RUI BRASIL CAVALCANTE</v>
      </c>
      <c r="D163" t="str">
        <f ca="1">IFERROR(__xludf.DUMMYFUNCTION("""COMPUTED_VALUE"""),"01112765000186")</f>
        <v>01112765000186</v>
      </c>
      <c r="E163" t="str">
        <f ca="1">IFERROR(__xludf.DUMMYFUNCTION("""COMPUTED_VALUE"""),"001")</f>
        <v>001</v>
      </c>
      <c r="F163" t="str">
        <f ca="1">IFERROR(__xludf.DUMMYFUNCTION("""COMPUTED_VALUE"""),"4560")</f>
        <v>4560</v>
      </c>
      <c r="G163" t="str">
        <f ca="1">IFERROR(__xludf.DUMMYFUNCTION("""COMPUTED_VALUE"""),"78905")</f>
        <v>78905</v>
      </c>
      <c r="H163" s="8">
        <f ca="1">IFERROR(__xludf.DUMMYFUNCTION("""COMPUTED_VALUE"""),357)</f>
        <v>357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IFERROR(__xludf.DUMMYFUNCTION("""COMPUTED_VALUE"""),"Miranorte")</f>
        <v>Miranorte</v>
      </c>
      <c r="C164" t="str">
        <f ca="1">IFERROR(__xludf.DUMMYFUNCTION("""COMPUTED_VALUE"""),"A.A. C.E.NOSSA SENHORA DA PROVIDENCIA")</f>
        <v>A.A. C.E.NOSSA SENHORA DA PROVIDENCIA</v>
      </c>
      <c r="D164" t="str">
        <f ca="1">IFERROR(__xludf.DUMMYFUNCTION("""COMPUTED_VALUE"""),"01190186000151")</f>
        <v>01190186000151</v>
      </c>
      <c r="E164" t="str">
        <f ca="1">IFERROR(__xludf.DUMMYFUNCTION("""COMPUTED_VALUE"""),"001")</f>
        <v>001</v>
      </c>
      <c r="F164" t="str">
        <f ca="1">IFERROR(__xludf.DUMMYFUNCTION("""COMPUTED_VALUE"""),"4560")</f>
        <v>4560</v>
      </c>
      <c r="G164" t="str">
        <f ca="1">IFERROR(__xludf.DUMMYFUNCTION("""COMPUTED_VALUE"""),"7778X")</f>
        <v>7778X</v>
      </c>
      <c r="H164" s="8">
        <f ca="1">IFERROR(__xludf.DUMMYFUNCTION("""COMPUTED_VALUE"""),252)</f>
        <v>252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IFERROR(__xludf.DUMMYFUNCTION("""COMPUTED_VALUE"""),"Miranorte")</f>
        <v>Miranorte</v>
      </c>
      <c r="C165" t="str">
        <f ca="1">IFERROR(__xludf.DUMMYFUNCTION("""COMPUTED_VALUE"""),"A.A ESC. ESPECIAL CORAÇÃO DE MARIA")</f>
        <v>A.A ESC. ESPECIAL CORAÇÃO DE MARIA</v>
      </c>
      <c r="D165" t="str">
        <f ca="1">IFERROR(__xludf.DUMMYFUNCTION("""COMPUTED_VALUE"""),"07968866000130")</f>
        <v>07968866000130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IFERROR(__xludf.DUMMYFUNCTION("""COMPUTED_VALUE"""),"265217")</f>
        <v>265217</v>
      </c>
      <c r="H165" s="8">
        <f ca="1">IFERROR(__xludf.DUMMYFUNCTION("""COMPUTED_VALUE"""),1344)</f>
        <v>1344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IFERROR(__xludf.DUMMYFUNCTION("""COMPUTED_VALUE"""),"Rio dos Bois")</f>
        <v>Rio dos Bois</v>
      </c>
      <c r="C166" t="str">
        <f ca="1">IFERROR(__xludf.DUMMYFUNCTION("""COMPUTED_VALUE"""),"A.A. ESC EST DR. VALDECY PINHEIRO")</f>
        <v>A.A. ESC EST DR. VALDECY PINHEIRO</v>
      </c>
      <c r="D166" t="str">
        <f ca="1">IFERROR(__xludf.DUMMYFUNCTION("""COMPUTED_VALUE"""),"01079937000167")</f>
        <v>01079937000167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IFERROR(__xludf.DUMMYFUNCTION("""COMPUTED_VALUE"""),"69116")</f>
        <v>69116</v>
      </c>
      <c r="H166" s="8">
        <f ca="1">IFERROR(__xludf.DUMMYFUNCTION("""COMPUTED_VALUE"""),252)</f>
        <v>252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IFERROR(__xludf.DUMMYFUNCTION("""COMPUTED_VALUE"""),"Tocantinia")</f>
        <v>Tocantinia</v>
      </c>
      <c r="C167" t="str">
        <f ca="1">IFERROR(__xludf.DUMMYFUNCTION("""COMPUTED_VALUE"""),"ASS. APOIO AO CEM XERENTE WARA")</f>
        <v>ASS. APOIO AO CEM XERENTE WARA</v>
      </c>
      <c r="D167" t="str">
        <f ca="1">IFERROR(__xludf.DUMMYFUNCTION("""COMPUTED_VALUE"""),"07674098000101")</f>
        <v>07674098000101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IFERROR(__xludf.DUMMYFUNCTION("""COMPUTED_VALUE"""),"183407")</f>
        <v>183407</v>
      </c>
      <c r="H167" s="8">
        <f ca="1">IFERROR(__xludf.DUMMYFUNCTION("""COMPUTED_VALUE"""),441)</f>
        <v>441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IFERROR(__xludf.DUMMYFUNCTION("""COMPUTED_VALUE"""),"Tocantinia")</f>
        <v>Tocantinia</v>
      </c>
      <c r="C168" t="str">
        <f ca="1">IFERROR(__xludf.DUMMYFUNCTION("""COMPUTED_VALUE"""),"A.COM.DO COLEGIO FREI ANTONIO CONVENIADO")</f>
        <v>A.COM.DO COLEGIO FREI ANTONIO CONVENIADO</v>
      </c>
      <c r="D168" t="str">
        <f ca="1">IFERROR(__xludf.DUMMYFUNCTION("""COMPUTED_VALUE"""),"01066427000155")</f>
        <v>01066427000155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IFERROR(__xludf.DUMMYFUNCTION("""COMPUTED_VALUE"""),"68985")</f>
        <v>68985</v>
      </c>
      <c r="H168" s="8">
        <f ca="1">IFERROR(__xludf.DUMMYFUNCTION("""COMPUTED_VALUE"""),189)</f>
        <v>189</v>
      </c>
      <c r="I168" t="str">
        <v>AEE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IFERROR(__xludf.DUMMYFUNCTION("""COMPUTED_VALUE"""),"Aparecida do Rio Negro")</f>
        <v>Aparecida do Rio Negro</v>
      </c>
      <c r="C169" t="str">
        <f ca="1">IFERROR(__xludf.DUMMYFUNCTION("""COMPUTED_VALUE"""),"ASS. DE AP. DO COL. EST. MEIRA MATOS")</f>
        <v>ASS. DE AP. DO COL. EST. MEIRA MATOS</v>
      </c>
      <c r="D169" t="str">
        <f ca="1">IFERROR(__xludf.DUMMYFUNCTION("""COMPUTED_VALUE"""),"01186452000172")</f>
        <v>01186452000172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IFERROR(__xludf.DUMMYFUNCTION("""COMPUTED_VALUE"""),"327972")</f>
        <v>327972</v>
      </c>
      <c r="H169" s="8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IFERROR(__xludf.DUMMYFUNCTION("""COMPUTED_VALUE"""),"Lajeado")</f>
        <v>Lajeado</v>
      </c>
      <c r="C170" t="str">
        <f ca="1">IFERROR(__xludf.DUMMYFUNCTION("""COMPUTED_VALUE"""),"A.A. COM. E. E.N.SRA.DA PROVIDENCIA")</f>
        <v>A.A. COM. E. E.N.SRA.DA PROVIDENCIA</v>
      </c>
      <c r="D170" t="str">
        <f ca="1">IFERROR(__xludf.DUMMYFUNCTION("""COMPUTED_VALUE"""),"01138324000153")</f>
        <v>01138324000153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IFERROR(__xludf.DUMMYFUNCTION("""COMPUTED_VALUE"""),"69132")</f>
        <v>69132</v>
      </c>
      <c r="H170" s="8">
        <f ca="1">IFERROR(__xludf.DUMMYFUNCTION("""COMPUTED_VALUE"""),147)</f>
        <v>147</v>
      </c>
      <c r="I170" t="str">
        <v>AEE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IFERROR(__xludf.DUMMYFUNCTION("""COMPUTED_VALUE"""),"Novo Acordo")</f>
        <v>Novo Acordo</v>
      </c>
      <c r="C171" t="str">
        <f ca="1">IFERROR(__xludf.DUMMYFUNCTION("""COMPUTED_VALUE"""),"ASS. A. AO COL. EST. D. PEDRO I/N.ACORDO")</f>
        <v>ASS. A. AO COL. EST. D. PEDRO I/N.ACORDO</v>
      </c>
      <c r="D171" t="str">
        <f ca="1">IFERROR(__xludf.DUMMYFUNCTION("""COMPUTED_VALUE"""),"01133690000110")</f>
        <v>01133690000110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IFERROR(__xludf.DUMMYFUNCTION("""COMPUTED_VALUE"""),"157856")</f>
        <v>157856</v>
      </c>
      <c r="H171" s="8">
        <f ca="1">IFERROR(__xludf.DUMMYFUNCTION("""COMPUTED_VALUE"""),735)</f>
        <v>735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IFERROR(__xludf.DUMMYFUNCTION("""COMPUTED_VALUE"""),"Novo Acordo")</f>
        <v>Novo Acordo</v>
      </c>
      <c r="C172" t="str">
        <f ca="1">IFERROR(__xludf.DUMMYFUNCTION("""COMPUTED_VALUE"""),"A.A. DA ESC. EST.PEDRO MACEDO / N.ACORDO")</f>
        <v>A.A. DA ESC. EST.PEDRO MACEDO / N.ACORDO</v>
      </c>
      <c r="D172" t="str">
        <f ca="1">IFERROR(__xludf.DUMMYFUNCTION("""COMPUTED_VALUE"""),"01136004000164")</f>
        <v>01136004000164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IFERROR(__xludf.DUMMYFUNCTION("""COMPUTED_VALUE"""),"171166")</f>
        <v>171166</v>
      </c>
      <c r="H172" s="8">
        <f ca="1">IFERROR(__xludf.DUMMYFUNCTION("""COMPUTED_VALUE"""),336)</f>
        <v>336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IFERROR(__xludf.DUMMYFUNCTION("""COMPUTED_VALUE"""),"Palmas")</f>
        <v>Palmas</v>
      </c>
      <c r="C173" t="str">
        <f ca="1">IFERROR(__xludf.DUMMYFUNCTION("""COMPUTED_VALUE"""),"A. DE CONSELHO ESCOLAR DO CEM 305 NORTE")</f>
        <v>A. DE CONSELHO ESCOLAR DO CEM 305 NORTE</v>
      </c>
      <c r="D173" t="str">
        <f ca="1">IFERROR(__xludf.DUMMYFUNCTION("""COMPUTED_VALUE"""),"04701394000166")</f>
        <v>04701394000166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IFERROR(__xludf.DUMMYFUNCTION("""COMPUTED_VALUE"""),"455261")</f>
        <v>455261</v>
      </c>
      <c r="H173" s="8">
        <f ca="1">IFERROR(__xludf.DUMMYFUNCTION("""COMPUTED_VALUE"""),63)</f>
        <v>63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IFERROR(__xludf.DUMMYFUNCTION("""COMPUTED_VALUE"""),"Palmas")</f>
        <v>Palmas</v>
      </c>
      <c r="C174" t="str">
        <f ca="1">IFERROR(__xludf.DUMMYFUNCTION("""COMPUTED_VALUE"""),"ASSOC. DE APOIO COL. EST. DE TAQUARALTO")</f>
        <v>ASSOC. DE APOIO COL. EST. DE TAQUARALTO</v>
      </c>
      <c r="D174" t="str">
        <f ca="1">IFERROR(__xludf.DUMMYFUNCTION("""COMPUTED_VALUE"""),"03233677000168")</f>
        <v>03233677000168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IFERROR(__xludf.DUMMYFUNCTION("""COMPUTED_VALUE"""),"455059")</f>
        <v>455059</v>
      </c>
      <c r="H174" s="8">
        <f ca="1">IFERROR(__xludf.DUMMYFUNCTION("""COMPUTED_VALUE"""),315)</f>
        <v>315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IFERROR(__xludf.DUMMYFUNCTION("""COMPUTED_VALUE"""),"Palmas")</f>
        <v>Palmas</v>
      </c>
      <c r="C175" t="str">
        <f ca="1">IFERROR(__xludf.DUMMYFUNCTION("""COMPUTED_VALUE"""),"A.AP. DO COL. EST. SANTA RITA DE CASSIA")</f>
        <v>A.AP. DO COL. EST. SANTA RITA DE CASSIA</v>
      </c>
      <c r="D175" t="str">
        <f ca="1">IFERROR(__xludf.DUMMYFUNCTION("""COMPUTED_VALUE"""),"01955414000137")</f>
        <v>01955414000137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IFERROR(__xludf.DUMMYFUNCTION("""COMPUTED_VALUE"""),"256579")</f>
        <v>256579</v>
      </c>
      <c r="H175" s="8">
        <f ca="1">IFERROR(__xludf.DUMMYFUNCTION("""COMPUTED_VALUE"""),189)</f>
        <v>189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IFERROR(__xludf.DUMMYFUNCTION("""COMPUTED_VALUE"""),"ACE COL. EST. DUQUE DE CAXIAS")</f>
        <v>ACE COL. EST. DUQUE DE CAXIAS</v>
      </c>
      <c r="D176" t="str">
        <f ca="1">IFERROR(__xludf.DUMMYFUNCTION("""COMPUTED_VALUE"""),"01588669000109")</f>
        <v>01588669000109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IFERROR(__xludf.DUMMYFUNCTION("""COMPUTED_VALUE"""),"254002")</f>
        <v>254002</v>
      </c>
      <c r="H176" s="8">
        <f ca="1">IFERROR(__xludf.DUMMYFUNCTION("""COMPUTED_VALUE"""),378)</f>
        <v>378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IFERROR(__xludf.DUMMYFUNCTION("""COMPUTED_VALUE"""),"A.A. AO COLEGIO ESTADUAL SAO JOSE")</f>
        <v>A.A. AO COLEGIO ESTADUAL SAO JOSE</v>
      </c>
      <c r="D177" t="str">
        <f ca="1">IFERROR(__xludf.DUMMYFUNCTION("""COMPUTED_VALUE"""),"01913809000177")</f>
        <v>01913809000177</v>
      </c>
      <c r="E177" t="str">
        <f ca="1">IFERROR(__xludf.DUMMYFUNCTION("""COMPUTED_VALUE"""),"001")</f>
        <v>001</v>
      </c>
      <c r="F177" t="str">
        <f ca="1">IFERROR(__xludf.DUMMYFUNCTION("""COMPUTED_VALUE"""),"1886")</f>
        <v>1886</v>
      </c>
      <c r="G177" t="str">
        <f ca="1">IFERROR(__xludf.DUMMYFUNCTION("""COMPUTED_VALUE"""),"325252")</f>
        <v>325252</v>
      </c>
      <c r="H177" s="8">
        <f ca="1">IFERROR(__xludf.DUMMYFUNCTION("""COMPUTED_VALUE"""),504)</f>
        <v>504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IFERROR(__xludf.DUMMYFUNCTION("""COMPUTED_VALUE"""),"A.A. COL GIRASSOL TEMPO INTEGRAL RAQUEL QUEIROZ")</f>
        <v>A.A. COL GIRASSOL TEMPO INTEGRAL RAQUEL QUEIROZ</v>
      </c>
      <c r="D178" t="str">
        <f ca="1">IFERROR(__xludf.DUMMYFUNCTION("""COMPUTED_VALUE"""),"13748657000183")</f>
        <v>13748657000183</v>
      </c>
      <c r="E178" t="str">
        <f ca="1">IFERROR(__xludf.DUMMYFUNCTION("""COMPUTED_VALUE"""),"001")</f>
        <v>001</v>
      </c>
      <c r="F178" t="str">
        <f ca="1">IFERROR(__xludf.DUMMYFUNCTION("""COMPUTED_VALUE"""),"1867")</f>
        <v>1867</v>
      </c>
      <c r="G178" t="str">
        <f ca="1">IFERROR(__xludf.DUMMYFUNCTION("""COMPUTED_VALUE"""),"856312")</f>
        <v>856312</v>
      </c>
      <c r="H178" s="8">
        <f ca="1">IFERROR(__xludf.DUMMYFUNCTION("""COMPUTED_VALUE"""),441)</f>
        <v>441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IFERROR(__xludf.DUMMYFUNCTION("""COMPUTED_VALUE"""),"ASSOCIAÇÃO DE APOIO DA ESCOLA ESPECIAL INTEGRAÇÃO DE PALMAS")</f>
        <v>ASSOCIAÇÃO DE APOIO DA ESCOLA ESPECIAL INTEGRAÇÃO DE PALMAS</v>
      </c>
      <c r="D179" t="str">
        <f ca="1">IFERROR(__xludf.DUMMYFUNCTION("""COMPUTED_VALUE"""),"07958777000102")</f>
        <v>07958777000102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IFERROR(__xludf.DUMMYFUNCTION("""COMPUTED_VALUE"""),"385328")</f>
        <v>385328</v>
      </c>
      <c r="H179" s="8">
        <f ca="1">IFERROR(__xludf.DUMMYFUNCTION("""COMPUTED_VALUE"""),504)</f>
        <v>504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IFERROR(__xludf.DUMMYFUNCTION("""COMPUTED_VALUE"""),"A.P.E M. DA ESC. EST. MADRE BELEM")</f>
        <v>A.P.E M. DA ESC. EST. MADRE BELEM</v>
      </c>
      <c r="D180" t="str">
        <f ca="1">IFERROR(__xludf.DUMMYFUNCTION("""COMPUTED_VALUE"""),"01034134000196")</f>
        <v>01034134000196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IFERROR(__xludf.DUMMYFUNCTION("""COMPUTED_VALUE"""),"519855")</f>
        <v>519855</v>
      </c>
      <c r="H180" s="8">
        <f ca="1">IFERROR(__xludf.DUMMYFUNCTION("""COMPUTED_VALUE"""),252)</f>
        <v>252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IFERROR(__xludf.DUMMYFUNCTION("""COMPUTED_VALUE"""),"ACE UN.ESC. FREDEDERICO J. PEDRERA NETO")</f>
        <v>ACE UN.ESC. FREDEDERICO J. PEDRERA NETO</v>
      </c>
      <c r="D181" t="str">
        <f ca="1">IFERROR(__xludf.DUMMYFUNCTION("""COMPUTED_VALUE"""),"01862534000190")</f>
        <v>01862534000190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IFERROR(__xludf.DUMMYFUNCTION("""COMPUTED_VALUE"""),"1079972")</f>
        <v>1079972</v>
      </c>
      <c r="H181" s="8">
        <f ca="1">IFERROR(__xludf.DUMMYFUNCTION("""COMPUTED_VALUE"""),336)</f>
        <v>336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IFERROR(__xludf.DUMMYFUNCTION("""COMPUTED_VALUE"""),"A.CONS.ESCOLAR E. EST.I GRAU LIBERDADE")</f>
        <v>A.CONS.ESCOLAR E. EST.I GRAU LIBERDADE</v>
      </c>
      <c r="D182" t="str">
        <f ca="1">IFERROR(__xludf.DUMMYFUNCTION("""COMPUTED_VALUE"""),"01936355000150")</f>
        <v>01936355000150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IFERROR(__xludf.DUMMYFUNCTION("""COMPUTED_VALUE"""),"257028")</f>
        <v>257028</v>
      </c>
      <c r="H182" s="8">
        <f ca="1">IFERROR(__xludf.DUMMYFUNCTION("""COMPUTED_VALUE"""),462)</f>
        <v>462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IFERROR(__xludf.DUMMYFUNCTION("""COMPUTED_VALUE"""),"ASSOC APOIO ESC EST MARIA DOS REIS ALVES BARROS")</f>
        <v>ASSOC APOIO ESC EST MARIA DOS REIS ALVES BARROS</v>
      </c>
      <c r="D183" t="str">
        <f ca="1">IFERROR(__xludf.DUMMYFUNCTION("""COMPUTED_VALUE"""),"08641263000191")</f>
        <v>08641263000191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IFERROR(__xludf.DUMMYFUNCTION("""COMPUTED_VALUE"""),"413666")</f>
        <v>413666</v>
      </c>
      <c r="H183" s="8">
        <f ca="1">IFERROR(__xludf.DUMMYFUNCTION("""COMPUTED_VALUE"""),1281)</f>
        <v>1281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IFERROR(__xludf.DUMMYFUNCTION("""COMPUTED_VALUE"""),"A.COM. DA ESC. EST. NOVO HORIZONTE")</f>
        <v>A.COM. DA ESC. EST. NOVO HORIZONTE</v>
      </c>
      <c r="D184" t="str">
        <f ca="1">IFERROR(__xludf.DUMMYFUNCTION("""COMPUTED_VALUE"""),"01221539000133")</f>
        <v>01221539000133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IFERROR(__xludf.DUMMYFUNCTION("""COMPUTED_VALUE"""),"351687")</f>
        <v>351687</v>
      </c>
      <c r="H184" s="8">
        <f ca="1">IFERROR(__xludf.DUMMYFUNCTION("""COMPUTED_VALUE"""),693)</f>
        <v>693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IFERROR(__xludf.DUMMYFUNCTION("""COMPUTED_VALUE"""),"A.COMUN.ESCOLA-DA ESC. EST. SETOR SUL")</f>
        <v>A.COMUN.ESCOLA-DA ESC. EST. SETOR SUL</v>
      </c>
      <c r="D185" t="str">
        <f ca="1">IFERROR(__xludf.DUMMYFUNCTION("""COMPUTED_VALUE"""),"01926545000196")</f>
        <v>01926545000196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IFERROR(__xludf.DUMMYFUNCTION("""COMPUTED_VALUE"""),"258105")</f>
        <v>258105</v>
      </c>
      <c r="H185" s="8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IFERROR(__xludf.DUMMYFUNCTION("""COMPUTED_VALUE"""),"A.COMUNIDADE ESCOLA/E. EST. VALE DO SOL")</f>
        <v>A.COMUNIDADE ESCOLA/E. EST. VALE DO SOL</v>
      </c>
      <c r="D186" t="str">
        <f ca="1">IFERROR(__xludf.DUMMYFUNCTION("""COMPUTED_VALUE"""),"01873442000105")</f>
        <v>01873442000105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IFERROR(__xludf.DUMMYFUNCTION("""COMPUTED_VALUE"""),"256404")</f>
        <v>256404</v>
      </c>
      <c r="H186" s="8">
        <f ca="1">IFERROR(__xludf.DUMMYFUNCTION("""COMPUTED_VALUE"""),210)</f>
        <v>210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IFERROR(__xludf.DUMMYFUNCTION("""COMPUTED_VALUE"""),"A.P.M.DA ESC. EST. DE I GRAU VILA UNIAO")</f>
        <v>A.P.M.DA ESC. EST. DE I GRAU VILA UNIAO</v>
      </c>
      <c r="D187" t="str">
        <f ca="1">IFERROR(__xludf.DUMMYFUNCTION("""COMPUTED_VALUE"""),"01926551000143")</f>
        <v>01926551000143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IFERROR(__xludf.DUMMYFUNCTION("""COMPUTED_VALUE"""),"255734")</f>
        <v>255734</v>
      </c>
      <c r="H187" s="8">
        <f ca="1">IFERROR(__xludf.DUMMYFUNCTION("""COMPUTED_VALUE"""),315)</f>
        <v>315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IFERROR(__xludf.DUMMYFUNCTION("""COMPUTED_VALUE"""),"Rio Sono")</f>
        <v>Rio Sono</v>
      </c>
      <c r="C188" t="str">
        <f ca="1">IFERROR(__xludf.DUMMYFUNCTION("""COMPUTED_VALUE"""),"A. DE PAIS E MESTRES DO COL. EST.RIO SONO")</f>
        <v>A. DE PAIS E MESTRES DO COL. EST.RIO SONO</v>
      </c>
      <c r="D188" t="str">
        <f ca="1">IFERROR(__xludf.DUMMYFUNCTION("""COMPUTED_VALUE"""),"01184376000166")</f>
        <v>01184376000166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IFERROR(__xludf.DUMMYFUNCTION("""COMPUTED_VALUE"""),"530042")</f>
        <v>530042</v>
      </c>
      <c r="H188" s="8">
        <f ca="1">IFERROR(__xludf.DUMMYFUNCTION("""COMPUTED_VALUE"""),1218)</f>
        <v>1218</v>
      </c>
      <c r="I188" t="str">
        <v>AEE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IFERROR(__xludf.DUMMYFUNCTION("""COMPUTED_VALUE"""),"Barrolandia")</f>
        <v>Barrolandia</v>
      </c>
      <c r="C189" t="str">
        <f ca="1">IFERROR(__xludf.DUMMYFUNCTION("""COMPUTED_VALUE"""),"A..A. ESC. ESPECIAL AMOR DE DEUS")</f>
        <v>A..A. ESC. ESPECIAL AMOR DE DEUS</v>
      </c>
      <c r="D189" t="str">
        <f ca="1">IFERROR(__xludf.DUMMYFUNCTION("""COMPUTED_VALUE"""),"07935641000187")</f>
        <v>07935641000187</v>
      </c>
      <c r="E189" t="str">
        <f ca="1">IFERROR(__xludf.DUMMYFUNCTION("""COMPUTED_VALUE"""),"001")</f>
        <v>001</v>
      </c>
      <c r="F189" t="str">
        <f ca="1">IFERROR(__xludf.DUMMYFUNCTION("""COMPUTED_VALUE"""),"0804")</f>
        <v>0804</v>
      </c>
      <c r="G189" t="str">
        <f ca="1">IFERROR(__xludf.DUMMYFUNCTION("""COMPUTED_VALUE"""),"279501")</f>
        <v>279501</v>
      </c>
      <c r="H189" s="8">
        <f ca="1">IFERROR(__xludf.DUMMYFUNCTION("""COMPUTED_VALUE"""),252)</f>
        <v>252</v>
      </c>
      <c r="I189" t="str">
        <v>AEE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IFERROR(__xludf.DUMMYFUNCTION("""COMPUTED_VALUE"""),"Barrolandia")</f>
        <v>Barrolandia</v>
      </c>
      <c r="C190" t="str">
        <f ca="1">IFERROR(__xludf.DUMMYFUNCTION("""COMPUTED_VALUE"""),"ASS. APOIO DA ESC EST PAULINA CAMARA")</f>
        <v>ASS. APOIO DA ESC EST PAULINA CAMARA</v>
      </c>
      <c r="D190" t="str">
        <f ca="1">IFERROR(__xludf.DUMMYFUNCTION("""COMPUTED_VALUE"""),"01071402000140")</f>
        <v>01071402000140</v>
      </c>
      <c r="E190" t="str">
        <f ca="1">IFERROR(__xludf.DUMMYFUNCTION("""COMPUTED_VALUE"""),"001")</f>
        <v>001</v>
      </c>
      <c r="F190" t="str">
        <f ca="1">IFERROR(__xludf.DUMMYFUNCTION("""COMPUTED_VALUE"""),"0862")</f>
        <v>0862</v>
      </c>
      <c r="G190" t="str">
        <f ca="1">IFERROR(__xludf.DUMMYFUNCTION("""COMPUTED_VALUE"""),"68926")</f>
        <v>68926</v>
      </c>
      <c r="H190" s="8">
        <f ca="1">IFERROR(__xludf.DUMMYFUNCTION("""COMPUTED_VALUE"""),210)</f>
        <v>210</v>
      </c>
      <c r="I190" t="str">
        <v>AEE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IFERROR(__xludf.DUMMYFUNCTION("""COMPUTED_VALUE"""),"Cristalandia")</f>
        <v>Cristalandia</v>
      </c>
      <c r="C191" t="str">
        <f ca="1">IFERROR(__xludf.DUMMYFUNCTION("""COMPUTED_VALUE"""),"APAE DE CRISTALÂNDIA")</f>
        <v>APAE DE CRISTALÂNDIA</v>
      </c>
      <c r="D191" t="str">
        <f ca="1">IFERROR(__xludf.DUMMYFUNCTION("""COMPUTED_VALUE"""),"01995319000167")</f>
        <v>01995319000167</v>
      </c>
      <c r="E191" t="str">
        <f ca="1">IFERROR(__xludf.DUMMYFUNCTION("""COMPUTED_VALUE"""),"001")</f>
        <v>001</v>
      </c>
      <c r="F191" t="str">
        <f ca="1">IFERROR(__xludf.DUMMYFUNCTION("""COMPUTED_VALUE"""),"3638")</f>
        <v>3638</v>
      </c>
      <c r="G191" t="str">
        <f ca="1">IFERROR(__xludf.DUMMYFUNCTION("""COMPUTED_VALUE"""),"71315")</f>
        <v>71315</v>
      </c>
      <c r="H191" s="8">
        <f ca="1">IFERROR(__xludf.DUMMYFUNCTION("""COMPUTED_VALUE"""),609)</f>
        <v>609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IFERROR(__xludf.DUMMYFUNCTION("""COMPUTED_VALUE"""),"Cristalandia")</f>
        <v>Cristalandia</v>
      </c>
      <c r="C192" t="str">
        <f ca="1">IFERROR(__xludf.DUMMYFUNCTION("""COMPUTED_VALUE"""),"A.A. ESCOLA MUL.OTACILIO MARQUES ROSAL")</f>
        <v>A.A. ESCOLA MUL.OTACILIO MARQUES ROSAL</v>
      </c>
      <c r="D192" t="str">
        <f ca="1">IFERROR(__xludf.DUMMYFUNCTION("""COMPUTED_VALUE"""),"01071438000123")</f>
        <v>01071438000123</v>
      </c>
      <c r="E192" t="str">
        <f ca="1">IFERROR(__xludf.DUMMYFUNCTION("""COMPUTED_VALUE"""),"001")</f>
        <v>001</v>
      </c>
      <c r="F192" t="str">
        <f ca="1">IFERROR(__xludf.DUMMYFUNCTION("""COMPUTED_VALUE"""),"3638")</f>
        <v>3638</v>
      </c>
      <c r="G192" t="str">
        <f ca="1">IFERROR(__xludf.DUMMYFUNCTION("""COMPUTED_VALUE"""),"7120X")</f>
        <v>7120X</v>
      </c>
      <c r="H192" s="8">
        <f ca="1">IFERROR(__xludf.DUMMYFUNCTION("""COMPUTED_VALUE"""),273)</f>
        <v>273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IFERROR(__xludf.DUMMYFUNCTION("""COMPUTED_VALUE"""),"Lagoa da Confusao")</f>
        <v>Lagoa da Confusao</v>
      </c>
      <c r="C193" t="str">
        <f ca="1">IFERROR(__xludf.DUMMYFUNCTION("""COMPUTED_VALUE"""),"ASSOCIAÇÃO DA ESCOLA ESPECIAL LAGOA DA CONFUSÃO")</f>
        <v>ASSOCIAÇÃO DA ESCOLA ESPECIAL LAGOA DA CONFUSÃO</v>
      </c>
      <c r="D193" t="str">
        <f ca="1">IFERROR(__xludf.DUMMYFUNCTION("""COMPUTED_VALUE"""),"08755554000100")</f>
        <v>08755554000100</v>
      </c>
      <c r="E193" t="str">
        <f ca="1">IFERROR(__xludf.DUMMYFUNCTION("""COMPUTED_VALUE"""),"001")</f>
        <v>001</v>
      </c>
      <c r="F193" t="str">
        <f ca="1">IFERROR(__xludf.DUMMYFUNCTION("""COMPUTED_VALUE"""),"3983")</f>
        <v>3983</v>
      </c>
      <c r="G193" t="str">
        <f ca="1">IFERROR(__xludf.DUMMYFUNCTION("""COMPUTED_VALUE"""),"83712")</f>
        <v>83712</v>
      </c>
      <c r="H193" s="8">
        <f ca="1">IFERROR(__xludf.DUMMYFUNCTION("""COMPUTED_VALUE"""),567)</f>
        <v>567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IFERROR(__xludf.DUMMYFUNCTION("""COMPUTED_VALUE"""),"AAE. ESPECIAL LUZ DA VIDA")</f>
        <v>AAE. ESPECIAL LUZ DA VIDA</v>
      </c>
      <c r="D194" t="str">
        <f ca="1">IFERROR(__xludf.DUMMYFUNCTION("""COMPUTED_VALUE"""),"07905330000175")</f>
        <v>07905330000175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IFERROR(__xludf.DUMMYFUNCTION("""COMPUTED_VALUE"""),"331724")</f>
        <v>331724</v>
      </c>
      <c r="H194" s="8">
        <f ca="1">IFERROR(__xludf.DUMMYFUNCTION("""COMPUTED_VALUE"""),1365)</f>
        <v>1365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IFERROR(__xludf.DUMMYFUNCTION("""COMPUTED_VALUE"""),"ASS. DE APOIO ESC. EST. AMANCIO DE MORAES")</f>
        <v>ASS. DE APOIO ESC. EST. AMANCIO DE MORAES</v>
      </c>
      <c r="D195" t="str">
        <f ca="1">IFERROR(__xludf.DUMMYFUNCTION("""COMPUTED_VALUE"""),"01068375000156")</f>
        <v>01068375000156</v>
      </c>
      <c r="E195" t="str">
        <f ca="1">IFERROR(__xludf.DUMMYFUNCTION("""COMPUTED_VALUE"""),"104")</f>
        <v>104</v>
      </c>
      <c r="F195" t="str">
        <f ca="1">IFERROR(__xludf.DUMMYFUNCTION("""COMPUTED_VALUE"""),"1141")</f>
        <v>1141</v>
      </c>
      <c r="G195" t="str">
        <f ca="1">IFERROR(__xludf.DUMMYFUNCTION("""COMPUTED_VALUE"""),"308140")</f>
        <v>308140</v>
      </c>
      <c r="H195" s="8">
        <f ca="1">IFERROR(__xludf.DUMMYFUNCTION("""COMPUTED_VALUE"""),315)</f>
        <v>315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IFERROR(__xludf.DUMMYFUNCTION("""COMPUTED_VALUE"""),"Pium")</f>
        <v>Pium</v>
      </c>
      <c r="C196" t="str">
        <f ca="1">IFERROR(__xludf.DUMMYFUNCTION("""COMPUTED_VALUE"""),"A.A. COLEGIO ESTADUAL BARTOLOMEU BUENO")</f>
        <v>A.A. COLEGIO ESTADUAL BARTOLOMEU BUENO</v>
      </c>
      <c r="D196" t="str">
        <f ca="1">IFERROR(__xludf.DUMMYFUNCTION("""COMPUTED_VALUE"""),"01071436000134")</f>
        <v>01071436000134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IFERROR(__xludf.DUMMYFUNCTION("""COMPUTED_VALUE"""),"286206")</f>
        <v>286206</v>
      </c>
      <c r="H196" s="8">
        <f ca="1">IFERROR(__xludf.DUMMYFUNCTION("""COMPUTED_VALUE"""),210)</f>
        <v>210</v>
      </c>
      <c r="I196" t="str">
        <v>AEE</v>
      </c>
    </row>
    <row r="197" spans="1:9" ht="12.75">
      <c r="A197" t="str">
        <f ca="1">IFERROR(__xludf.DUMMYFUNCTION("""COMPUTED_VALUE"""),"Pedro Afonso")</f>
        <v>Pedro Afonso</v>
      </c>
      <c r="B197" t="str">
        <f ca="1">IFERROR(__xludf.DUMMYFUNCTION("""COMPUTED_VALUE"""),"Itacaja")</f>
        <v>Itacaja</v>
      </c>
      <c r="C197" t="str">
        <f ca="1">IFERROR(__xludf.DUMMYFUNCTION("""COMPUTED_VALUE"""),"ASSOC. APOIO ESC. EST. ALMEIDA SARDINHA")</f>
        <v>ASSOC. APOIO ESC. EST. ALMEIDA SARDINHA</v>
      </c>
      <c r="D197" t="str">
        <f ca="1">IFERROR(__xludf.DUMMYFUNCTION("""COMPUTED_VALUE"""),"01138335000133")</f>
        <v>01138335000133</v>
      </c>
      <c r="E197" t="str">
        <f ca="1">IFERROR(__xludf.DUMMYFUNCTION("""COMPUTED_VALUE"""),"001")</f>
        <v>001</v>
      </c>
      <c r="F197" t="str">
        <f ca="1">IFERROR(__xludf.DUMMYFUNCTION("""COMPUTED_VALUE"""),"2094")</f>
        <v>2094</v>
      </c>
      <c r="G197" t="str">
        <f ca="1">IFERROR(__xludf.DUMMYFUNCTION("""COMPUTED_VALUE"""),"466484")</f>
        <v>466484</v>
      </c>
      <c r="H197" s="8">
        <f ca="1">IFERROR(__xludf.DUMMYFUNCTION("""COMPUTED_VALUE"""),168)</f>
        <v>168</v>
      </c>
      <c r="I197" t="str">
        <v>AEE</v>
      </c>
    </row>
    <row r="198" spans="1:9" ht="12.75">
      <c r="A198" t="str">
        <f ca="1">IFERROR(__xludf.DUMMYFUNCTION("""COMPUTED_VALUE"""),"Pedro Afonso")</f>
        <v>Pedro Afonso</v>
      </c>
      <c r="B198" t="str">
        <f ca="1">IFERROR(__xludf.DUMMYFUNCTION("""COMPUTED_VALUE"""),"Pedro Afonso")</f>
        <v>Pedro Afonso</v>
      </c>
      <c r="C198" t="str">
        <f ca="1">IFERROR(__xludf.DUMMYFUNCTION("""COMPUTED_VALUE"""),"A.A. E. EST.IS.DA REG.DE ENS.DE GUARAI")</f>
        <v>A.A. E. EST.IS.DA REG.DE ENS.DE GUARAI</v>
      </c>
      <c r="D198" t="str">
        <f ca="1">IFERROR(__xludf.DUMMYFUNCTION("""COMPUTED_VALUE"""),"02508361000179")</f>
        <v>02508361000179</v>
      </c>
      <c r="E198" t="str">
        <f ca="1">IFERROR(__xludf.DUMMYFUNCTION("""COMPUTED_VALUE"""),"001")</f>
        <v>001</v>
      </c>
      <c r="F198" t="str">
        <f ca="1">IFERROR(__xludf.DUMMYFUNCTION("""COMPUTED_VALUE"""),"1595")</f>
        <v>1595</v>
      </c>
      <c r="G198" t="str">
        <f ca="1">IFERROR(__xludf.DUMMYFUNCTION("""COMPUTED_VALUE"""),"110663")</f>
        <v>110663</v>
      </c>
      <c r="H198" s="8">
        <f ca="1">IFERROR(__xludf.DUMMYFUNCTION("""COMPUTED_VALUE"""),63)</f>
        <v>63</v>
      </c>
      <c r="I198" t="str">
        <v>AEE</v>
      </c>
    </row>
    <row r="199" spans="1:9" ht="12.75">
      <c r="A199" t="str">
        <f ca="1">IFERROR(__xludf.DUMMYFUNCTION("""COMPUTED_VALUE"""),"Pedro Afonso")</f>
        <v>Pedro Afonso</v>
      </c>
      <c r="B199" t="str">
        <f ca="1">IFERROR(__xludf.DUMMYFUNCTION("""COMPUTED_VALUE"""),"Pedro Afonso")</f>
        <v>Pedro Afonso</v>
      </c>
      <c r="C199" t="str">
        <f ca="1">IFERROR(__xludf.DUMMYFUNCTION("""COMPUTED_VALUE"""),"A.A. ESCOLAR DO COLEGIO EST.CRISTO REI")</f>
        <v>A.A. ESCOLAR DO COLEGIO EST.CRISTO REI</v>
      </c>
      <c r="D199" t="str">
        <f ca="1">IFERROR(__xludf.DUMMYFUNCTION("""COMPUTED_VALUE"""),"02250658000187")</f>
        <v>02250658000187</v>
      </c>
      <c r="E199" t="str">
        <f ca="1">IFERROR(__xludf.DUMMYFUNCTION("""COMPUTED_VALUE"""),"001")</f>
        <v>001</v>
      </c>
      <c r="F199" t="str">
        <f ca="1">IFERROR(__xludf.DUMMYFUNCTION("""COMPUTED_VALUE"""),"1595")</f>
        <v>1595</v>
      </c>
      <c r="G199" t="str">
        <f ca="1">IFERROR(__xludf.DUMMYFUNCTION("""COMPUTED_VALUE"""),"66141")</f>
        <v>66141</v>
      </c>
      <c r="H199" s="8">
        <f ca="1">IFERROR(__xludf.DUMMYFUNCTION("""COMPUTED_VALUE"""),126)</f>
        <v>126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IFERROR(__xludf.DUMMYFUNCTION("""COMPUTED_VALUE"""),"Pedro Afonso")</f>
        <v>Pedro Afonso</v>
      </c>
      <c r="C200" t="str">
        <f ca="1">IFERROR(__xludf.DUMMYFUNCTION("""COMPUTED_VALUE"""),"ASSOCIAÇÃO DE PAIS E AMIGOS DOS EXCEPCIONAIS DE PEDRO AFONSO")</f>
        <v>ASSOCIAÇÃO DE PAIS E AMIGOS DOS EXCEPCIONAIS DE PEDRO AFONSO</v>
      </c>
      <c r="D200" t="str">
        <f ca="1">IFERROR(__xludf.DUMMYFUNCTION("""COMPUTED_VALUE"""),"04406588000139")</f>
        <v>04406588000139</v>
      </c>
      <c r="E200" t="str">
        <f ca="1">IFERROR(__xludf.DUMMYFUNCTION("""COMPUTED_VALUE"""),"001")</f>
        <v>001</v>
      </c>
      <c r="F200" t="str">
        <f ca="1">IFERROR(__xludf.DUMMYFUNCTION("""COMPUTED_VALUE"""),"1595")</f>
        <v>1595</v>
      </c>
      <c r="G200" t="str">
        <f ca="1">IFERROR(__xludf.DUMMYFUNCTION("""COMPUTED_VALUE"""),"119105")</f>
        <v>119105</v>
      </c>
      <c r="H200" s="8">
        <f ca="1">IFERROR(__xludf.DUMMYFUNCTION("""COMPUTED_VALUE"""),2688)</f>
        <v>2688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 DE PAIS E MEST. DA ESC. EST. ANA AMORIM")</f>
        <v>A. DE PAIS E MEST. DA ESC. EST. ANA AMORIM</v>
      </c>
      <c r="D201" t="str">
        <f ca="1">IFERROR(__xludf.DUMMYFUNCTION("""COMPUTED_VALUE"""),"01990364000129")</f>
        <v>01990364000129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IFERROR(__xludf.DUMMYFUNCTION("""COMPUTED_VALUE"""),"59722")</f>
        <v>59722</v>
      </c>
      <c r="H201" s="8">
        <f ca="1">IFERROR(__xludf.DUMMYFUNCTION("""COMPUTED_VALUE"""),294)</f>
        <v>294</v>
      </c>
      <c r="I201" t="str">
        <v>AEE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IFERROR(__xludf.DUMMYFUNCTION("""COMPUTED_VALUE"""),"Brejinho de Nazare")</f>
        <v>Brejinho de Nazare</v>
      </c>
      <c r="C202" t="str">
        <f ca="1">IFERROR(__xludf.DUMMYFUNCTION("""COMPUTED_VALUE"""),"AS.DE APOIO A ESC. EST. JONAS PEREIRA LIMA")</f>
        <v>AS.DE APOIO A ESC. EST. JONAS PEREIRA LIMA</v>
      </c>
      <c r="D202" t="str">
        <f ca="1">IFERROR(__xludf.DUMMYFUNCTION("""COMPUTED_VALUE"""),"01148459000108")</f>
        <v>01148459000108</v>
      </c>
      <c r="E202" t="str">
        <f ca="1">IFERROR(__xludf.DUMMYFUNCTION("""COMPUTED_VALUE"""),"001")</f>
        <v>001</v>
      </c>
      <c r="F202" t="str">
        <f ca="1">IFERROR(__xludf.DUMMYFUNCTION("""COMPUTED_VALUE"""),"3976")</f>
        <v>3976</v>
      </c>
      <c r="G202" t="str">
        <f ca="1">IFERROR(__xludf.DUMMYFUNCTION("""COMPUTED_VALUE"""),"80489")</f>
        <v>80489</v>
      </c>
      <c r="H202" s="8">
        <f ca="1">IFERROR(__xludf.DUMMYFUNCTION("""COMPUTED_VALUE"""),273)</f>
        <v>273</v>
      </c>
      <c r="I202" t="str">
        <v>AEE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IFERROR(__xludf.DUMMYFUNCTION("""COMPUTED_VALUE"""),"Fatima")</f>
        <v>Fatima</v>
      </c>
      <c r="C203" t="str">
        <f ca="1">IFERROR(__xludf.DUMMYFUNCTION("""COMPUTED_VALUE"""),"A.A. ESCOLA ESTADUAL CONCEICAO BRITO")</f>
        <v>A.A. ESCOLA ESTADUAL CONCEICAO BRITO</v>
      </c>
      <c r="D203" t="str">
        <f ca="1">IFERROR(__xludf.DUMMYFUNCTION("""COMPUTED_VALUE"""),"01268285000109")</f>
        <v>01268285000109</v>
      </c>
      <c r="E203" t="str">
        <f ca="1">IFERROR(__xludf.DUMMYFUNCTION("""COMPUTED_VALUE"""),"001")</f>
        <v>001</v>
      </c>
      <c r="F203" t="str">
        <f ca="1">IFERROR(__xludf.DUMMYFUNCTION("""COMPUTED_VALUE"""),"4107")</f>
        <v>4107</v>
      </c>
      <c r="G203" t="str">
        <f ca="1">IFERROR(__xludf.DUMMYFUNCTION("""COMPUTED_VALUE"""),"50911")</f>
        <v>50911</v>
      </c>
      <c r="H203" s="8">
        <f ca="1">IFERROR(__xludf.DUMMYFUNCTION("""COMPUTED_VALUE"""),210)</f>
        <v>210</v>
      </c>
      <c r="I203" t="str">
        <v>AEE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IFERROR(__xludf.DUMMYFUNCTION("""COMPUTED_VALUE"""),"Fatima")</f>
        <v>Fatima</v>
      </c>
      <c r="C204" t="str">
        <f ca="1">IFERROR(__xludf.DUMMYFUNCTION("""COMPUTED_VALUE"""),"ASSOC. DE APOIO A ESCOLA ESPECIAL RENASCER")</f>
        <v>ASSOC. DE APOIO A ESCOLA ESPECIAL RENASCER</v>
      </c>
      <c r="D204" t="str">
        <f ca="1">IFERROR(__xludf.DUMMYFUNCTION("""COMPUTED_VALUE"""),"11726757000183")</f>
        <v>11726757000183</v>
      </c>
      <c r="E204" t="str">
        <f ca="1">IFERROR(__xludf.DUMMYFUNCTION("""COMPUTED_VALUE"""),"001")</f>
        <v>001</v>
      </c>
      <c r="F204" t="str">
        <f ca="1">IFERROR(__xludf.DUMMYFUNCTION("""COMPUTED_VALUE"""),"4107")</f>
        <v>4107</v>
      </c>
      <c r="G204" t="str">
        <f ca="1">IFERROR(__xludf.DUMMYFUNCTION("""COMPUTED_VALUE"""),"7991X")</f>
        <v>7991X</v>
      </c>
      <c r="H204" s="8">
        <f ca="1">IFERROR(__xludf.DUMMYFUNCTION("""COMPUTED_VALUE"""),672)</f>
        <v>672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IFERROR(__xludf.DUMMYFUNCTION("""COMPUTED_VALUE"""),"Ipueiras")</f>
        <v>Ipueiras</v>
      </c>
      <c r="C205" t="str">
        <f ca="1">IFERROR(__xludf.DUMMYFUNCTION("""COMPUTED_VALUE"""),"ASSOC. DE APOIO DA ESC. EST. FELIX CAMOA")</f>
        <v>ASSOC. DE APOIO DA ESC. EST. FELIX CAMOA</v>
      </c>
      <c r="D205" t="str">
        <f ca="1">IFERROR(__xludf.DUMMYFUNCTION("""COMPUTED_VALUE"""),"01469443000199")</f>
        <v>01469443000199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IFERROR(__xludf.DUMMYFUNCTION("""COMPUTED_VALUE"""),"315052")</f>
        <v>315052</v>
      </c>
      <c r="H205" s="8">
        <f ca="1">IFERROR(__xludf.DUMMYFUNCTION("""COMPUTED_VALUE"""),126)</f>
        <v>126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IFERROR(__xludf.DUMMYFUNCTION("""COMPUTED_VALUE"""),"Monte do Carmo")</f>
        <v>Monte do Carmo</v>
      </c>
      <c r="C206" t="str">
        <f ca="1">IFERROR(__xludf.DUMMYFUNCTION("""COMPUTED_VALUE"""),"A.APOIO DA ESCOLA ESTADUAL MESTRA BELA")</f>
        <v>A.APOIO DA ESCOLA ESTADUAL MESTRA BELA</v>
      </c>
      <c r="D206" t="str">
        <f ca="1">IFERROR(__xludf.DUMMYFUNCTION("""COMPUTED_VALUE"""),"01071442000191")</f>
        <v>01071442000191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IFERROR(__xludf.DUMMYFUNCTION("""COMPUTED_VALUE"""),"31286X")</f>
        <v>31286X</v>
      </c>
      <c r="H206" s="8">
        <f ca="1">IFERROR(__xludf.DUMMYFUNCTION("""COMPUTED_VALUE"""),147)</f>
        <v>147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IFERROR(__xludf.DUMMYFUNCTION("""COMPUTED_VALUE"""),"Natividade")</f>
        <v>Natividade</v>
      </c>
      <c r="C207" t="str">
        <f ca="1">IFERROR(__xludf.DUMMYFUNCTION("""COMPUTED_VALUE"""),"ASSOC. DE APOIO A ESC. ESPECIAL TIA CORACI DE SENA FERNANDES")</f>
        <v>ASSOC. DE APOIO A ESC. ESPECIAL TIA CORACI DE SENA FERNANDES</v>
      </c>
      <c r="D207" t="str">
        <f ca="1">IFERROR(__xludf.DUMMYFUNCTION("""COMPUTED_VALUE"""),"17163914000176")</f>
        <v>17163914000176</v>
      </c>
      <c r="E207" t="str">
        <f ca="1">IFERROR(__xludf.DUMMYFUNCTION("""COMPUTED_VALUE"""),"001")</f>
        <v>001</v>
      </c>
      <c r="F207" t="str">
        <f ca="1">IFERROR(__xludf.DUMMYFUNCTION("""COMPUTED_VALUE"""),"2334")</f>
        <v>2334</v>
      </c>
      <c r="G207" t="str">
        <f ca="1">IFERROR(__xludf.DUMMYFUNCTION("""COMPUTED_VALUE"""),"19860")</f>
        <v>19860</v>
      </c>
      <c r="H207" s="8">
        <f ca="1">IFERROR(__xludf.DUMMYFUNCTION("""COMPUTED_VALUE"""),1029)</f>
        <v>1029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IFERROR(__xludf.DUMMYFUNCTION("""COMPUTED_VALUE"""),"Natividade")</f>
        <v>Natividade</v>
      </c>
      <c r="C208" t="str">
        <f ca="1">IFERROR(__xludf.DUMMYFUNCTION("""COMPUTED_VALUE"""),"ASS. APOIO ESC. EST. JOAQUIM LINO SUARTE")</f>
        <v>ASS. APOIO ESC. EST. JOAQUIM LINO SUARTE</v>
      </c>
      <c r="D208" t="str">
        <f ca="1">IFERROR(__xludf.DUMMYFUNCTION("""COMPUTED_VALUE"""),"01133708000183")</f>
        <v>01133708000183</v>
      </c>
      <c r="E208" t="str">
        <f ca="1">IFERROR(__xludf.DUMMYFUNCTION("""COMPUTED_VALUE"""),"003")</f>
        <v>003</v>
      </c>
      <c r="F208" t="str">
        <f ca="1">IFERROR(__xludf.DUMMYFUNCTION("""COMPUTED_VALUE"""),"0037")</f>
        <v>0037</v>
      </c>
      <c r="G208" t="str">
        <f ca="1">IFERROR(__xludf.DUMMYFUNCTION("""COMPUTED_VALUE"""),"0702670")</f>
        <v>0702670</v>
      </c>
      <c r="H208" s="8">
        <f ca="1">IFERROR(__xludf.DUMMYFUNCTION("""COMPUTED_VALUE"""),252)</f>
        <v>252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IFERROR(__xludf.DUMMYFUNCTION("""COMPUTED_VALUE"""),"Natividade")</f>
        <v>Natividade</v>
      </c>
      <c r="C209" t="str">
        <f ca="1">IFERROR(__xludf.DUMMYFUNCTION("""COMPUTED_VALUE"""),"A.A. E. EST.NOSSA SENHORA DE FATIMA")</f>
        <v>A.A. E. EST.NOSSA SENHORA DE FATIMA</v>
      </c>
      <c r="D209" t="str">
        <f ca="1">IFERROR(__xludf.DUMMYFUNCTION("""COMPUTED_VALUE"""),"01064860000151")</f>
        <v>01064860000151</v>
      </c>
      <c r="E209" t="str">
        <f ca="1">IFERROR(__xludf.DUMMYFUNCTION("""COMPUTED_VALUE"""),"003")</f>
        <v>003</v>
      </c>
      <c r="F209" t="str">
        <f ca="1">IFERROR(__xludf.DUMMYFUNCTION("""COMPUTED_VALUE"""),"0037")</f>
        <v>0037</v>
      </c>
      <c r="G209" t="str">
        <f ca="1">IFERROR(__xludf.DUMMYFUNCTION("""COMPUTED_VALUE"""),"0702646")</f>
        <v>0702646</v>
      </c>
      <c r="H209" s="8">
        <f ca="1">IFERROR(__xludf.DUMMYFUNCTION("""COMPUTED_VALUE"""),210)</f>
        <v>210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IFERROR(__xludf.DUMMYFUNCTION("""COMPUTED_VALUE"""),"Pindorama do Tocantins")</f>
        <v>Pindorama do Tocantins</v>
      </c>
      <c r="C210" t="str">
        <f ca="1">IFERROR(__xludf.DUMMYFUNCTION("""COMPUTED_VALUE"""),"A.A. E. E. DEP.JOSE A. DE ASSIS")</f>
        <v>A.A. E. E. DEP.JOSE A. DE ASSIS</v>
      </c>
      <c r="D210" t="str">
        <f ca="1">IFERROR(__xludf.DUMMYFUNCTION("""COMPUTED_VALUE"""),"01066411000142")</f>
        <v>01066411000142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IFERROR(__xludf.DUMMYFUNCTION("""COMPUTED_VALUE"""),"312770")</f>
        <v>312770</v>
      </c>
      <c r="H210" s="8">
        <f ca="1">IFERROR(__xludf.DUMMYFUNCTION("""COMPUTED_VALUE"""),231)</f>
        <v>231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IFERROR(__xludf.DUMMYFUNCTION("""COMPUTED_VALUE"""),"Ponte Alta do Tocantins")</f>
        <v>Ponte Alta do Tocantins</v>
      </c>
      <c r="C211" t="str">
        <f ca="1">IFERROR(__xludf.DUMMYFUNCTION("""COMPUTED_VALUE"""),"ASS. A. AO COL. EST. ODOLFO SOARES")</f>
        <v>ASS. A. AO COL. EST. ODOLFO SOARES</v>
      </c>
      <c r="D211" t="str">
        <f ca="1">IFERROR(__xludf.DUMMYFUNCTION("""COMPUTED_VALUE"""),"01342866000143")</f>
        <v>01342866000143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IFERROR(__xludf.DUMMYFUNCTION("""COMPUTED_VALUE"""),"333921")</f>
        <v>333921</v>
      </c>
      <c r="H211" s="8">
        <f ca="1">IFERROR(__xludf.DUMMYFUNCTION("""COMPUTED_VALUE"""),315)</f>
        <v>315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IFERROR(__xludf.DUMMYFUNCTION("""COMPUTED_VALUE"""),"Ponte Alta do Tocantins")</f>
        <v>Ponte Alta do Tocantins</v>
      </c>
      <c r="C212" t="str">
        <f ca="1">IFERROR(__xludf.DUMMYFUNCTION("""COMPUTED_VALUE"""),"ASS. DE APOIO A ESCOLA EST. ESPECIAL AMILSON FRAZÃO DOS REIS")</f>
        <v>ASS. DE APOIO A ESCOLA EST. ESPECIAL AMILSON FRAZÃO DOS REIS</v>
      </c>
      <c r="D212" t="str">
        <f ca="1">IFERROR(__xludf.DUMMYFUNCTION("""COMPUTED_VALUE"""),"20309905000155")</f>
        <v>20309905000155</v>
      </c>
      <c r="E212" t="str">
        <f ca="1">IFERROR(__xludf.DUMMYFUNCTION("""COMPUTED_VALUE"""),"001")</f>
        <v>001</v>
      </c>
      <c r="F212" t="str">
        <f ca="1">IFERROR(__xludf.DUMMYFUNCTION("""COMPUTED_VALUE"""),"1117")</f>
        <v>1117</v>
      </c>
      <c r="G212" t="str">
        <f ca="1">IFERROR(__xludf.DUMMYFUNCTION("""COMPUTED_VALUE"""),"567426")</f>
        <v>567426</v>
      </c>
      <c r="H212" s="8">
        <f ca="1">IFERROR(__xludf.DUMMYFUNCTION("""COMPUTED_VALUE"""),840)</f>
        <v>840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IFERROR(__xludf.DUMMYFUNCTION("""COMPUTED_VALUE"""),"ASSOC. DE APOIO AO CEM FELIX CAMOA I")</f>
        <v>ASSOC. DE APOIO AO CEM FELIX CAMOA I</v>
      </c>
      <c r="D213" t="str">
        <f ca="1">IFERROR(__xludf.DUMMYFUNCTION("""COMPUTED_VALUE"""),"01112476000187")</f>
        <v>01112476000187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IFERROR(__xludf.DUMMYFUNCTION("""COMPUTED_VALUE"""),"3050011")</f>
        <v>3050011</v>
      </c>
      <c r="H213" s="8">
        <f ca="1">IFERROR(__xludf.DUMMYFUNCTION("""COMPUTED_VALUE"""),126)</f>
        <v>126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IFERROR(__xludf.DUMMYFUNCTION("""COMPUTED_VALUE"""),"Porto Nacional")</f>
        <v>Porto Nacional</v>
      </c>
      <c r="C214" t="str">
        <f ca="1">IFERROR(__xludf.DUMMYFUNCTION("""COMPUTED_VALUE"""),"ASSOC. DE A.DO CEM PROFº. FLORÊNCIO AIRES DA SILVA")</f>
        <v>ASSOC. DE A.DO CEM PROFº. FLORÊNCIO AIRES DA SILVA</v>
      </c>
      <c r="D214" t="str">
        <f ca="1">IFERROR(__xludf.DUMMYFUNCTION("""COMPUTED_VALUE"""),"01138326000142")</f>
        <v>01138326000142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IFERROR(__xludf.DUMMYFUNCTION("""COMPUTED_VALUE"""),"5500X")</f>
        <v>5500X</v>
      </c>
      <c r="H214" s="8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IFERROR(__xludf.DUMMYFUNCTION("""COMPUTED_VALUE"""),"Porto Nacional")</f>
        <v>Porto Nacional</v>
      </c>
      <c r="C215" t="str">
        <f ca="1">IFERROR(__xludf.DUMMYFUNCTION("""COMPUTED_VALUE"""),"A. E. COM. ESC. CONV. ANGELICA R. ARANHA")</f>
        <v>A. E. COM. ESC. CONV. ANGELICA R. ARANHA</v>
      </c>
      <c r="D215" t="str">
        <f ca="1">IFERROR(__xludf.DUMMYFUNCTION("""COMPUTED_VALUE"""),"01075455000139")</f>
        <v>01075455000139</v>
      </c>
      <c r="E215" t="str">
        <f ca="1">IFERROR(__xludf.DUMMYFUNCTION("""COMPUTED_VALUE"""),"104")</f>
        <v>104</v>
      </c>
      <c r="F215" t="str">
        <f ca="1">IFERROR(__xludf.DUMMYFUNCTION("""COMPUTED_VALUE"""),"1829")</f>
        <v>1829</v>
      </c>
      <c r="G215" t="str">
        <f ca="1">IFERROR(__xludf.DUMMYFUNCTION("""COMPUTED_VALUE"""),"307313")</f>
        <v>307313</v>
      </c>
      <c r="H215" s="8">
        <f ca="1">IFERROR(__xludf.DUMMYFUNCTION("""COMPUTED_VALUE"""),273)</f>
        <v>273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IFERROR(__xludf.DUMMYFUNCTION("""COMPUTED_VALUE"""),"Porto Nacional")</f>
        <v>Porto Nacional</v>
      </c>
      <c r="C216" t="str">
        <f ca="1">IFERROR(__xludf.DUMMYFUNCTION("""COMPUTED_VALUE"""),"A.A. ESC. EST. DR.PEDRO LUDOVICO TEIXEIRA")</f>
        <v>A.A. ESC. EST. DR.PEDRO LUDOVICO TEIXEIRA</v>
      </c>
      <c r="D216" t="str">
        <f ca="1">IFERROR(__xludf.DUMMYFUNCTION("""COMPUTED_VALUE"""),"01135997000150")</f>
        <v>01135997000150</v>
      </c>
      <c r="E216" t="str">
        <f ca="1">IFERROR(__xludf.DUMMYFUNCTION("""COMPUTED_VALUE"""),"104")</f>
        <v>104</v>
      </c>
      <c r="F216" t="str">
        <f ca="1">IFERROR(__xludf.DUMMYFUNCTION("""COMPUTED_VALUE"""),"1829")</f>
        <v>1829</v>
      </c>
      <c r="G216" t="str">
        <f ca="1">IFERROR(__xludf.DUMMYFUNCTION("""COMPUTED_VALUE"""),"305949")</f>
        <v>305949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IFERROR(__xludf.DUMMYFUNCTION("""COMPUTED_VALUE"""),"A. ESCOL.COM. ESC. EST. MAL.ARTUR C.E SILVA")</f>
        <v>A. ESCOL.COM. ESC. EST. MAL.ARTUR C.E SILVA</v>
      </c>
      <c r="D217" t="str">
        <f ca="1">IFERROR(__xludf.DUMMYFUNCTION("""COMPUTED_VALUE"""),"01112763000197")</f>
        <v>01112763000197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IFERROR(__xludf.DUMMYFUNCTION("""COMPUTED_VALUE"""),"307364")</f>
        <v>307364</v>
      </c>
      <c r="H217" s="8">
        <f ca="1">IFERROR(__xludf.DUMMYFUNCTION("""COMPUTED_VALUE"""),105)</f>
        <v>105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IFERROR(__xludf.DUMMYFUNCTION("""COMPUTED_VALUE"""),"A.A.  ESCOLA ESTADUAL ALFREDO NASSER")</f>
        <v>A.A.  ESCOLA ESTADUAL ALFREDO NASSER</v>
      </c>
      <c r="D218" t="str">
        <f ca="1">IFERROR(__xludf.DUMMYFUNCTION("""COMPUTED_VALUE"""),"01251862000150")</f>
        <v>01251862000150</v>
      </c>
      <c r="E218" t="str">
        <f ca="1">IFERROR(__xludf.DUMMYFUNCTION("""COMPUTED_VALUE"""),"104")</f>
        <v>104</v>
      </c>
      <c r="F218" t="str">
        <f ca="1">IFERROR(__xludf.DUMMYFUNCTION("""COMPUTED_VALUE"""),"1829")</f>
        <v>1829</v>
      </c>
      <c r="G218" t="str">
        <f ca="1">IFERROR(__xludf.DUMMYFUNCTION("""COMPUTED_VALUE"""),"307410")</f>
        <v>307410</v>
      </c>
      <c r="H218" s="8">
        <f ca="1">IFERROR(__xludf.DUMMYFUNCTION("""COMPUTED_VALUE"""),168)</f>
        <v>168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ESC. COM./ESC. EST. D.DOMINGOS CARREROT")</f>
        <v>A. ESC. COM./ESC. EST. D.DOMINGOS CARREROT</v>
      </c>
      <c r="D219" t="str">
        <f ca="1">IFERROR(__xludf.DUMMYFUNCTION("""COMPUTED_VALUE"""),"00900197000115")</f>
        <v>00900197000115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IFERROR(__xludf.DUMMYFUNCTION("""COMPUTED_VALUE"""),"305914")</f>
        <v>305914</v>
      </c>
      <c r="H219" s="8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 A ESCOLA D. PEDRO II")</f>
        <v>A.A.  A ESCOLA D. PEDRO II</v>
      </c>
      <c r="D220" t="str">
        <f ca="1">IFERROR(__xludf.DUMMYFUNCTION("""COMPUTED_VALUE"""),"01133697000131")</f>
        <v>01133697000131</v>
      </c>
      <c r="E220" t="str">
        <f ca="1">IFERROR(__xludf.DUMMYFUNCTION("""COMPUTED_VALUE"""),"001")</f>
        <v>001</v>
      </c>
      <c r="F220" t="str">
        <f ca="1">IFERROR(__xludf.DUMMYFUNCTION("""COMPUTED_VALUE"""),"1117")</f>
        <v>1117</v>
      </c>
      <c r="G220" t="str">
        <f ca="1">IFERROR(__xludf.DUMMYFUNCTION("""COMPUTED_VALUE"""),"0313092")</f>
        <v>0313092</v>
      </c>
      <c r="H220" s="8">
        <f ca="1">IFERROR(__xludf.DUMMYFUNCTION("""COMPUTED_VALUE"""),399)</f>
        <v>399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IFERROR(__xludf.DUMMYFUNCTION("""COMPUTED_VALUE"""),"A.A. ESCOLA ESTADUAL IRMA ASPASIA")</f>
        <v>A.A. ESCOLA ESTADUAL IRMA ASPASIA</v>
      </c>
      <c r="D221" t="str">
        <f ca="1">IFERROR(__xludf.DUMMYFUNCTION("""COMPUTED_VALUE"""),"01136022000146")</f>
        <v>01136022000146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IFERROR(__xludf.DUMMYFUNCTION("""COMPUTED_VALUE"""),"307453")</f>
        <v>307453</v>
      </c>
      <c r="H221" s="8">
        <f ca="1">IFERROR(__xludf.DUMMYFUNCTION("""COMPUTED_VALUE"""),210)</f>
        <v>210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IFERROR(__xludf.DUMMYFUNCTION("""COMPUTED_VALUE"""),"A.A. DA ESC. EST. ALCIDES RODRIGUES AIRES")</f>
        <v>A.A. DA ESC. EST. ALCIDES RODRIGUES AIRES</v>
      </c>
      <c r="D222" t="str">
        <f ca="1">IFERROR(__xludf.DUMMYFUNCTION("""COMPUTED_VALUE"""),"03495455000113")</f>
        <v>03495455000113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IFERROR(__xludf.DUMMYFUNCTION("""COMPUTED_VALUE"""),"77143")</f>
        <v>77143</v>
      </c>
      <c r="H222" s="8">
        <f ca="1">IFERROR(__xludf.DUMMYFUNCTION("""COMPUTED_VALUE"""),294)</f>
        <v>294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E. E. PROFA. CARMENIA MATOS MAIA")</f>
        <v>A.A. E. E. PROFA. CARMENIA MATOS MAIA</v>
      </c>
      <c r="D223" t="str">
        <f ca="1">IFERROR(__xludf.DUMMYFUNCTION("""COMPUTED_VALUE"""),"01118897000115")</f>
        <v>01118897000115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IFERROR(__xludf.DUMMYFUNCTION("""COMPUTED_VALUE"""),"307399")</f>
        <v>307399</v>
      </c>
      <c r="H223" s="8">
        <f ca="1">IFERROR(__xludf.DUMMYFUNCTION("""COMPUTED_VALUE"""),357)</f>
        <v>357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IFERROR(__xludf.DUMMYFUNCTION("""COMPUTED_VALUE"""),"Santa Rosa do Tocantins")</f>
        <v>Santa Rosa do Tocantins</v>
      </c>
      <c r="C224" t="str">
        <f ca="1">IFERROR(__xludf.DUMMYFUNCTION("""COMPUTED_VALUE"""),"A.A. E. E.PROF.ZACHARIAS NUNES DA SILVEIRA")</f>
        <v>A.A. E. E.PROF.ZACHARIAS NUNES DA SILVEIRA</v>
      </c>
      <c r="D224" t="str">
        <f ca="1">IFERROR(__xludf.DUMMYFUNCTION("""COMPUTED_VALUE"""),"01066420000133")</f>
        <v>01066420000133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IFERROR(__xludf.DUMMYFUNCTION("""COMPUTED_VALUE"""),"0307461")</f>
        <v>0307461</v>
      </c>
      <c r="H224" s="8">
        <f ca="1">IFERROR(__xludf.DUMMYFUNCTION("""COMPUTED_VALUE"""),252)</f>
        <v>252</v>
      </c>
      <c r="I224" t="str">
        <v>AEE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IFERROR(__xludf.DUMMYFUNCTION("""COMPUTED_VALUE"""),"Angico")</f>
        <v>Angico</v>
      </c>
      <c r="C225" t="str">
        <f ca="1">IFERROR(__xludf.DUMMYFUNCTION("""COMPUTED_VALUE"""),"ASSOCIAÇÃO DE APOIO DO COL. EST. DULCE COELHO DE SOUSA")</f>
        <v>ASSOCIAÇÃO DE APOIO DO COL. EST. DULCE COELHO DE SOUSA</v>
      </c>
      <c r="D225" t="str">
        <f ca="1">IFERROR(__xludf.DUMMYFUNCTION("""COMPUTED_VALUE"""),"10800992000195")</f>
        <v>10800992000195</v>
      </c>
      <c r="E225" t="str">
        <f ca="1">IFERROR(__xludf.DUMMYFUNCTION("""COMPUTED_VALUE"""),"001")</f>
        <v>001</v>
      </c>
      <c r="F225" t="str">
        <f ca="1">IFERROR(__xludf.DUMMYFUNCTION("""COMPUTED_VALUE"""),"3973")</f>
        <v>3973</v>
      </c>
      <c r="G225" t="str">
        <f ca="1">IFERROR(__xludf.DUMMYFUNCTION("""COMPUTED_VALUE"""),"212792")</f>
        <v>212792</v>
      </c>
      <c r="H225" s="8">
        <f ca="1">IFERROR(__xludf.DUMMYFUNCTION("""COMPUTED_VALUE"""),357)</f>
        <v>357</v>
      </c>
      <c r="I225" t="str">
        <v>AEE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IFERROR(__xludf.DUMMYFUNCTION("""COMPUTED_VALUE"""),"Cachoeirinha")</f>
        <v>Cachoeirinha</v>
      </c>
      <c r="C226" t="str">
        <f ca="1">IFERROR(__xludf.DUMMYFUNCTION("""COMPUTED_VALUE"""),"A.A. E. EST. NOVA DA CACHOEIRINHA/RAIMUNDO NONATO TORRES")</f>
        <v>A.A. E. EST. NOVA DA CACHOEIRINHA/RAIMUNDO NONATO TORRES</v>
      </c>
      <c r="D226" t="str">
        <f ca="1">IFERROR(__xludf.DUMMYFUNCTION("""COMPUTED_VALUE"""),"01213535000103")</f>
        <v>01213535000103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IFERROR(__xludf.DUMMYFUNCTION("""COMPUTED_VALUE"""),"0217689")</f>
        <v>0217689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IFERROR(__xludf.DUMMYFUNCTION("""COMPUTED_VALUE"""),"darcinopolis")</f>
        <v>darcinopolis</v>
      </c>
      <c r="C227" t="str">
        <f ca="1">IFERROR(__xludf.DUMMYFUNCTION("""COMPUTED_VALUE"""),"A. APOIO COL. EST. JOSE DE SOUZA PORTO")</f>
        <v>A. APOIO COL. EST. JOSE DE SOUZA PORTO</v>
      </c>
      <c r="D227" t="str">
        <f ca="1">IFERROR(__xludf.DUMMYFUNCTION("""COMPUTED_VALUE"""),"01213532000170")</f>
        <v>01213532000170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IFERROR(__xludf.DUMMYFUNCTION("""COMPUTED_VALUE"""),"25739")</f>
        <v>25739</v>
      </c>
      <c r="H227" s="8">
        <f ca="1">IFERROR(__xludf.DUMMYFUNCTION("""COMPUTED_VALUE"""),525)</f>
        <v>525</v>
      </c>
      <c r="I227" t="str">
        <v>AEE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IFERROR(__xludf.DUMMYFUNCTION("""COMPUTED_VALUE"""),"Nazare")</f>
        <v>Nazare</v>
      </c>
      <c r="C228" t="str">
        <f ca="1">IFERROR(__xludf.DUMMYFUNCTION("""COMPUTED_VALUE"""),"A.DO COLEGIO EST.PRES.CASTELO BRANCO")</f>
        <v>A.DO COLEGIO EST.PRES.CASTELO BRANCO</v>
      </c>
      <c r="D228" t="str">
        <f ca="1">IFERROR(__xludf.DUMMYFUNCTION("""COMPUTED_VALUE"""),"01213522000134")</f>
        <v>01213522000134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IFERROR(__xludf.DUMMYFUNCTION("""COMPUTED_VALUE"""),"217859")</f>
        <v>217859</v>
      </c>
      <c r="H228" s="8">
        <f ca="1">IFERROR(__xludf.DUMMYFUNCTION("""COMPUTED_VALUE"""),441)</f>
        <v>441</v>
      </c>
      <c r="I228" t="str">
        <v>AEE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IFERROR(__xludf.DUMMYFUNCTION("""COMPUTED_VALUE"""),"Nazare")</f>
        <v>Nazare</v>
      </c>
      <c r="C229" t="str">
        <f ca="1">IFERROR(__xludf.DUMMYFUNCTION("""COMPUTED_VALUE"""),"ASSOC. DE APOIO A ESC. EST.ESPECIAL BEM VIVER")</f>
        <v>ASSOC. DE APOIO A ESC. EST.ESPECIAL BEM VIVER</v>
      </c>
      <c r="D229" t="str">
        <f ca="1">IFERROR(__xludf.DUMMYFUNCTION("""COMPUTED_VALUE"""),"10520927000106")</f>
        <v>10520927000106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IFERROR(__xludf.DUMMYFUNCTION("""COMPUTED_VALUE"""),"200336")</f>
        <v>200336</v>
      </c>
      <c r="H229" s="8">
        <f ca="1">IFERROR(__xludf.DUMMYFUNCTION("""COMPUTED_VALUE"""),21)</f>
        <v>21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IFERROR(__xludf.DUMMYFUNCTION("""COMPUTED_VALUE"""),"Palmeiras do Tocantins")</f>
        <v>Palmeiras do Tocantins</v>
      </c>
      <c r="C230" t="str">
        <f ca="1">IFERROR(__xludf.DUMMYFUNCTION("""COMPUTED_VALUE"""),"A. DE APOIO DA E. E. PE. CESARE LELLI")</f>
        <v>A. DE APOIO DA E. E. PE. CESARE LELLI</v>
      </c>
      <c r="D230" t="str">
        <f ca="1">IFERROR(__xludf.DUMMYFUNCTION("""COMPUTED_VALUE"""),"03778873000118")</f>
        <v>03778873000118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IFERROR(__xludf.DUMMYFUNCTION("""COMPUTED_VALUE"""),"82007")</f>
        <v>82007</v>
      </c>
      <c r="H230" s="8">
        <f ca="1">IFERROR(__xludf.DUMMYFUNCTION("""COMPUTED_VALUE"""),483)</f>
        <v>483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IFERROR(__xludf.DUMMYFUNCTION("""COMPUTED_VALUE"""),"ASSOC.PAIS E MESTRES COL. EST. DEP.DARCY MARINHO")</f>
        <v>ASSOC.PAIS E MESTRES COL. EST. DEP.DARCY MARINHO</v>
      </c>
      <c r="D231" t="str">
        <f ca="1">IFERROR(__xludf.DUMMYFUNCTION("""COMPUTED_VALUE"""),"01230236000187")</f>
        <v>01230236000187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IFERROR(__xludf.DUMMYFUNCTION("""COMPUTED_VALUE"""),"297410")</f>
        <v>297410</v>
      </c>
      <c r="H231" s="8">
        <f ca="1">IFERROR(__xludf.DUMMYFUNCTION("""COMPUTED_VALUE"""),462)</f>
        <v>462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IFERROR(__xludf.DUMMYFUNCTION("""COMPUTED_VALUE"""),"Tocantinopolis")</f>
        <v>Tocantinopolis</v>
      </c>
      <c r="C232" t="str">
        <f ca="1">IFERROR(__xludf.DUMMYFUNCTION("""COMPUTED_VALUE"""),"ASSOC. APOIO AO COLÉGIODOM ORIONE")</f>
        <v>ASSOC. APOIO AO COLÉGIODOM ORIONE</v>
      </c>
      <c r="D232" t="str">
        <f ca="1">IFERROR(__xludf.DUMMYFUNCTION("""COMPUTED_VALUE"""),"13033002000129")</f>
        <v>13033002000129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IFERROR(__xludf.DUMMYFUNCTION("""COMPUTED_VALUE"""),"254193")</f>
        <v>254193</v>
      </c>
      <c r="H232" s="8">
        <f ca="1">IFERROR(__xludf.DUMMYFUNCTION("""COMPUTED_VALUE"""),546)</f>
        <v>546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IFERROR(__xludf.DUMMYFUNCTION("""COMPUTED_VALUE"""),"Tocantinopolis")</f>
        <v>Tocantinopolis</v>
      </c>
      <c r="C233" t="str">
        <f ca="1">IFERROR(__xludf.DUMMYFUNCTION("""COMPUTED_VALUE"""),"A.A. DO COL.PADRAO/JOSÉ CARNEIRO DE BRITO")</f>
        <v>A.A. DO COL.PADRAO/JOSÉ CARNEIRO DE BRITO</v>
      </c>
      <c r="D233" t="str">
        <f ca="1">IFERROR(__xludf.DUMMYFUNCTION("""COMPUTED_VALUE"""),"03880040000163")</f>
        <v>03880040000163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IFERROR(__xludf.DUMMYFUNCTION("""COMPUTED_VALUE"""),"81884")</f>
        <v>81884</v>
      </c>
      <c r="H233" s="8">
        <f ca="1">IFERROR(__xludf.DUMMYFUNCTION("""COMPUTED_VALUE"""),378)</f>
        <v>378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IFERROR(__xludf.DUMMYFUNCTION("""COMPUTED_VALUE"""),"Tocantinopolis")</f>
        <v>Tocantinopolis</v>
      </c>
      <c r="C234" t="str">
        <f ca="1">IFERROR(__xludf.DUMMYFUNCTION("""COMPUTED_VALUE"""),"A.A. ESC. E. E.PROF.ALDENORA A.CORREIA")</f>
        <v>A.A. ESC. E. E.PROF.ALDENORA A.CORREIA</v>
      </c>
      <c r="D234" t="str">
        <f ca="1">IFERROR(__xludf.DUMMYFUNCTION("""COMPUTED_VALUE"""),"01213527000167")</f>
        <v>01213527000167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IFERROR(__xludf.DUMMYFUNCTION("""COMPUTED_VALUE"""),"58319")</f>
        <v>58319</v>
      </c>
      <c r="H234" s="8">
        <f ca="1">IFERROR(__xludf.DUMMYFUNCTION("""COMPUTED_VALUE"""),168)</f>
        <v>168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IFERROR(__xludf.DUMMYFUNCTION("""COMPUTED_VALUE"""),"Tocantinopolis")</f>
        <v>Tocantinopolis</v>
      </c>
      <c r="C235" t="str">
        <f ca="1">IFERROR(__xludf.DUMMYFUNCTION("""COMPUTED_VALUE"""),"A. PAIS DA ESC. EST. XV DE NOVEMBRO")</f>
        <v>A. PAIS DA ESC. EST. XV DE NOVEMBRO</v>
      </c>
      <c r="D235" t="str">
        <f ca="1">IFERROR(__xludf.DUMMYFUNCTION("""COMPUTED_VALUE"""),"01213520000145")</f>
        <v>01213520000145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IFERROR(__xludf.DUMMYFUNCTION("""COMPUTED_VALUE"""),"58238")</f>
        <v>58238</v>
      </c>
      <c r="H235" s="8">
        <f ca="1">IFERROR(__xludf.DUMMYFUNCTION("""COMPUTED_VALUE"""),441)</f>
        <v>441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IFERROR(__xludf.DUMMYFUNCTION("""COMPUTED_VALUE"""),"A. ESCOLAR COM. PE. GIULIANO MORETTI")</f>
        <v>A. ESCOLAR COM. PE. GIULIANO MORETTI</v>
      </c>
      <c r="D236" t="str">
        <f ca="1">IFERROR(__xludf.DUMMYFUNCTION("""COMPUTED_VALUE"""),"00900202000190")</f>
        <v>00900202000190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IFERROR(__xludf.DUMMYFUNCTION("""COMPUTED_VALUE"""),"217484")</f>
        <v>217484</v>
      </c>
      <c r="H236" s="8">
        <f ca="1">IFERROR(__xludf.DUMMYFUNCTION("""COMPUTED_VALUE"""),693)</f>
        <v>693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IFERROR(__xludf.DUMMYFUNCTION("""COMPUTED_VALUE"""),"A. DA ESCOLA PAROQUIAL CRISTO REI")</f>
        <v>A. DA ESCOLA PAROQUIAL CRISTO REI</v>
      </c>
      <c r="D237" t="str">
        <f ca="1">IFERROR(__xludf.DUMMYFUNCTION("""COMPUTED_VALUE"""),"02026329000157")</f>
        <v>02026329000157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IFERROR(__xludf.DUMMYFUNCTION("""COMPUTED_VALUE"""),"58149")</f>
        <v>58149</v>
      </c>
      <c r="H237" s="8">
        <f ca="1">IFERROR(__xludf.DUMMYFUNCTION("""COMPUTED_VALUE"""),609)</f>
        <v>609</v>
      </c>
      <c r="I237" t="str">
        <v>AEE</v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6" t="str">
        <f ca="1">IFERROR(__xludf.DUMMYFUNCTION("QUERY(REP_EST_PARC!A5:Z1000,""SELECT A,B,C,D,E,F,G,N WHERE N&gt;0 label N 'ENS MEDIO PARCIAL'"")"),"Araguaina")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7" t="str">
        <f ca="1">IFERROR(__xludf.DUMMYFUNCTION("""COMPUTED_VALUE"""),"ENS MEDIO PARCIAL")</f>
        <v>ENS MEDIO PARCIAL</v>
      </c>
      <c r="I1" s="22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IFERROR(__xludf.DUMMYFUNCTION("""COMPUTED_VALUE"""),"A.A. ESC. EST. PRES. COSTA E SILVA")</f>
        <v>A.A. ESC. EST. PRES. COSTA E SILVA</v>
      </c>
      <c r="D2" t="str">
        <f ca="1">IFERROR(__xludf.DUMMYFUNCTION("""COMPUTED_VALUE"""),"02026325000179")</f>
        <v>02026325000179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IFERROR(__xludf.DUMMYFUNCTION("""COMPUTED_VALUE"""),"55786")</f>
        <v>55786</v>
      </c>
      <c r="H2" s="8">
        <f ca="1">IFERROR(__xludf.DUMMYFUNCTION("""COMPUTED_VALUE"""),735)</f>
        <v>735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IFERROR(__xludf.DUMMYFUNCTION("""COMPUTED_VALUE"""),"Aragominas")</f>
        <v>Aragominas</v>
      </c>
      <c r="C3" t="str">
        <f ca="1">IFERROR(__xludf.DUMMYFUNCTION("""COMPUTED_VALUE"""),"ASSOCIAÇÃO DE APOIO DO COL. EST.GETULIO VARGAS")</f>
        <v>ASSOCIAÇÃO DE APOIO DO COL. EST.GETULIO VARGAS</v>
      </c>
      <c r="D3" t="str">
        <f ca="1">IFERROR(__xludf.DUMMYFUNCTION("""COMPUTED_VALUE"""),"01918914000107")</f>
        <v>01918914000107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IFERROR(__xludf.DUMMYFUNCTION("""COMPUTED_VALUE"""),"83224")</f>
        <v>83224</v>
      </c>
      <c r="H3" s="8">
        <f ca="1">IFERROR(__xludf.DUMMYFUNCTION("""COMPUTED_VALUE"""),2310)</f>
        <v>2310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A.  DO COLÉGIO DA POLICIA MILITAR - UNIDADE III")</f>
        <v>ASSOC. A.  DO COLÉGIO DA POLICIA MILITAR - UNIDADE III</v>
      </c>
      <c r="D4" t="str">
        <f ca="1">IFERROR(__xludf.DUMMYFUNCTION("""COMPUTED_VALUE"""),"02480178000102")</f>
        <v>02480178000102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IFERROR(__xludf.DUMMYFUNCTION("""COMPUTED_VALUE"""),"552291")</f>
        <v>552291</v>
      </c>
      <c r="H4" s="8">
        <f ca="1">IFERROR(__xludf.DUMMYFUNCTION("""COMPUTED_VALUE"""),17913)</f>
        <v>17913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 APOIO DO COLEGIO DE APLICACAO")</f>
        <v>A. APOIO DO COLEGIO DE APLICACAO</v>
      </c>
      <c r="D5" t="str">
        <f ca="1">IFERROR(__xludf.DUMMYFUNCTION("""COMPUTED_VALUE"""),"01086986000127")</f>
        <v>01086986000127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IFERROR(__xludf.DUMMYFUNCTION("""COMPUTED_VALUE"""),"0465275")</f>
        <v>0465275</v>
      </c>
      <c r="H5" s="8">
        <f ca="1">IFERROR(__xludf.DUMMYFUNCTION("""COMPUTED_VALUE"""),5607)</f>
        <v>5607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 ADOLFO BEZERRA DE MENEZES")</f>
        <v>A.A. C.E.  ADOLFO BEZERRA DE MENEZES</v>
      </c>
      <c r="D6" t="str">
        <f ca="1">IFERROR(__xludf.DUMMYFUNCTION("""COMPUTED_VALUE"""),"01071435000190")</f>
        <v>01071435000190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IFERROR(__xludf.DUMMYFUNCTION("""COMPUTED_VALUE"""),"463426")</f>
        <v>463426</v>
      </c>
      <c r="H6" s="8">
        <f ca="1">IFERROR(__xludf.DUMMYFUNCTION("""COMPUTED_VALUE"""),10542)</f>
        <v>10542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ESCOLA EST. CAMPOS BRASIL")</f>
        <v>A. APOIO ESCOLA EST. CAMPOS BRASIL</v>
      </c>
      <c r="D7" t="str">
        <f ca="1">IFERROR(__xludf.DUMMYFUNCTION("""COMPUTED_VALUE"""),"01291177000157")</f>
        <v>01291177000157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IFERROR(__xludf.DUMMYFUNCTION("""COMPUTED_VALUE"""),"466093")</f>
        <v>466093</v>
      </c>
      <c r="H7" s="8">
        <f ca="1">IFERROR(__xludf.DUMMYFUNCTION("""COMPUTED_VALUE"""),12789)</f>
        <v>12789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COL. ESTADUAL GUILHERME DOURADO")</f>
        <v>A.A. COL. ESTADUAL GUILHERME DOURADO</v>
      </c>
      <c r="D8" t="str">
        <f ca="1">IFERROR(__xludf.DUMMYFUNCTION("""COMPUTED_VALUE"""),"01257074000170")</f>
        <v>01257074000170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IFERROR(__xludf.DUMMYFUNCTION("""COMPUTED_VALUE"""),"0068659")</f>
        <v>0068659</v>
      </c>
      <c r="H8" s="8">
        <f ca="1">IFERROR(__xludf.DUMMYFUNCTION("""COMPUTED_VALUE"""),31857)</f>
        <v>31857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IFERROR(__xludf.DUMMYFUNCTION("""COMPUTED_VALUE"""),"ASS. APOIO COL. EST. JARDIM PAULISTA")</f>
        <v>ASS. APOIO COL. EST. JARDIM PAULISTA</v>
      </c>
      <c r="D9" t="str">
        <f ca="1">IFERROR(__xludf.DUMMYFUNCTION("""COMPUTED_VALUE"""),"05502542000186")</f>
        <v>05502542000186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IFERROR(__xludf.DUMMYFUNCTION("""COMPUTED_VALUE"""),"243876")</f>
        <v>243876</v>
      </c>
      <c r="H9" s="8">
        <f ca="1">IFERROR(__xludf.DUMMYFUNCTION("""COMPUTED_VALUE"""),10017)</f>
        <v>10017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IFERROR(__xludf.DUMMYFUNCTION("""COMPUTED_VALUE"""),"A.APOIO COL. ESTADUAL JORGE AMADO")</f>
        <v>A.APOIO COL. ESTADUAL JORGE AMADO</v>
      </c>
      <c r="D10" t="str">
        <f ca="1">IFERROR(__xludf.DUMMYFUNCTION("""COMPUTED_VALUE"""),"01291218000105")</f>
        <v>01291218000105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IFERROR(__xludf.DUMMYFUNCTION("""COMPUTED_VALUE"""),"0467006")</f>
        <v>0467006</v>
      </c>
      <c r="H10" s="8">
        <f ca="1">IFERROR(__xludf.DUMMYFUNCTION("""COMPUTED_VALUE"""),6279)</f>
        <v>6279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PROF. SILVANDIRA SOUSA LIMA")</f>
        <v>A.A. C.E.  PROF. SILVANDIRA SOUSA LIMA</v>
      </c>
      <c r="D11" t="str">
        <f ca="1">IFERROR(__xludf.DUMMYFUNCTION("""COMPUTED_VALUE"""),"01071403000194")</f>
        <v>01071403000194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IFERROR(__xludf.DUMMYFUNCTION("""COMPUTED_VALUE"""),"0463922")</f>
        <v>0463922</v>
      </c>
      <c r="H11" s="8">
        <f ca="1">IFERROR(__xludf.DUMMYFUNCTION("""COMPUTED_VALUE"""),9156)</f>
        <v>9156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DEP.FED.JOSE A. DE ASSIS")</f>
        <v>A.A. ESC. EST. DEP.FED.JOSE A. DE ASSIS</v>
      </c>
      <c r="D12" t="str">
        <f ca="1">IFERROR(__xludf.DUMMYFUNCTION("""COMPUTED_VALUE"""),"01186464000105")</f>
        <v>01186464000105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IFERROR(__xludf.DUMMYFUNCTION("""COMPUTED_VALUE"""),"465089")</f>
        <v>465089</v>
      </c>
      <c r="H12" s="8">
        <f ca="1">IFERROR(__xludf.DUMMYFUNCTION("""COMPUTED_VALUE"""),9198)</f>
        <v>9198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E.FRANCISCO MAXIMO DE SOUZA")</f>
        <v>A.A. ESC. E.FRANCISCO MAXIMO DE SOUZA</v>
      </c>
      <c r="D13" t="str">
        <f ca="1">IFERROR(__xludf.DUMMYFUNCTION("""COMPUTED_VALUE"""),"01345127000105")</f>
        <v>01345127000105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IFERROR(__xludf.DUMMYFUNCTION("""COMPUTED_VALUE"""),"0463167")</f>
        <v>0463167</v>
      </c>
      <c r="H13" s="8">
        <f ca="1">IFERROR(__xludf.DUMMYFUNCTION("""COMPUTED_VALUE"""),6657)</f>
        <v>6657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HENRIQUE CIRQUEIRA AMORIM")</f>
        <v>A.A. ESC. HENRIQUE CIRQUEIRA AMORIM</v>
      </c>
      <c r="D14" t="str">
        <f ca="1">IFERROR(__xludf.DUMMYFUNCTION("""COMPUTED_VALUE"""),"01088234000103")</f>
        <v>01088234000103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IFERROR(__xludf.DUMMYFUNCTION("""COMPUTED_VALUE"""),"0465194")</f>
        <v>0465194</v>
      </c>
      <c r="H14" s="8">
        <f ca="1">IFERROR(__xludf.DUMMYFUNCTION("""COMPUTED_VALUE"""),4893)</f>
        <v>4893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EST. MANOEL GOMES DA CUNHA")</f>
        <v>A.A. ESC. EST. MANOEL GOMES DA CUNHA</v>
      </c>
      <c r="D15" t="str">
        <f ca="1">IFERROR(__xludf.DUMMYFUNCTION("""COMPUTED_VALUE"""),"01443216000194")</f>
        <v>01443216000194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IFERROR(__xludf.DUMMYFUNCTION("""COMPUTED_VALUE"""),"0468355")</f>
        <v>0468355</v>
      </c>
      <c r="H15" s="8">
        <f ca="1">IFERROR(__xludf.DUMMYFUNCTION("""COMPUTED_VALUE"""),3507)</f>
        <v>3507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IFERROR(__xludf.DUMMYFUNCTION("""COMPUTED_VALUE"""),"Araguana")</f>
        <v>Araguana</v>
      </c>
      <c r="C16" t="str">
        <f ca="1">IFERROR(__xludf.DUMMYFUNCTION("""COMPUTED_VALUE"""),"ASS. APOIO ESC. EST. MACHADO DE ASSIS")</f>
        <v>ASS. APOIO ESC. EST. MACHADO DE ASSIS</v>
      </c>
      <c r="D16" t="str">
        <f ca="1">IFERROR(__xludf.DUMMYFUNCTION("""COMPUTED_VALUE"""),"01243663000108")</f>
        <v>01243663000108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IFERROR(__xludf.DUMMYFUNCTION("""COMPUTED_VALUE"""),"322091")</f>
        <v>322091</v>
      </c>
      <c r="H16" s="8">
        <f ca="1">IFERROR(__xludf.DUMMYFUNCTION("""COMPUTED_VALUE"""),4578)</f>
        <v>4578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8">
        <f ca="1">IFERROR(__xludf.DUMMYFUNCTION("""COMPUTED_VALUE"""),1281)</f>
        <v>1281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IFERROR(__xludf.DUMMYFUNCTION("""COMPUTED_VALUE"""),"A.PAIS E M.C.E.LEOPOLDO DE BULHOES")</f>
        <v>A.PAIS E M.C.E.LEOPOLDO DE BULHOES</v>
      </c>
      <c r="D18" t="str">
        <f ca="1">IFERROR(__xludf.DUMMYFUNCTION("""COMPUTED_VALUE"""),"01146116000104")</f>
        <v>01146116000104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IFERROR(__xludf.DUMMYFUNCTION("""COMPUTED_VALUE"""),"465232")</f>
        <v>465232</v>
      </c>
      <c r="H18" s="8">
        <f ca="1">IFERROR(__xludf.DUMMYFUNCTION("""COMPUTED_VALUE"""),4977)</f>
        <v>4977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IFERROR(__xludf.DUMMYFUNCTION("""COMPUTED_VALUE"""),"A.A. ESCOLA ESTADUAL RUI BARBOSA")</f>
        <v>A.A. ESCOLA ESTADUAL RUI BARBOSA</v>
      </c>
      <c r="D19" t="str">
        <f ca="1">IFERROR(__xludf.DUMMYFUNCTION("""COMPUTED_VALUE"""),"01181184000104")</f>
        <v>01181184000104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IFERROR(__xludf.DUMMYFUNCTION("""COMPUTED_VALUE"""),"477117")</f>
        <v>477117</v>
      </c>
      <c r="H19" s="8">
        <f ca="1">IFERROR(__xludf.DUMMYFUNCTION("""COMPUTED_VALUE"""),2184)</f>
        <v>2184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IFERROR(__xludf.DUMMYFUNCTION("""COMPUTED_VALUE"""),"A.A. A ESCOLA ESTADUAL BREJAO")</f>
        <v>A.A. A ESCOLA ESTADUAL BREJAO</v>
      </c>
      <c r="D20" t="str">
        <f ca="1">IFERROR(__xludf.DUMMYFUNCTION("""COMPUTED_VALUE"""),"02392799000134")</f>
        <v>02392799000134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IFERROR(__xludf.DUMMYFUNCTION("""COMPUTED_VALUE"""),"83615")</f>
        <v>83615</v>
      </c>
      <c r="H20" s="8">
        <f ca="1">IFERROR(__xludf.DUMMYFUNCTION("""COMPUTED_VALUE"""),1680)</f>
        <v>1680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IFERROR(__xludf.DUMMYFUNCTION("""COMPUTED_VALUE"""),"A.COM. ESC. EST. BARRA DO OURO/PROF. VICENTE JOSÉ VIEIRA")</f>
        <v>A.COM. ESC. EST. BARRA DO OURO/PROF. VICENTE JOSÉ VIEIRA</v>
      </c>
      <c r="D21" t="str">
        <f ca="1">IFERROR(__xludf.DUMMYFUNCTION("""COMPUTED_VALUE"""),"01341481000161")</f>
        <v>01341481000161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IFERROR(__xludf.DUMMYFUNCTION("""COMPUTED_VALUE"""),"0069973")</f>
        <v>0069973</v>
      </c>
      <c r="H21" s="8">
        <f ca="1">IFERROR(__xludf.DUMMYFUNCTION("""COMPUTED_VALUE"""),2940)</f>
        <v>2940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IFERROR(__xludf.DUMMYFUNCTION("""COMPUTED_VALUE"""),"Campos Lindos")</f>
        <v>Campos Lindos</v>
      </c>
      <c r="C22" t="str">
        <f ca="1">IFERROR(__xludf.DUMMYFUNCTION("""COMPUTED_VALUE"""),"A.A. DA ESC. EST. MANOEL ALVES GRANDE")</f>
        <v>A.A. DA ESC. EST. MANOEL ALVES GRANDE</v>
      </c>
      <c r="D22" t="str">
        <f ca="1">IFERROR(__xludf.DUMMYFUNCTION("""COMPUTED_VALUE"""),"02199744000102")</f>
        <v>02199744000102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IFERROR(__xludf.DUMMYFUNCTION("""COMPUTED_VALUE"""),"0130117")</f>
        <v>0130117</v>
      </c>
      <c r="H22" s="8">
        <f ca="1">IFERROR(__xludf.DUMMYFUNCTION("""COMPUTED_VALUE"""),9891)</f>
        <v>9891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IFERROR(__xludf.DUMMYFUNCTION("""COMPUTED_VALUE"""),"Carmolandia")</f>
        <v>Carmolandia</v>
      </c>
      <c r="C23" t="str">
        <f ca="1">IFERROR(__xludf.DUMMYFUNCTION("""COMPUTED_VALUE"""),"A.A. E. EST. BARTOLOMEU BUENO DA SILVA")</f>
        <v>A.A. E. EST. BARTOLOMEU BUENO DA SILVA</v>
      </c>
      <c r="D23" t="str">
        <f ca="1">IFERROR(__xludf.DUMMYFUNCTION("""COMPUTED_VALUE"""),"01181172000171")</f>
        <v>01181172000171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IFERROR(__xludf.DUMMYFUNCTION("""COMPUTED_VALUE"""),"0465038")</f>
        <v>0465038</v>
      </c>
      <c r="H23" s="8">
        <f ca="1">IFERROR(__xludf.DUMMYFUNCTION("""COMPUTED_VALUE"""),2079)</f>
        <v>2079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IFERROR(__xludf.DUMMYFUNCTION("""COMPUTED_VALUE"""),"A.A. DO COL.MUNICIPAL DE FILADELFIA")</f>
        <v>A.A. DO COL.MUNICIPAL DE FILADELFIA</v>
      </c>
      <c r="D24" t="str">
        <f ca="1">IFERROR(__xludf.DUMMYFUNCTION("""COMPUTED_VALUE"""),"02189621000190")</f>
        <v>02189621000190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IFERROR(__xludf.DUMMYFUNCTION("""COMPUTED_VALUE"""),"54127")</f>
        <v>54127</v>
      </c>
      <c r="H24" s="8">
        <f ca="1">IFERROR(__xludf.DUMMYFUNCTION("""COMPUTED_VALUE"""),4725)</f>
        <v>4725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ESC EST PROFESSOR JOSÉ FRANCISCO DOS MONTES")</f>
        <v>A.A. ESC EST PROFESSOR JOSÉ FRANCISCO DOS MONTES</v>
      </c>
      <c r="D25" t="str">
        <f ca="1">IFERROR(__xludf.DUMMYFUNCTION("""COMPUTED_VALUE"""),"27853677000129")</f>
        <v>27853677000129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IFERROR(__xludf.DUMMYFUNCTION("""COMPUTED_VALUE"""),"198315")</f>
        <v>198315</v>
      </c>
      <c r="H25" s="8">
        <f ca="1">IFERROR(__xludf.DUMMYFUNCTION("""COMPUTED_VALUE"""),1953)</f>
        <v>1953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IFERROR(__xludf.DUMMYFUNCTION("""COMPUTED_VALUE"""),"Goiatins")</f>
        <v>Goiatins</v>
      </c>
      <c r="C26" t="str">
        <f ca="1">IFERROR(__xludf.DUMMYFUNCTION("""COMPUTED_VALUE"""),"ASS. COM.COL. EST. ADA ASSIS TEIXEIRA")</f>
        <v>ASS. COM.COL. EST. ADA ASSIS TEIXEIRA</v>
      </c>
      <c r="D26" t="str">
        <f ca="1">IFERROR(__xludf.DUMMYFUNCTION("""COMPUTED_VALUE"""),"01440731000110")</f>
        <v>01440731000110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IFERROR(__xludf.DUMMYFUNCTION("""COMPUTED_VALUE"""),"0013323")</f>
        <v>0013323</v>
      </c>
      <c r="H26" s="8">
        <f ca="1">IFERROR(__xludf.DUMMYFUNCTION("""COMPUTED_VALUE"""),9576)</f>
        <v>9576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IFERROR(__xludf.DUMMYFUNCTION("""COMPUTED_VALUE"""),"A.A. ESC. COL. E. HELIO DE SOUZA BUENO")</f>
        <v>A.A. ESC. COL. E. HELIO DE SOUZA BUENO</v>
      </c>
      <c r="D27" t="str">
        <f ca="1">IFERROR(__xludf.DUMMYFUNCTION("""COMPUTED_VALUE"""),"01186466000196")</f>
        <v>01186466000196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IFERROR(__xludf.DUMMYFUNCTION("""COMPUTED_VALUE"""),"0462985")</f>
        <v>0462985</v>
      </c>
      <c r="H27" s="8">
        <f ca="1">IFERROR(__xludf.DUMMYFUNCTION("""COMPUTED_VALUE"""),8316)</f>
        <v>8316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IFERROR(__xludf.DUMMYFUNCTION("""COMPUTED_VALUE"""),"Piraque")</f>
        <v>Piraque</v>
      </c>
      <c r="C28" t="str">
        <f ca="1">IFERROR(__xludf.DUMMYFUNCTION("""COMPUTED_VALUE"""),"A.A.  ESCOLA ESTADUAL SAO JOSE")</f>
        <v>A.A.  ESCOLA ESTADUAL SAO JOSE</v>
      </c>
      <c r="D28" t="str">
        <f ca="1">IFERROR(__xludf.DUMMYFUNCTION("""COMPUTED_VALUE"""),"01243654000109")</f>
        <v>01243654000109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IFERROR(__xludf.DUMMYFUNCTION("""COMPUTED_VALUE"""),"465283")</f>
        <v>465283</v>
      </c>
      <c r="H28" s="8">
        <f ca="1">IFERROR(__xludf.DUMMYFUNCTION("""COMPUTED_VALUE"""),1890)</f>
        <v>1890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8">
        <f ca="1">IFERROR(__xludf.DUMMYFUNCTION("""COMPUTED_VALUE"""),4158)</f>
        <v>4158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IFERROR(__xludf.DUMMYFUNCTION("""COMPUTED_VALUE"""),"A.A. ESC. EST. ANAIDES BRITO MIRANDA")</f>
        <v>A.A. ESC. EST. ANAIDES BRITO MIRANDA</v>
      </c>
      <c r="D30" t="str">
        <f ca="1">IFERROR(__xludf.DUMMYFUNCTION("""COMPUTED_VALUE"""),"01919025000156")</f>
        <v>01919025000156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IFERROR(__xludf.DUMMYFUNCTION("""COMPUTED_VALUE"""),"54682")</f>
        <v>54682</v>
      </c>
      <c r="H30" s="8">
        <f ca="1">IFERROR(__xludf.DUMMYFUNCTION("""COMPUTED_VALUE"""),5187)</f>
        <v>5187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 DE AP. DA ESCOLA EST. CASTRO ALVES")</f>
        <v>A. DE AP. DA ESCOLA EST. CASTRO ALVES</v>
      </c>
      <c r="D31" t="str">
        <f ca="1">IFERROR(__xludf.DUMMYFUNCTION("""COMPUTED_VALUE"""),"01673181000180")</f>
        <v>01673181000180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IFERROR(__xludf.DUMMYFUNCTION("""COMPUTED_VALUE"""),"54739")</f>
        <v>54739</v>
      </c>
      <c r="H31" s="8">
        <f ca="1">IFERROR(__xludf.DUMMYFUNCTION("""COMPUTED_VALUE"""),1218)</f>
        <v>1218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IFERROR(__xludf.DUMMYFUNCTION("""COMPUTED_VALUE"""),"A.A. COL. ESTADUAL JOSE LUIZ SIQUEIRA")</f>
        <v>A.A. COL. ESTADUAL JOSE LUIZ SIQUEIRA</v>
      </c>
      <c r="D32" t="str">
        <f ca="1">IFERROR(__xludf.DUMMYFUNCTION("""COMPUTED_VALUE"""),"01257082000117")</f>
        <v>01257082000117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IFERROR(__xludf.DUMMYFUNCTION("""COMPUTED_VALUE"""),"0465291")</f>
        <v>0465291</v>
      </c>
      <c r="H32" s="8">
        <f ca="1">IFERROR(__xludf.DUMMYFUNCTION("""COMPUTED_VALUE"""),6048)</f>
        <v>6048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IFERROR(__xludf.DUMMYFUNCTION("""COMPUTED_VALUE"""),"A. COM. DA ESC. EST. EURICO MOTA")</f>
        <v>A. COM. DA ESC. EST. EURICO MOTA</v>
      </c>
      <c r="D33" t="str">
        <f ca="1">IFERROR(__xludf.DUMMYFUNCTION("""COMPUTED_VALUE"""),"01718086000155")</f>
        <v>01718086000155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IFERROR(__xludf.DUMMYFUNCTION("""COMPUTED_VALUE"""),"0324744")</f>
        <v>0324744</v>
      </c>
      <c r="H33" s="8">
        <f ca="1">IFERROR(__xludf.DUMMYFUNCTION("""COMPUTED_VALUE"""),10290)</f>
        <v>10290</v>
      </c>
      <c r="I33" t="str">
        <v>ENS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8">
        <f ca="1">IFERROR(__xludf.DUMMYFUNCTION("""COMPUTED_VALUE"""),7602)</f>
        <v>7602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8">
        <f ca="1">IFERROR(__xludf.DUMMYFUNCTION("""COMPUTED_VALUE"""),777)</f>
        <v>777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IFERROR(__xludf.DUMMYFUNCTION("""COMPUTED_VALUE"""),"ASSOC. DE APOIO ESC. EST. FREI SAVINO")</f>
        <v>ASSOC. DE APOIO ESC. EST. FREI SAVINO</v>
      </c>
      <c r="D36" t="str">
        <f ca="1">IFERROR(__xludf.DUMMYFUNCTION("""COMPUTED_VALUE"""),"01181389000181")</f>
        <v>01181389000181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IFERROR(__xludf.DUMMYFUNCTION("""COMPUTED_VALUE"""),"0019437")</f>
        <v>0019437</v>
      </c>
      <c r="H36" s="8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APOIO ESC. EST. DENISE GOMIDE AMUI")</f>
        <v>ASSOC. APOIO ESC. EST. DENISE GOMIDE AMUI</v>
      </c>
      <c r="D37" t="str">
        <f ca="1">IFERROR(__xludf.DUMMYFUNCTION("""COMPUTED_VALUE"""),"01136000000186")</f>
        <v>01136000000186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IFERROR(__xludf.DUMMYFUNCTION("""COMPUTED_VALUE"""),"0109223")</f>
        <v>0109223</v>
      </c>
      <c r="H37" s="8">
        <f ca="1">IFERROR(__xludf.DUMMYFUNCTION("""COMPUTED_VALUE"""),13755)</f>
        <v>13755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IFERROR(__xludf.DUMMYFUNCTION("""COMPUTED_VALUE"""),"A.A.  A ESC. EST. SANTA GERTRUDES")</f>
        <v>A.A.  A ESC. EST. SANTA GERTRUDES</v>
      </c>
      <c r="D38" t="str">
        <f ca="1">IFERROR(__xludf.DUMMYFUNCTION("""COMPUTED_VALUE"""),"03713455000142")</f>
        <v>03713455000142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IFERROR(__xludf.DUMMYFUNCTION("""COMPUTED_VALUE"""),"78271")</f>
        <v>78271</v>
      </c>
      <c r="H38" s="8">
        <f ca="1">IFERROR(__xludf.DUMMYFUNCTION("""COMPUTED_VALUE"""),1197)</f>
        <v>1197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ESCOLA ISOLADA BOA SORTE")</f>
        <v>A.A.  A ESCOLA ISOLADA BOA SORTE</v>
      </c>
      <c r="D39" t="str">
        <f ca="1">IFERROR(__xludf.DUMMYFUNCTION("""COMPUTED_VALUE"""),"03765304000138")</f>
        <v>03765304000138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IFERROR(__xludf.DUMMYFUNCTION("""COMPUTED_VALUE"""),"78964")</f>
        <v>78964</v>
      </c>
      <c r="H39" s="8">
        <f ca="1">IFERROR(__xludf.DUMMYFUNCTION("""COMPUTED_VALUE"""),798)</f>
        <v>798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IFERROR(__xludf.DUMMYFUNCTION("""COMPUTED_VALUE"""),"Augustinopolis")</f>
        <v>Augustinopolis</v>
      </c>
      <c r="C40" t="str">
        <f ca="1">IFERROR(__xludf.DUMMYFUNCTION("""COMPUTED_VALUE"""),"A.A. CENTRO EST. DE EDUCACAO LA SALLE")</f>
        <v>A.A. CENTRO EST. DE EDUCACAO LA SALLE</v>
      </c>
      <c r="D40" t="str">
        <f ca="1">IFERROR(__xludf.DUMMYFUNCTION("""COMPUTED_VALUE"""),"01223753000129")</f>
        <v>01223753000129</v>
      </c>
      <c r="E40" t="str">
        <f ca="1">IFERROR(__xludf.DUMMYFUNCTION("""COMPUTED_VALUE"""),"001")</f>
        <v>001</v>
      </c>
      <c r="F40" t="str">
        <f ca="1">IFERROR(__xludf.DUMMYFUNCTION("""COMPUTED_VALUE"""),"3975")</f>
        <v>3975</v>
      </c>
      <c r="G40" t="str">
        <f ca="1">IFERROR(__xludf.DUMMYFUNCTION("""COMPUTED_VALUE"""),"19216")</f>
        <v>19216</v>
      </c>
      <c r="H40" s="8">
        <f ca="1">IFERROR(__xludf.DUMMYFUNCTION("""COMPUTED_VALUE"""),4788)</f>
        <v>4788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IFERROR(__xludf.DUMMYFUNCTION("""COMPUTED_VALUE"""),"ASSOC. DE APOIO COL. EST. MANOEL VICENTE SOUZA")</f>
        <v>ASSOC. DE APOIO COL. EST. MANOEL VICENTE SOUZA</v>
      </c>
      <c r="D41" t="str">
        <f ca="1">IFERROR(__xludf.DUMMYFUNCTION("""COMPUTED_VALUE"""),"01223642000112")</f>
        <v>01223642000112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IFERROR(__xludf.DUMMYFUNCTION("""COMPUTED_VALUE"""),"139297")</f>
        <v>139297</v>
      </c>
      <c r="H41" s="8">
        <f ca="1">IFERROR(__xludf.DUMMYFUNCTION("""COMPUTED_VALUE"""),1995)</f>
        <v>1995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8">
        <f ca="1">IFERROR(__xludf.DUMMYFUNCTION("""COMPUTED_VALUE"""),945)</f>
        <v>945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8">
        <f ca="1">IFERROR(__xludf.DUMMYFUNCTION("""COMPUTED_VALUE"""),3003)</f>
        <v>3003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IFERROR(__xludf.DUMMYFUNCTION("""COMPUTED_VALUE"""),"ASSOC. DE APOIO COLÉGIO. EST. MAL. RIBAS JUNIOR")</f>
        <v>ASSOC. DE APOIO COLÉGIO. EST. MAL. RIBAS JUNIOR</v>
      </c>
      <c r="D44" t="str">
        <f ca="1">IFERROR(__xludf.DUMMYFUNCTION("""COMPUTED_VALUE"""),"01086979000125")</f>
        <v>01086979000125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IFERROR(__xludf.DUMMYFUNCTION("""COMPUTED_VALUE"""),"209201")</f>
        <v>209201</v>
      </c>
      <c r="H44" s="8">
        <f ca="1">IFERROR(__xludf.DUMMYFUNCTION("""COMPUTED_VALUE"""),12747)</f>
        <v>12747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8">
        <f ca="1">IFERROR(__xludf.DUMMYFUNCTION("""COMPUTED_VALUE"""),882)</f>
        <v>882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8">
        <f ca="1">IFERROR(__xludf.DUMMYFUNCTION("""COMPUTED_VALUE"""),1092)</f>
        <v>1092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EST. VICENTE CARLOS DE SOUSA")</f>
        <v>A.A. ESC. EST. VICENTE CARLOS DE SOUSA</v>
      </c>
      <c r="D47" t="str">
        <f ca="1">IFERROR(__xludf.DUMMYFUNCTION("""COMPUTED_VALUE"""),"01206288000118")</f>
        <v>01206288000118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IFERROR(__xludf.DUMMYFUNCTION("""COMPUTED_VALUE"""),"0109614")</f>
        <v>0109614</v>
      </c>
      <c r="H47" s="8">
        <f ca="1">IFERROR(__xludf.DUMMYFUNCTION("""COMPUTED_VALUE"""),2520)</f>
        <v>2520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IFERROR(__xludf.DUMMYFUNCTION("""COMPUTED_VALUE"""),"Carrasco Bonito")</f>
        <v>Carrasco Bonito</v>
      </c>
      <c r="C48" t="str">
        <f ca="1">IFERROR(__xludf.DUMMYFUNCTION("""COMPUTED_VALUE"""),"A.A. DA ESC. EST. CICERO GOMES")</f>
        <v>A.A. DA ESC. EST. CICERO GOMES</v>
      </c>
      <c r="D48" t="str">
        <f ca="1">IFERROR(__xludf.DUMMYFUNCTION("""COMPUTED_VALUE"""),"01068377000145")</f>
        <v>01068377000145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IFERROR(__xludf.DUMMYFUNCTION("""COMPUTED_VALUE"""),"19291")</f>
        <v>19291</v>
      </c>
      <c r="H48" s="8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 DA ESCOLA ESTADUAL INES VIANA")</f>
        <v>A.A.  DA ESCOLA ESTADUAL INES VIANA</v>
      </c>
      <c r="D49" t="str">
        <f ca="1">IFERROR(__xludf.DUMMYFUNCTION("""COMPUTED_VALUE"""),"02508340000153")</f>
        <v>02508340000153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IFERROR(__xludf.DUMMYFUNCTION("""COMPUTED_VALUE"""),"51713")</f>
        <v>51713</v>
      </c>
      <c r="H49" s="8">
        <f ca="1">IFERROR(__xludf.DUMMYFUNCTION("""COMPUTED_VALUE"""),819)</f>
        <v>819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IFERROR(__xludf.DUMMYFUNCTION("""COMPUTED_VALUE"""),"Esperantina")</f>
        <v>Esperantina</v>
      </c>
      <c r="C50" t="str">
        <f ca="1">IFERROR(__xludf.DUMMYFUNCTION("""COMPUTED_VALUE"""),"A.A. ESC. EST. JOAQUINA MARIA DA SILVA")</f>
        <v>A.A. ESC. EST. JOAQUINA MARIA DA SILVA</v>
      </c>
      <c r="D50" t="str">
        <f ca="1">IFERROR(__xludf.DUMMYFUNCTION("""COMPUTED_VALUE"""),"01113183000114")</f>
        <v>01113183000114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IFERROR(__xludf.DUMMYFUNCTION("""COMPUTED_VALUE"""),"109665")</f>
        <v>109665</v>
      </c>
      <c r="H50" s="8">
        <f ca="1">IFERROR(__xludf.DUMMYFUNCTION("""COMPUTED_VALUE"""),5271)</f>
        <v>5271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ESTADUAL ULISSES GUIMARAES")</f>
        <v>A.A. ESC. ESTADUAL ULISSES GUIMARAES</v>
      </c>
      <c r="D51" t="str">
        <f ca="1">IFERROR(__xludf.DUMMYFUNCTION("""COMPUTED_VALUE"""),"01190183000118")</f>
        <v>01190183000118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IFERROR(__xludf.DUMMYFUNCTION("""COMPUTED_VALUE"""),"109363")</f>
        <v>109363</v>
      </c>
      <c r="H51" s="8">
        <f ca="1">IFERROR(__xludf.DUMMYFUNCTION("""COMPUTED_VALUE"""),4242)</f>
        <v>4242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IFERROR(__xludf.DUMMYFUNCTION("""COMPUTED_VALUE"""),"Praia Norte")</f>
        <v>Praia Norte</v>
      </c>
      <c r="C52" t="str">
        <f ca="1">IFERROR(__xludf.DUMMYFUNCTION("""COMPUTED_VALUE"""),"ASS. AP.ESC. ESTADUAL GENESIO GOMES")</f>
        <v>ASS. AP.ESC. ESTADUAL GENESIO GOMES</v>
      </c>
      <c r="D52" t="str">
        <f ca="1">IFERROR(__xludf.DUMMYFUNCTION("""COMPUTED_VALUE"""),"01192607000183")</f>
        <v>01192607000183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IFERROR(__xludf.DUMMYFUNCTION("""COMPUTED_VALUE"""),"19690")</f>
        <v>19690</v>
      </c>
      <c r="H52" s="8">
        <f ca="1">IFERROR(__xludf.DUMMYFUNCTION("""COMPUTED_VALUE"""),6888)</f>
        <v>6888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IFERROR(__xludf.DUMMYFUNCTION("""COMPUTED_VALUE"""),"Sampaio")</f>
        <v>Sampaio</v>
      </c>
      <c r="C53" t="str">
        <f ca="1">IFERROR(__xludf.DUMMYFUNCTION("""COMPUTED_VALUE"""),"A. DE AP. DA ESCOLA ESTADUAL SAMPAIO")</f>
        <v>A. DE AP. DA ESCOLA ESTADUAL SAMPAIO</v>
      </c>
      <c r="D53" t="str">
        <f ca="1">IFERROR(__xludf.DUMMYFUNCTION("""COMPUTED_VALUE"""),"01190179000150")</f>
        <v>01190179000150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IFERROR(__xludf.DUMMYFUNCTION("""COMPUTED_VALUE"""),"0019178")</f>
        <v>0019178</v>
      </c>
      <c r="H53" s="8">
        <f ca="1">IFERROR(__xludf.DUMMYFUNCTION("""COMPUTED_VALUE"""),4788)</f>
        <v>4788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IFERROR(__xludf.DUMMYFUNCTION("""COMPUTED_VALUE"""),"Sao Bento do Tocantins")</f>
        <v>Sao Bento do Tocantins</v>
      </c>
      <c r="C54" t="str">
        <f ca="1">IFERROR(__xludf.DUMMYFUNCTION("""COMPUTED_VALUE"""),"A.A. COLEGIO EST. IRMAOS FILGUEIRAS")</f>
        <v>A.A. COLEGIO EST. IRMAOS FILGUEIRAS</v>
      </c>
      <c r="D54" t="str">
        <f ca="1">IFERROR(__xludf.DUMMYFUNCTION("""COMPUTED_VALUE"""),"01068348000183")</f>
        <v>01068348000183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IFERROR(__xludf.DUMMYFUNCTION("""COMPUTED_VALUE"""),"109134")</f>
        <v>109134</v>
      </c>
      <c r="H54" s="8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ESC. EST. ANAIDES BRITO MIRANDA")</f>
        <v>A.A. ESC. EST. ANAIDES BRITO MIRANDA</v>
      </c>
      <c r="D55" t="str">
        <f ca="1">IFERROR(__xludf.DUMMYFUNCTION("""COMPUTED_VALUE"""),"01181993000108")</f>
        <v>01181993000108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IFERROR(__xludf.DUMMYFUNCTION("""COMPUTED_VALUE"""),"10938x")</f>
        <v>10938x</v>
      </c>
      <c r="H55" s="8">
        <f ca="1">IFERROR(__xludf.DUMMYFUNCTION("""COMPUTED_VALUE"""),1029)</f>
        <v>1029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Miguel do Tocantins")</f>
        <v>Sao Miguel do Tocantins</v>
      </c>
      <c r="C56" t="str">
        <f ca="1">IFERROR(__xludf.DUMMYFUNCTION("""COMPUTED_VALUE"""),"A.A.  DA ESCOLA ESTADUAL BELA VISTA")</f>
        <v>A.A.  DA ESCOLA ESTADUAL BELA VISTA</v>
      </c>
      <c r="D56" t="str">
        <f ca="1">IFERROR(__xludf.DUMMYFUNCTION("""COMPUTED_VALUE"""),"01230238000176")</f>
        <v>01230238000176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IFERROR(__xludf.DUMMYFUNCTION("""COMPUTED_VALUE"""),"0217948")</f>
        <v>0217948</v>
      </c>
      <c r="H56" s="8">
        <f ca="1">IFERROR(__xludf.DUMMYFUNCTION("""COMPUTED_VALUE"""),4599)</f>
        <v>4599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ESCOLA ESTADUAL SAO MIGUEL")</f>
        <v>A.A.  ESCOLA ESTADUAL SAO MIGUEL</v>
      </c>
      <c r="D57" t="str">
        <f ca="1">IFERROR(__xludf.DUMMYFUNCTION("""COMPUTED_VALUE"""),"01213523000189")</f>
        <v>01213523000189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IFERROR(__xludf.DUMMYFUNCTION("""COMPUTED_VALUE"""),"173576")</f>
        <v>173576</v>
      </c>
      <c r="H57" s="8">
        <f ca="1">IFERROR(__xludf.DUMMYFUNCTION("""COMPUTED_VALUE"""),5838)</f>
        <v>5838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Sebastiao do Tocantins")</f>
        <v>Sao Sebastiao do Tocantins</v>
      </c>
      <c r="C58" t="str">
        <f ca="1">IFERROR(__xludf.DUMMYFUNCTION("""COMPUTED_VALUE"""),"A.A.  DO COL. EST.IRIO OLIVEIRA SOUZA")</f>
        <v>A.A.  DO COL. EST.IRIO OLIVEIRA SOUZA</v>
      </c>
      <c r="D58" t="str">
        <f ca="1">IFERROR(__xludf.DUMMYFUNCTION("""COMPUTED_VALUE"""),"01112477000121")</f>
        <v>01112477000121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IFERROR(__xludf.DUMMYFUNCTION("""COMPUTED_VALUE"""),"0109282")</f>
        <v>0109282</v>
      </c>
      <c r="H58" s="8">
        <f ca="1">IFERROR(__xludf.DUMMYFUNCTION("""COMPUTED_VALUE"""),3843)</f>
        <v>3843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IFERROR(__xludf.DUMMYFUNCTION("""COMPUTED_VALUE"""),"Sitio Novo do Tocantins")</f>
        <v>Sitio Novo do Tocantins</v>
      </c>
      <c r="C59" t="str">
        <f ca="1">IFERROR(__xludf.DUMMYFUNCTION("""COMPUTED_VALUE"""),"A.A. COL. EST. MARECHAEL RIBAS JUNIOR")</f>
        <v>A.A. COL. EST. MARECHAEL RIBAS JUNIOR</v>
      </c>
      <c r="D59" t="str">
        <f ca="1">IFERROR(__xludf.DUMMYFUNCTION("""COMPUTED_VALUE"""),"01230241000190")</f>
        <v>01230241000190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IFERROR(__xludf.DUMMYFUNCTION("""COMPUTED_VALUE"""),"217964")</f>
        <v>217964</v>
      </c>
      <c r="H59" s="8">
        <f ca="1">IFERROR(__xludf.DUMMYFUNCTION("""COMPUTED_VALUE"""),6342)</f>
        <v>6342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E. EST. JOAQUIM TEOTONIO SEGURADO")</f>
        <v>A.A. E. EST. JOAQUIM TEOTONIO SEGURADO</v>
      </c>
      <c r="D60" t="str">
        <f ca="1">IFERROR(__xludf.DUMMYFUNCTION("""COMPUTED_VALUE"""),"01230240000145")</f>
        <v>01230240000145</v>
      </c>
      <c r="E60" t="str">
        <f ca="1">IFERROR(__xludf.DUMMYFUNCTION("""COMPUTED_VALUE"""),"001")</f>
        <v>001</v>
      </c>
      <c r="F60" t="str">
        <f ca="1">IFERROR(__xludf.DUMMYFUNCTION("""COMPUTED_VALUE"""),"0810")</f>
        <v>0810</v>
      </c>
      <c r="G60" t="str">
        <f ca="1">IFERROR(__xludf.DUMMYFUNCTION("""COMPUTED_VALUE"""),"217972")</f>
        <v>217972</v>
      </c>
      <c r="H60" s="8">
        <f ca="1">IFERROR(__xludf.DUMMYFUNCTION("""COMPUTED_VALUE"""),1512)</f>
        <v>1512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RAIMUNDO NONATO LEITE")</f>
        <v>A.A. ESC. EST. RAIMUNDO NONATO LEITE</v>
      </c>
      <c r="D61" t="str">
        <f ca="1">IFERROR(__xludf.DUMMYFUNCTION("""COMPUTED_VALUE"""),"01230237000121")</f>
        <v>01230237000121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IFERROR(__xludf.DUMMYFUNCTION("""COMPUTED_VALUE"""),"217980")</f>
        <v>217980</v>
      </c>
      <c r="H61" s="8">
        <f ca="1">IFERROR(__xludf.DUMMYFUNCTION("""COMPUTED_VALUE"""),1008)</f>
        <v>1008</v>
      </c>
      <c r="I61" t="str">
        <v>ENS MEDIO PARCIAL</v>
      </c>
    </row>
    <row r="62" spans="1:9" ht="12.75">
      <c r="A62" t="str">
        <f ca="1">IFERROR(__xludf.DUMMYFUNCTION("""COMPUTED_VALUE"""),"Arraias")</f>
        <v>Arraias</v>
      </c>
      <c r="B62" t="str">
        <f ca="1">IFERROR(__xludf.DUMMYFUNCTION("""COMPUTED_VALUE"""),"Arraias")</f>
        <v>Arraias</v>
      </c>
      <c r="C62" t="str">
        <f ca="1">IFERROR(__xludf.DUMMYFUNCTION("""COMPUTED_VALUE"""),"A.A. ESCOLA ESTADUAL CANABRAVA/ZULMIRA MAGALHÃES")</f>
        <v>A.A. ESCOLA ESTADUAL CANABRAVA/ZULMIRA MAGALHÃES</v>
      </c>
      <c r="D62" t="str">
        <f ca="1">IFERROR(__xludf.DUMMYFUNCTION("""COMPUTED_VALUE"""),"01284633000131")</f>
        <v>01284633000131</v>
      </c>
      <c r="E62" t="str">
        <f ca="1">IFERROR(__xludf.DUMMYFUNCTION("""COMPUTED_VALUE"""),"001")</f>
        <v>001</v>
      </c>
      <c r="F62" t="str">
        <f ca="1">IFERROR(__xludf.DUMMYFUNCTION("""COMPUTED_VALUE"""),"0541")</f>
        <v>0541</v>
      </c>
      <c r="G62" t="str">
        <f ca="1">IFERROR(__xludf.DUMMYFUNCTION("""COMPUTED_VALUE"""),"23219X")</f>
        <v>23219X</v>
      </c>
      <c r="H62" s="8">
        <f ca="1">IFERROR(__xludf.DUMMYFUNCTION("""COMPUTED_VALUE"""),1323)</f>
        <v>1323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IFERROR(__xludf.DUMMYFUNCTION("""COMPUTED_VALUE"""),"Aurora do Tocantins")</f>
        <v>Aurora do Tocantins</v>
      </c>
      <c r="C63" t="str">
        <f ca="1">IFERROR(__xludf.DUMMYFUNCTION("""COMPUTED_VALUE"""),"A.A. A ESCOLA/COL. EST.PROF. RANULFA")</f>
        <v>A.A. A ESCOLA/COL. EST.PROF. RANULFA</v>
      </c>
      <c r="D63" t="str">
        <f ca="1">IFERROR(__xludf.DUMMYFUNCTION("""COMPUTED_VALUE"""),"01133691000164")</f>
        <v>01133691000164</v>
      </c>
      <c r="E63" t="str">
        <f ca="1">IFERROR(__xludf.DUMMYFUNCTION("""COMPUTED_VALUE"""),"001")</f>
        <v>001</v>
      </c>
      <c r="F63" t="str">
        <f ca="1">IFERROR(__xludf.DUMMYFUNCTION("""COMPUTED_VALUE"""),"3977")</f>
        <v>3977</v>
      </c>
      <c r="G63" t="str">
        <f ca="1">IFERROR(__xludf.DUMMYFUNCTION("""COMPUTED_VALUE"""),"102725")</f>
        <v>102725</v>
      </c>
      <c r="H63" s="8">
        <f ca="1">IFERROR(__xludf.DUMMYFUNCTION("""COMPUTED_VALUE"""),3528)</f>
        <v>3528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IFERROR(__xludf.DUMMYFUNCTION("""COMPUTED_VALUE"""),"Combinado")</f>
        <v>Combinado</v>
      </c>
      <c r="C64" t="str">
        <f ca="1">IFERROR(__xludf.DUMMYFUNCTION("""COMPUTED_VALUE"""),"A.A. DO COL. E.JOAQUIM DE SENA E SILVA")</f>
        <v>A.A. DO COL. E.JOAQUIM DE SENA E SILVA</v>
      </c>
      <c r="D64" t="str">
        <f ca="1">IFERROR(__xludf.DUMMYFUNCTION("""COMPUTED_VALUE"""),"01230223000108")</f>
        <v>01230223000108</v>
      </c>
      <c r="E64" t="str">
        <f ca="1">IFERROR(__xludf.DUMMYFUNCTION("""COMPUTED_VALUE"""),"001")</f>
        <v>001</v>
      </c>
      <c r="F64" t="str">
        <f ca="1">IFERROR(__xludf.DUMMYFUNCTION("""COMPUTED_VALUE"""),"3977")</f>
        <v>3977</v>
      </c>
      <c r="G64" t="str">
        <f ca="1">IFERROR(__xludf.DUMMYFUNCTION("""COMPUTED_VALUE"""),"232106")</f>
        <v>232106</v>
      </c>
      <c r="H64" s="8">
        <f ca="1">IFERROR(__xludf.DUMMYFUNCTION("""COMPUTED_VALUE"""),4515)</f>
        <v>4515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IFERROR(__xludf.DUMMYFUNCTION("""COMPUTED_VALUE"""),"Lavandeira")</f>
        <v>Lavandeira</v>
      </c>
      <c r="C65" t="str">
        <f ca="1">IFERROR(__xludf.DUMMYFUNCTION("""COMPUTED_VALUE"""),"ASSOC. DE APOIO ESC. EST. LAVANDEIRA")</f>
        <v>ASSOC. DE APOIO ESC. EST. LAVANDEIRA</v>
      </c>
      <c r="D65" t="str">
        <f ca="1">IFERROR(__xludf.DUMMYFUNCTION("""COMPUTED_VALUE"""),"01136024000135")</f>
        <v>01136024000135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IFERROR(__xludf.DUMMYFUNCTION("""COMPUTED_VALUE"""),"231916")</f>
        <v>231916</v>
      </c>
      <c r="H65" s="8">
        <f ca="1">IFERROR(__xludf.DUMMYFUNCTION("""COMPUTED_VALUE"""),1701)</f>
        <v>1701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IFERROR(__xludf.DUMMYFUNCTION("""COMPUTED_VALUE"""),"Novo Alegre")</f>
        <v>Novo Alegre</v>
      </c>
      <c r="C66" t="str">
        <f ca="1">IFERROR(__xludf.DUMMYFUNCTION("""COMPUTED_VALUE"""),"ASSOC. DE APOIO COL. EST. DR.JOAO D`ABREU")</f>
        <v>ASSOC. DE APOIO COL. EST. DR.JOAO D`ABREU</v>
      </c>
      <c r="D66" t="str">
        <f ca="1">IFERROR(__xludf.DUMMYFUNCTION("""COMPUTED_VALUE"""),"01146115000151")</f>
        <v>01146115000151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IFERROR(__xludf.DUMMYFUNCTION("""COMPUTED_VALUE"""),"178845")</f>
        <v>178845</v>
      </c>
      <c r="H66" s="8">
        <f ca="1">IFERROR(__xludf.DUMMYFUNCTION("""COMPUTED_VALUE"""),1491)</f>
        <v>1491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IFERROR(__xludf.DUMMYFUNCTION("""COMPUTED_VALUE"""),"Parana")</f>
        <v>Parana</v>
      </c>
      <c r="C67" t="str">
        <f ca="1">IFERROR(__xludf.DUMMYFUNCTION("""COMPUTED_VALUE"""),"A.A. DO COL. EST. DES.VIRGILIO DE M.FRANCO")</f>
        <v>A.A. DO COL. EST. DES.VIRGILIO DE M.FRANCO</v>
      </c>
      <c r="D67" t="str">
        <f ca="1">IFERROR(__xludf.DUMMYFUNCTION("""COMPUTED_VALUE"""),"01284635000120")</f>
        <v>01284635000120</v>
      </c>
      <c r="E67" t="str">
        <f ca="1">IFERROR(__xludf.DUMMYFUNCTION("""COMPUTED_VALUE"""),"001")</f>
        <v>001</v>
      </c>
      <c r="F67" t="str">
        <f ca="1">IFERROR(__xludf.DUMMYFUNCTION("""COMPUTED_VALUE"""),"4790")</f>
        <v>4790</v>
      </c>
      <c r="G67" t="str">
        <f ca="1">IFERROR(__xludf.DUMMYFUNCTION("""COMPUTED_VALUE"""),"232327")</f>
        <v>232327</v>
      </c>
      <c r="H67" s="8">
        <f ca="1">IFERROR(__xludf.DUMMYFUNCTION("""COMPUTED_VALUE"""),6699)</f>
        <v>6699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IFERROR(__xludf.DUMMYFUNCTION("""COMPUTED_VALUE"""),"Parana")</f>
        <v>Parana</v>
      </c>
      <c r="C68" t="str">
        <f ca="1">IFERROR(__xludf.DUMMYFUNCTION("""COMPUTED_VALUE"""),"ASSOC. DE APOIO A ESC. EST. REUNIDA FLORESTA")</f>
        <v>ASSOC. DE APOIO A ESC. EST. REUNIDA FLORESTA</v>
      </c>
      <c r="D68" t="str">
        <f ca="1">IFERROR(__xludf.DUMMYFUNCTION("""COMPUTED_VALUE"""),"03834797000110")</f>
        <v>03834797000110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IFERROR(__xludf.DUMMYFUNCTION("""COMPUTED_VALUE"""),"113247")</f>
        <v>113247</v>
      </c>
      <c r="H68" s="8">
        <f ca="1">IFERROR(__xludf.DUMMYFUNCTION("""COMPUTED_VALUE"""),651)</f>
        <v>651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A ESC. EST. REUNIDA SANTA RITA DO RIO PALMA")</f>
        <v>A.A. A ESC. EST. REUNIDA SANTA RITA DO RIO PALMA</v>
      </c>
      <c r="D69" t="str">
        <f ca="1">IFERROR(__xludf.DUMMYFUNCTION("""COMPUTED_VALUE"""),"03834784000141")</f>
        <v>03834784000141</v>
      </c>
      <c r="E69" t="str">
        <f ca="1">IFERROR(__xludf.DUMMYFUNCTION("""COMPUTED_VALUE"""),"001")</f>
        <v>001</v>
      </c>
      <c r="F69" t="str">
        <f ca="1">IFERROR(__xludf.DUMMYFUNCTION("""COMPUTED_VALUE"""),"0541")</f>
        <v>0541</v>
      </c>
      <c r="G69" t="str">
        <f ca="1">IFERROR(__xludf.DUMMYFUNCTION("""COMPUTED_VALUE"""),"113638")</f>
        <v>113638</v>
      </c>
      <c r="H69" s="8">
        <f ca="1">IFERROR(__xludf.DUMMYFUNCTION("""COMPUTED_VALUE"""),966)</f>
        <v>966</v>
      </c>
      <c r="I69" t="str">
        <v>ENS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IFERROR(__xludf.DUMMYFUNCTION("""COMPUTED_VALUE"""),"Arapoema")</f>
        <v>Arapoema</v>
      </c>
      <c r="C70" t="str">
        <f ca="1">IFERROR(__xludf.DUMMYFUNCTION("""COMPUTED_VALUE"""),"A.AP. COL. EST.RUILON DIAS CARNEIRO")</f>
        <v>A.AP. COL. EST.RUILON DIAS CARNEIRO</v>
      </c>
      <c r="D70" t="str">
        <f ca="1">IFERROR(__xludf.DUMMYFUNCTION("""COMPUTED_VALUE"""),"01133714000130")</f>
        <v>01133714000130</v>
      </c>
      <c r="E70" t="str">
        <f ca="1">IFERROR(__xludf.DUMMYFUNCTION("""COMPUTED_VALUE"""),"001")</f>
        <v>001</v>
      </c>
      <c r="F70" t="str">
        <f ca="1">IFERROR(__xludf.DUMMYFUNCTION("""COMPUTED_VALUE"""),"3974")</f>
        <v>3974</v>
      </c>
      <c r="G70" t="str">
        <f ca="1">IFERROR(__xludf.DUMMYFUNCTION("""COMPUTED_VALUE"""),"2290X")</f>
        <v>2290X</v>
      </c>
      <c r="H70" s="8">
        <f ca="1">IFERROR(__xludf.DUMMYFUNCTION("""COMPUTED_VALUE"""),5082)</f>
        <v>5082</v>
      </c>
      <c r="I70" t="str">
        <v>ENS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IFERROR(__xludf.DUMMYFUNCTION("""COMPUTED_VALUE"""),"Bandeirantes do Tocantins")</f>
        <v>Bandeirantes do Tocantins</v>
      </c>
      <c r="C71" t="str">
        <f ca="1">IFERROR(__xludf.DUMMYFUNCTION("""COMPUTED_VALUE"""),"A.A. E. E. ARCELINO F. DO NASCIMENTO")</f>
        <v>A.A. E. E. ARCELINO F. DO NASCIMENTO</v>
      </c>
      <c r="D71" t="str">
        <f ca="1">IFERROR(__xludf.DUMMYFUNCTION("""COMPUTED_VALUE"""),"01181179000193")</f>
        <v>01181179000193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IFERROR(__xludf.DUMMYFUNCTION("""COMPUTED_VALUE"""),"46578X")</f>
        <v>46578X</v>
      </c>
      <c r="H71" s="8">
        <f ca="1">IFERROR(__xludf.DUMMYFUNCTION("""COMPUTED_VALUE"""),2856)</f>
        <v>2856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IFERROR(__xludf.DUMMYFUNCTION("""COMPUTED_VALUE"""),"Bernardo Sayao")</f>
        <v>Bernardo Sayao</v>
      </c>
      <c r="C72" t="str">
        <f ca="1">IFERROR(__xludf.DUMMYFUNCTION("""COMPUTED_VALUE"""),"A.A. COL. EST. BERNARDO SAYAO")</f>
        <v>A.A. COL. EST. BERNARDO SAYAO</v>
      </c>
      <c r="D72" t="str">
        <f ca="1">IFERROR(__xludf.DUMMYFUNCTION("""COMPUTED_VALUE"""),"01190188000140")</f>
        <v>01190188000140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IFERROR(__xludf.DUMMYFUNCTION("""COMPUTED_VALUE"""),"369403")</f>
        <v>369403</v>
      </c>
      <c r="H72" s="8">
        <f ca="1">IFERROR(__xludf.DUMMYFUNCTION("""COMPUTED_VALUE"""),3297)</f>
        <v>3297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IFERROR(__xludf.DUMMYFUNCTION("""COMPUTED_VALUE"""),"Brasilandia do Tocantins")</f>
        <v>Brasilandia do Tocantins</v>
      </c>
      <c r="C73" t="str">
        <f ca="1">IFERROR(__xludf.DUMMYFUNCTION("""COMPUTED_VALUE"""),"A.A. COL. EST. SEBASTIAO RODRIGUES SALES")</f>
        <v>A.A. COL. EST. SEBASTIAO RODRIGUES SALES</v>
      </c>
      <c r="D73" t="str">
        <f ca="1">IFERROR(__xludf.DUMMYFUNCTION("""COMPUTED_VALUE"""),"01138333000144")</f>
        <v>01138333000144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IFERROR(__xludf.DUMMYFUNCTION("""COMPUTED_VALUE"""),"369365")</f>
        <v>369365</v>
      </c>
      <c r="H73" s="8">
        <f ca="1">IFERROR(__xludf.DUMMYFUNCTION("""COMPUTED_VALUE"""),1260)</f>
        <v>1260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IFERROR(__xludf.DUMMYFUNCTION("""COMPUTED_VALUE"""),"Colinas do Tocantins")</f>
        <v>Colinas do Tocantins</v>
      </c>
      <c r="C74" t="str">
        <f ca="1">IFERROR(__xludf.DUMMYFUNCTION("""COMPUTED_VALUE"""),"A.A.  COLEGIO JOAO XXIII")</f>
        <v>A.A.  COLEGIO JOAO XXIII</v>
      </c>
      <c r="D74" t="str">
        <f ca="1">IFERROR(__xludf.DUMMYFUNCTION("""COMPUTED_VALUE"""),"01064859000127")</f>
        <v>01064859000127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IFERROR(__xludf.DUMMYFUNCTION("""COMPUTED_VALUE"""),"368555")</f>
        <v>368555</v>
      </c>
      <c r="H74" s="8">
        <f ca="1">IFERROR(__xludf.DUMMYFUNCTION("""COMPUTED_VALUE"""),6972)</f>
        <v>6972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IFERROR(__xludf.DUMMYFUNCTION("""COMPUTED_VALUE"""),"Colinas do Tocantins")</f>
        <v>Colinas do Tocantins</v>
      </c>
      <c r="C75" t="str">
        <f ca="1">IFERROR(__xludf.DUMMYFUNCTION("""COMPUTED_VALUE"""),"A.A. E. E. FRANCISCO PEREIRA FELICIO")</f>
        <v>A.A. E. E. FRANCISCO PEREIRA FELICIO</v>
      </c>
      <c r="D75" t="str">
        <f ca="1">IFERROR(__xludf.DUMMYFUNCTION("""COMPUTED_VALUE"""),"01086969000190")</f>
        <v>01086969000190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IFERROR(__xludf.DUMMYFUNCTION("""COMPUTED_VALUE"""),"368814")</f>
        <v>368814</v>
      </c>
      <c r="H75" s="8">
        <f ca="1">IFERROR(__xludf.DUMMYFUNCTION("""COMPUTED_VALUE"""),9093)</f>
        <v>9093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E. E. LACERDINO OLIVEIRA CAMPOS")</f>
        <v>A.A. E. E. LACERDINO OLIVEIRA CAMPOS</v>
      </c>
      <c r="D76" t="str">
        <f ca="1">IFERROR(__xludf.DUMMYFUNCTION("""COMPUTED_VALUE"""),"01077439000185")</f>
        <v>01077439000185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IFERROR(__xludf.DUMMYFUNCTION("""COMPUTED_VALUE"""),"368741")</f>
        <v>368741</v>
      </c>
      <c r="H76" s="8">
        <f ca="1">IFERROR(__xludf.DUMMYFUNCTION("""COMPUTED_VALUE"""),3927)</f>
        <v>3927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APOIO AO INSTITUTO EDUC. GUNNAR VINGREN")</f>
        <v>ASSOC. APOIO AO INSTITUTO EDUC. GUNNAR VINGREN</v>
      </c>
      <c r="D77" t="str">
        <f ca="1">IFERROR(__xludf.DUMMYFUNCTION("""COMPUTED_VALUE"""),"05537107000197")</f>
        <v>05537107000197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IFERROR(__xludf.DUMMYFUNCTION("""COMPUTED_VALUE"""),"172286")</f>
        <v>172286</v>
      </c>
      <c r="H77" s="8">
        <f ca="1">IFERROR(__xludf.DUMMYFUNCTION("""COMPUTED_VALUE"""),441)</f>
        <v>441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IFERROR(__xludf.DUMMYFUNCTION("""COMPUTED_VALUE"""),"Itapiratins")</f>
        <v>Itapiratins</v>
      </c>
      <c r="C78" t="str">
        <f ca="1">IFERROR(__xludf.DUMMYFUNCTION("""COMPUTED_VALUE"""),"A.A. ESCOLA ESTADUAL REZENDE DE ALMEIDA")</f>
        <v>A.A. ESCOLA ESTADUAL REZENDE DE ALMEIDA</v>
      </c>
      <c r="D78" t="str">
        <f ca="1">IFERROR(__xludf.DUMMYFUNCTION("""COMPUTED_VALUE"""),"01643863000140")</f>
        <v>01643863000140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IFERROR(__xludf.DUMMYFUNCTION("""COMPUTED_VALUE"""),"27278")</f>
        <v>27278</v>
      </c>
      <c r="H78" s="8">
        <f ca="1">IFERROR(__xludf.DUMMYFUNCTION("""COMPUTED_VALUE"""),4515)</f>
        <v>4515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IFERROR(__xludf.DUMMYFUNCTION("""COMPUTED_VALUE"""),"Juarina")</f>
        <v>Juarina</v>
      </c>
      <c r="C79" t="str">
        <f ca="1">IFERROR(__xludf.DUMMYFUNCTION("""COMPUTED_VALUE"""),"A.A. ESCOLA ESTADUAL ZICO DORNELAS")</f>
        <v>A.A. ESCOLA ESTADUAL ZICO DORNELAS</v>
      </c>
      <c r="D79" t="str">
        <f ca="1">IFERROR(__xludf.DUMMYFUNCTION("""COMPUTED_VALUE"""),"01136018000188")</f>
        <v>01136018000188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IFERROR(__xludf.DUMMYFUNCTION("""COMPUTED_VALUE"""),"369349")</f>
        <v>369349</v>
      </c>
      <c r="H79" s="8">
        <f ca="1">IFERROR(__xludf.DUMMYFUNCTION("""COMPUTED_VALUE"""),2247)</f>
        <v>2247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IFERROR(__xludf.DUMMYFUNCTION("""COMPUTED_VALUE"""),"Palmeirante")</f>
        <v>Palmeirante</v>
      </c>
      <c r="C80" t="str">
        <f ca="1">IFERROR(__xludf.DUMMYFUNCTION("""COMPUTED_VALUE"""),"ASS. COM. ESC. EST JOAO AIRES GABRIEL")</f>
        <v>ASS. COM. ESC. EST JOAO AIRES GABRIEL</v>
      </c>
      <c r="D80" t="str">
        <f ca="1">IFERROR(__xludf.DUMMYFUNCTION("""COMPUTED_VALUE"""),"01465793000187")</f>
        <v>01465793000187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IFERROR(__xludf.DUMMYFUNCTION("""COMPUTED_VALUE"""),"342246")</f>
        <v>342246</v>
      </c>
      <c r="H80" s="8">
        <f ca="1">IFERROR(__xludf.DUMMYFUNCTION("""COMPUTED_VALUE"""),4473)</f>
        <v>4473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IFERROR(__xludf.DUMMYFUNCTION("""COMPUTED_VALUE"""),"Pau D'arco")</f>
        <v>Pau D'arco</v>
      </c>
      <c r="C81" t="str">
        <f ca="1">IFERROR(__xludf.DUMMYFUNCTION("""COMPUTED_VALUE"""),"A.COM. ESCOLA EST. ULISSES GUIMARAES")</f>
        <v>A.COM. ESCOLA EST. ULISSES GUIMARAES</v>
      </c>
      <c r="D81" t="str">
        <f ca="1">IFERROR(__xludf.DUMMYFUNCTION("""COMPUTED_VALUE"""),"01181178000149")</f>
        <v>01181178000149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IFERROR(__xludf.DUMMYFUNCTION("""COMPUTED_VALUE"""),"23485")</f>
        <v>23485</v>
      </c>
      <c r="H81" s="8">
        <f ca="1">IFERROR(__xludf.DUMMYFUNCTION("""COMPUTED_VALUE"""),3444)</f>
        <v>3444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IFERROR(__xludf.DUMMYFUNCTION("""COMPUTED_VALUE"""),"Tupiratins")</f>
        <v>Tupiratins</v>
      </c>
      <c r="C82" t="str">
        <f ca="1">IFERROR(__xludf.DUMMYFUNCTION("""COMPUTED_VALUE"""),"A. DE AP. DA ESC. EST. SAO TOMAS DE AQUINO")</f>
        <v>A. DE AP. DA ESC. EST. SAO TOMAS DE AQUINO</v>
      </c>
      <c r="D82" t="str">
        <f ca="1">IFERROR(__xludf.DUMMYFUNCTION("""COMPUTED_VALUE"""),"01334791000159")</f>
        <v>01334791000159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IFERROR(__xludf.DUMMYFUNCTION("""COMPUTED_VALUE"""),"370045")</f>
        <v>370045</v>
      </c>
      <c r="H82" s="8">
        <f ca="1">IFERROR(__xludf.DUMMYFUNCTION("""COMPUTED_VALUE"""),1680)</f>
        <v>1680</v>
      </c>
      <c r="I82" t="str">
        <v>ENS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IFERROR(__xludf.DUMMYFUNCTION("""COMPUTED_VALUE"""),"Almas")</f>
        <v>Almas</v>
      </c>
      <c r="C83" t="str">
        <f ca="1">IFERROR(__xludf.DUMMYFUNCTION("""COMPUTED_VALUE"""),"A.A. COL. E.II GRAU DR.ABNER A.PACINI")</f>
        <v>A.A. COL. E.II GRAU DR.ABNER A.PACINI</v>
      </c>
      <c r="D83" t="str">
        <f ca="1">IFERROR(__xludf.DUMMYFUNCTION("""COMPUTED_VALUE"""),"01197160000135")</f>
        <v>01197160000135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IFERROR(__xludf.DUMMYFUNCTION("""COMPUTED_VALUE"""),"0107700")</f>
        <v>0107700</v>
      </c>
      <c r="H83" s="8">
        <f ca="1">IFERROR(__xludf.DUMMYFUNCTION("""COMPUTED_VALUE"""),3822)</f>
        <v>3822</v>
      </c>
      <c r="I83" t="str">
        <v>ENS MEDIO PARCIAL</v>
      </c>
    </row>
    <row r="84" spans="1:9" ht="12.75">
      <c r="A84" t="str">
        <f ca="1">IFERROR(__xludf.DUMMYFUNCTION("""COMPUTED_VALUE"""),"Dianópolis")</f>
        <v>Dianópolis</v>
      </c>
      <c r="B84" t="str">
        <f ca="1">IFERROR(__xludf.DUMMYFUNCTION("""COMPUTED_VALUE"""),"Conceicao do Tocantins")</f>
        <v>Conceicao do Tocantins</v>
      </c>
      <c r="C84" t="str">
        <f ca="1">IFERROR(__xludf.DUMMYFUNCTION("""COMPUTED_VALUE"""),"A.A. E. CEL JOSE FRANCISCO DE AZEVEDO")</f>
        <v>A.A. E. CEL JOSE FRANCISCO DE AZEVEDO</v>
      </c>
      <c r="D84" t="str">
        <f ca="1">IFERROR(__xludf.DUMMYFUNCTION("""COMPUTED_VALUE"""),"01136040000128")</f>
        <v>01136040000128</v>
      </c>
      <c r="E84" t="str">
        <f ca="1">IFERROR(__xludf.DUMMYFUNCTION("""COMPUTED_VALUE"""),"001")</f>
        <v>001</v>
      </c>
      <c r="F84" t="str">
        <f ca="1">IFERROR(__xludf.DUMMYFUNCTION("""COMPUTED_VALUE"""),"1307")</f>
        <v>1307</v>
      </c>
      <c r="G84" t="str">
        <f ca="1">IFERROR(__xludf.DUMMYFUNCTION("""COMPUTED_VALUE"""),"106208")</f>
        <v>106208</v>
      </c>
      <c r="H84" s="8">
        <f ca="1">IFERROR(__xludf.DUMMYFUNCTION("""COMPUTED_VALUE"""),4284)</f>
        <v>4284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IFERROR(__xludf.DUMMYFUNCTION("""COMPUTED_VALUE"""),"Dianopolis")</f>
        <v>Dianopolis</v>
      </c>
      <c r="C85" t="str">
        <f ca="1">IFERROR(__xludf.DUMMYFUNCTION("""COMPUTED_VALUE"""),"A. DE APOIO AO COLEGIO JOAO DE ABREU")</f>
        <v>A. DE APOIO AO COLEGIO JOAO DE ABREU</v>
      </c>
      <c r="D85" t="str">
        <f ca="1">IFERROR(__xludf.DUMMYFUNCTION("""COMPUTED_VALUE"""),"05059617000104")</f>
        <v>05059617000104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IFERROR(__xludf.DUMMYFUNCTION("""COMPUTED_VALUE"""),"127027")</f>
        <v>127027</v>
      </c>
      <c r="H85" s="8">
        <f ca="1">IFERROR(__xludf.DUMMYFUNCTION("""COMPUTED_VALUE"""),7497)</f>
        <v>7497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IFERROR(__xludf.DUMMYFUNCTION("""COMPUTED_VALUE"""),"Dianopolis")</f>
        <v>Dianopolis</v>
      </c>
      <c r="C86" t="str">
        <f ca="1">IFERROR(__xludf.DUMMYFUNCTION("""COMPUTED_VALUE"""),"ASSOC. DE APOIO A ESCOLA COOPERATIVA CHAPADÃO/DIANÓPOLIS")</f>
        <v>ASSOC. DE APOIO A ESCOLA COOPERATIVA CHAPADÃO/DIANÓPOLIS</v>
      </c>
      <c r="D86" t="str">
        <f ca="1">IFERROR(__xludf.DUMMYFUNCTION("""COMPUTED_VALUE"""),"07056712000171")</f>
        <v>07056712000171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IFERROR(__xludf.DUMMYFUNCTION("""COMPUTED_VALUE"""),"15704X")</f>
        <v>15704X</v>
      </c>
      <c r="H86" s="8">
        <f ca="1">IFERROR(__xludf.DUMMYFUNCTION("""COMPUTED_VALUE"""),525)</f>
        <v>525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IFERROR(__xludf.DUMMYFUNCTION("""COMPUTED_VALUE"""),"ASS. APOIO ESC. EST.CEL.ABILIO WOLNEY")</f>
        <v>ASS. APOIO ESC. EST.CEL.ABILIO WOLNEY</v>
      </c>
      <c r="D87" t="str">
        <f ca="1">IFERROR(__xludf.DUMMYFUNCTION("""COMPUTED_VALUE"""),"01197161000180")</f>
        <v>01197161000180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IFERROR(__xludf.DUMMYFUNCTION("""COMPUTED_VALUE"""),"120464")</f>
        <v>120464</v>
      </c>
      <c r="H87" s="8">
        <f ca="1">IFERROR(__xludf.DUMMYFUNCTION("""COMPUTED_VALUE"""),5103)</f>
        <v>5103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IFERROR(__xludf.DUMMYFUNCTION("""COMPUTED_VALUE"""),"Novo Jardim")</f>
        <v>Novo Jardim</v>
      </c>
      <c r="C88" t="str">
        <f ca="1">IFERROR(__xludf.DUMMYFUNCTION("""COMPUTED_VALUE"""),"ASS. DE AP. DA ESCOLA ESTADUAL JARDIM")</f>
        <v>ASS. DE AP. DA ESCOLA ESTADUAL JARDIM</v>
      </c>
      <c r="D88" t="str">
        <f ca="1">IFERROR(__xludf.DUMMYFUNCTION("""COMPUTED_VALUE"""),"01408711000162")</f>
        <v>01408711000162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IFERROR(__xludf.DUMMYFUNCTION("""COMPUTED_VALUE"""),"106453")</f>
        <v>106453</v>
      </c>
      <c r="H88" s="8">
        <f ca="1">IFERROR(__xludf.DUMMYFUNCTION("""COMPUTED_VALUE"""),1344)</f>
        <v>1344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IFERROR(__xludf.DUMMYFUNCTION("""COMPUTED_VALUE"""),"Ponte Alta do Bom Jesus")</f>
        <v>Ponte Alta do Bom Jesus</v>
      </c>
      <c r="C89" t="str">
        <f ca="1">IFERROR(__xludf.DUMMYFUNCTION("""COMPUTED_VALUE"""),"A.A. ESC. E. ANTONIO CARLOS DE FRANCA")</f>
        <v>A.A. ESC. E. ANTONIO CARLOS DE FRANCA</v>
      </c>
      <c r="D89" t="str">
        <f ca="1">IFERROR(__xludf.DUMMYFUNCTION("""COMPUTED_VALUE"""),"01223633000121")</f>
        <v>01223633000121</v>
      </c>
      <c r="E89" t="str">
        <f ca="1">IFERROR(__xludf.DUMMYFUNCTION("""COMPUTED_VALUE"""),"001")</f>
        <v>001</v>
      </c>
      <c r="F89" t="str">
        <f ca="1">IFERROR(__xludf.DUMMYFUNCTION("""COMPUTED_VALUE"""),"2704")</f>
        <v>2704</v>
      </c>
      <c r="G89" t="str">
        <f ca="1">IFERROR(__xludf.DUMMYFUNCTION("""COMPUTED_VALUE"""),"102733")</f>
        <v>102733</v>
      </c>
      <c r="H89" s="8">
        <f ca="1">IFERROR(__xludf.DUMMYFUNCTION("""COMPUTED_VALUE"""),3612)</f>
        <v>3612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IFERROR(__xludf.DUMMYFUNCTION("""COMPUTED_VALUE"""),"Ponte Alta do Bom Jesus")</f>
        <v>Ponte Alta do Bom Jesus</v>
      </c>
      <c r="C90" t="str">
        <f ca="1">IFERROR(__xludf.DUMMYFUNCTION("""COMPUTED_VALUE"""),"A.A. E. ESC. EST. BOA VISTA DE BELEM")</f>
        <v>A.A. E. ESC. EST. BOA VISTA DE BELEM</v>
      </c>
      <c r="D90" t="str">
        <f ca="1">IFERROR(__xludf.DUMMYFUNCTION("""COMPUTED_VALUE"""),"01136045000150")</f>
        <v>01136045000150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IFERROR(__xludf.DUMMYFUNCTION("""COMPUTED_VALUE"""),"010762X")</f>
        <v>010762X</v>
      </c>
      <c r="H90" s="8">
        <f ca="1">IFERROR(__xludf.DUMMYFUNCTION("""COMPUTED_VALUE"""),399)</f>
        <v>399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IFERROR(__xludf.DUMMYFUNCTION("""COMPUTED_VALUE"""),"Porto Alegre do Tocantins")</f>
        <v>Porto Alegre do Tocantins</v>
      </c>
      <c r="C91" t="str">
        <f ca="1">IFERROR(__xludf.DUMMYFUNCTION("""COMPUTED_VALUE"""),"ASSOC. APOIO ESC. EST. ALFREDO NASSER")</f>
        <v>ASSOC. APOIO ESC. EST. ALFREDO NASSER</v>
      </c>
      <c r="D91" t="str">
        <f ca="1">IFERROR(__xludf.DUMMYFUNCTION("""COMPUTED_VALUE"""),"01105525000154")</f>
        <v>01105525000154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IFERROR(__xludf.DUMMYFUNCTION("""COMPUTED_VALUE"""),"0106321")</f>
        <v>0106321</v>
      </c>
      <c r="H91" s="8">
        <f ca="1">IFERROR(__xludf.DUMMYFUNCTION("""COMPUTED_VALUE"""),2583)</f>
        <v>2583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IFERROR(__xludf.DUMMYFUNCTION("""COMPUTED_VALUE"""),"Rio da Conceicao")</f>
        <v>Rio da Conceicao</v>
      </c>
      <c r="C92" t="str">
        <f ca="1">IFERROR(__xludf.DUMMYFUNCTION("""COMPUTED_VALUE"""),"A.A. E. E.VIRGILIO FERREIRA DE FRANCA")</f>
        <v>A.A. E. E.VIRGILIO FERREIRA DE FRANCA</v>
      </c>
      <c r="D92" t="str">
        <f ca="1">IFERROR(__xludf.DUMMYFUNCTION("""COMPUTED_VALUE"""),"01136115000170")</f>
        <v>01136115000170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IFERROR(__xludf.DUMMYFUNCTION("""COMPUTED_VALUE"""),"106305")</f>
        <v>106305</v>
      </c>
      <c r="H92" s="8">
        <f ca="1">IFERROR(__xludf.DUMMYFUNCTION("""COMPUTED_VALUE"""),1302)</f>
        <v>1302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IFERROR(__xludf.DUMMYFUNCTION("""COMPUTED_VALUE"""),"Taguatinga")</f>
        <v>Taguatinga</v>
      </c>
      <c r="C93" t="str">
        <f ca="1">IFERROR(__xludf.DUMMYFUNCTION("""COMPUTED_VALUE"""),"A.A.  ESCOLA EST. JUSTINO DE ALMEIDA")</f>
        <v>A.A.  ESCOLA EST. JUSTINO DE ALMEIDA</v>
      </c>
      <c r="D93" t="str">
        <f ca="1">IFERROR(__xludf.DUMMYFUNCTION("""COMPUTED_VALUE"""),"01184379000108")</f>
        <v>01184379000108</v>
      </c>
      <c r="E93" t="str">
        <f ca="1">IFERROR(__xludf.DUMMYFUNCTION("""COMPUTED_VALUE"""),"001")</f>
        <v>001</v>
      </c>
      <c r="F93" t="str">
        <f ca="1">IFERROR(__xludf.DUMMYFUNCTION("""COMPUTED_VALUE"""),"2704")</f>
        <v>2704</v>
      </c>
      <c r="G93" t="str">
        <f ca="1">IFERROR(__xludf.DUMMYFUNCTION("""COMPUTED_VALUE"""),"102563")</f>
        <v>102563</v>
      </c>
      <c r="H93" s="8">
        <f ca="1">IFERROR(__xludf.DUMMYFUNCTION("""COMPUTED_VALUE"""),7665)</f>
        <v>7665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IFERROR(__xludf.DUMMYFUNCTION("""COMPUTED_VALUE"""),"Taipas do Tocantins")</f>
        <v>Taipas do Tocantins</v>
      </c>
      <c r="C94" t="str">
        <f ca="1">IFERROR(__xludf.DUMMYFUNCTION("""COMPUTED_VALUE"""),"A.A. E. EST. JOAQUIM FRANCISCO AZEVEDO")</f>
        <v>A.A. E. EST. JOAQUIM FRANCISCO AZEVEDO</v>
      </c>
      <c r="D94" t="str">
        <f ca="1">IFERROR(__xludf.DUMMYFUNCTION("""COMPUTED_VALUE"""),"01136011000166")</f>
        <v>01136011000166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IFERROR(__xludf.DUMMYFUNCTION("""COMPUTED_VALUE"""),"0106291")</f>
        <v>0106291</v>
      </c>
      <c r="H94" s="8">
        <f ca="1">IFERROR(__xludf.DUMMYFUNCTION("""COMPUTED_VALUE"""),1470)</f>
        <v>1470</v>
      </c>
      <c r="I94" t="str">
        <v>ENS MEDIO PARCIAL</v>
      </c>
    </row>
    <row r="95" spans="1:9" ht="12.75">
      <c r="A95" t="str">
        <f ca="1">IFERROR(__xludf.DUMMYFUNCTION("""COMPUTED_VALUE"""),"Guaraí")</f>
        <v>Guaraí</v>
      </c>
      <c r="B95" t="str">
        <f ca="1">IFERROR(__xludf.DUMMYFUNCTION("""COMPUTED_VALUE"""),"Colmeia")</f>
        <v>Colmeia</v>
      </c>
      <c r="C95" t="str">
        <f ca="1">IFERROR(__xludf.DUMMYFUNCTION("""COMPUTED_VALUE"""),"A.A.  COL. EST. SERRA DAS CORDILHEIRAS")</f>
        <v>A.A.  COL. EST. SERRA DAS CORDILHEIRAS</v>
      </c>
      <c r="D95" t="str">
        <f ca="1">IFERROR(__xludf.DUMMYFUNCTION("""COMPUTED_VALUE"""),"01138330000100")</f>
        <v>01138330000100</v>
      </c>
      <c r="E95" t="str">
        <f ca="1">IFERROR(__xludf.DUMMYFUNCTION("""COMPUTED_VALUE"""),"001")</f>
        <v>001</v>
      </c>
      <c r="F95" t="str">
        <f ca="1">IFERROR(__xludf.DUMMYFUNCTION("""COMPUTED_VALUE"""),"1306")</f>
        <v>1306</v>
      </c>
      <c r="G95" t="str">
        <f ca="1">IFERROR(__xludf.DUMMYFUNCTION("""COMPUTED_VALUE"""),"102776")</f>
        <v>102776</v>
      </c>
      <c r="H95" s="8">
        <f ca="1">IFERROR(__xludf.DUMMYFUNCTION("""COMPUTED_VALUE"""),6153)</f>
        <v>6153</v>
      </c>
      <c r="I95" t="str">
        <v>ENS MEDIO PARCIAL</v>
      </c>
    </row>
    <row r="96" spans="1:9" ht="12.75">
      <c r="A96" t="str">
        <f ca="1">IFERROR(__xludf.DUMMYFUNCTION("""COMPUTED_VALUE"""),"Guaraí")</f>
        <v>Guaraí</v>
      </c>
      <c r="B96" t="str">
        <f ca="1">IFERROR(__xludf.DUMMYFUNCTION("""COMPUTED_VALUE"""),"Colmeia")</f>
        <v>Colmeia</v>
      </c>
      <c r="C96" t="str">
        <f ca="1">IFERROR(__xludf.DUMMYFUNCTION("""COMPUTED_VALUE"""),"A.A. ESC. EST. ARY RIBEIRO VALADAO FILHO")</f>
        <v>A.A. ESC. EST. ARY RIBEIRO VALADAO FILHO</v>
      </c>
      <c r="D96" t="str">
        <f ca="1">IFERROR(__xludf.DUMMYFUNCTION("""COMPUTED_VALUE"""),"01138331000155")</f>
        <v>01138331000155</v>
      </c>
      <c r="E96" t="str">
        <f ca="1">IFERROR(__xludf.DUMMYFUNCTION("""COMPUTED_VALUE"""),"001")</f>
        <v>001</v>
      </c>
      <c r="F96" t="str">
        <f ca="1">IFERROR(__xludf.DUMMYFUNCTION("""COMPUTED_VALUE"""),"1306")</f>
        <v>1306</v>
      </c>
      <c r="G96" t="str">
        <f ca="1">IFERROR(__xludf.DUMMYFUNCTION("""COMPUTED_VALUE"""),"102806")</f>
        <v>102806</v>
      </c>
      <c r="H96" s="8">
        <f ca="1">IFERROR(__xludf.DUMMYFUNCTION("""COMPUTED_VALUE"""),714)</f>
        <v>714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ESC. EST. JUSCELINO K. DE OLIVEIRA")</f>
        <v>A.A. ESC. EST. JUSCELINO K. DE OLIVEIRA</v>
      </c>
      <c r="D97" t="str">
        <f ca="1">IFERROR(__xludf.DUMMYFUNCTION("""COMPUTED_VALUE"""),"01138328000131")</f>
        <v>01138328000131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IFERROR(__xludf.DUMMYFUNCTION("""COMPUTED_VALUE"""),"102768")</f>
        <v>102768</v>
      </c>
      <c r="H97" s="8">
        <f ca="1">IFERROR(__xludf.DUMMYFUNCTION("""COMPUTED_VALUE"""),399)</f>
        <v>399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IFERROR(__xludf.DUMMYFUNCTION("""COMPUTED_VALUE"""),"Couto Magalhaes")</f>
        <v>Couto Magalhaes</v>
      </c>
      <c r="C98" t="str">
        <f ca="1">IFERROR(__xludf.DUMMYFUNCTION("""COMPUTED_VALUE"""),"A.A. COL. EST. ARCHANGELA MILHOMEM")</f>
        <v>A.A. COL. EST. ARCHANGELA MILHOMEM</v>
      </c>
      <c r="D98" t="str">
        <f ca="1">IFERROR(__xludf.DUMMYFUNCTION("""COMPUTED_VALUE"""),"01138334000199")</f>
        <v>01138334000199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IFERROR(__xludf.DUMMYFUNCTION("""COMPUTED_VALUE"""),"50385")</f>
        <v>50385</v>
      </c>
      <c r="H98" s="8">
        <f ca="1">IFERROR(__xludf.DUMMYFUNCTION("""COMPUTED_VALUE"""),1302)</f>
        <v>1302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IFERROR(__xludf.DUMMYFUNCTION("""COMPUTED_VALUE"""),"Couto Magalhaes")</f>
        <v>Couto Magalhaes</v>
      </c>
      <c r="C99" t="str">
        <f ca="1">IFERROR(__xludf.DUMMYFUNCTION("""COMPUTED_VALUE"""),"A.A. ESCOLAR DA E. EST.ULTIMO DE CARVALHO")</f>
        <v>A.A. ESCOLAR DA E. EST.ULTIMO DE CARVALHO</v>
      </c>
      <c r="D99" t="str">
        <f ca="1">IFERROR(__xludf.DUMMYFUNCTION("""COMPUTED_VALUE"""),"04315063000198")</f>
        <v>04315063000198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IFERROR(__xludf.DUMMYFUNCTION("""COMPUTED_VALUE"""),"74802")</f>
        <v>74802</v>
      </c>
      <c r="H99" s="8">
        <f ca="1">IFERROR(__xludf.DUMMYFUNCTION("""COMPUTED_VALUE"""),294)</f>
        <v>294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IFERROR(__xludf.DUMMYFUNCTION("""COMPUTED_VALUE"""),"Goianorte")</f>
        <v>Goianorte</v>
      </c>
      <c r="C100" t="str">
        <f ca="1">IFERROR(__xludf.DUMMYFUNCTION("""COMPUTED_VALUE"""),"A.A. DA ESC. EST. ANTENOR BARREIRA")</f>
        <v>A.A. DA ESC. EST. ANTENOR BARREIRA</v>
      </c>
      <c r="D100" t="str">
        <f ca="1">IFERROR(__xludf.DUMMYFUNCTION("""COMPUTED_VALUE"""),"02069808000150")</f>
        <v>02069808000150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IFERROR(__xludf.DUMMYFUNCTION("""COMPUTED_VALUE"""),"54186")</f>
        <v>54186</v>
      </c>
      <c r="H100" s="8">
        <f ca="1">IFERROR(__xludf.DUMMYFUNCTION("""COMPUTED_VALUE"""),4158)</f>
        <v>4158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IFERROR(__xludf.DUMMYFUNCTION("""COMPUTED_VALUE"""),"Guarai")</f>
        <v>Guarai</v>
      </c>
      <c r="C101" t="str">
        <f ca="1">IFERROR(__xludf.DUMMYFUNCTION("""COMPUTED_VALUE"""),"A.A. DO COL. EST. DONA ANAIDES B.MIRANDA")</f>
        <v>A.A. DO COL. EST. DONA ANAIDES B.MIRANDA</v>
      </c>
      <c r="D101" t="str">
        <f ca="1">IFERROR(__xludf.DUMMYFUNCTION("""COMPUTED_VALUE"""),"01867376000160")</f>
        <v>01867376000160</v>
      </c>
      <c r="E101" t="str">
        <f ca="1">IFERROR(__xludf.DUMMYFUNCTION("""COMPUTED_VALUE"""),"001")</f>
        <v>001</v>
      </c>
      <c r="F101" t="str">
        <f ca="1">IFERROR(__xludf.DUMMYFUNCTION("""COMPUTED_VALUE"""),"2094")</f>
        <v>2094</v>
      </c>
      <c r="G101" t="str">
        <f ca="1">IFERROR(__xludf.DUMMYFUNCTION("""COMPUTED_VALUE"""),"472123")</f>
        <v>472123</v>
      </c>
      <c r="H101" s="8">
        <f ca="1">IFERROR(__xludf.DUMMYFUNCTION("""COMPUTED_VALUE"""),4704)</f>
        <v>4704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IFERROR(__xludf.DUMMYFUNCTION("""COMPUTED_VALUE"""),"Guarai")</f>
        <v>Guarai</v>
      </c>
      <c r="C102" t="str">
        <f ca="1">IFERROR(__xludf.DUMMYFUNCTION("""COMPUTED_VALUE"""),"A.A. ESC. EST.IRINEU ALBANO HENDGES")</f>
        <v>A.A. ESC. EST.IRINEU ALBANO HENDGES</v>
      </c>
      <c r="D102" t="str">
        <f ca="1">IFERROR(__xludf.DUMMYFUNCTION("""COMPUTED_VALUE"""),"01136012000100")</f>
        <v>01136012000100</v>
      </c>
      <c r="E102" t="str">
        <f ca="1">IFERROR(__xludf.DUMMYFUNCTION("""COMPUTED_VALUE"""),"001")</f>
        <v>001</v>
      </c>
      <c r="F102" t="str">
        <f ca="1">IFERROR(__xludf.DUMMYFUNCTION("""COMPUTED_VALUE"""),"2094")</f>
        <v>2094</v>
      </c>
      <c r="G102" t="str">
        <f ca="1">IFERROR(__xludf.DUMMYFUNCTION("""COMPUTED_VALUE"""),"0472433")</f>
        <v>0472433</v>
      </c>
      <c r="H102" s="8">
        <f ca="1">IFERROR(__xludf.DUMMYFUNCTION("""COMPUTED_VALUE"""),9198)</f>
        <v>9198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IFERROR(__xludf.DUMMYFUNCTION("""COMPUTED_VALUE"""),"Itapora do Tocantins")</f>
        <v>Itapora do Tocantins</v>
      </c>
      <c r="C103" t="str">
        <f ca="1">IFERROR(__xludf.DUMMYFUNCTION("""COMPUTED_VALUE"""),"A.A. COL. EST. FRANCISCA ALVES ALENCAR")</f>
        <v>A.A. COL. EST. FRANCISCA ALVES ALENCAR</v>
      </c>
      <c r="D103" t="str">
        <f ca="1">IFERROR(__xludf.DUMMYFUNCTION("""COMPUTED_VALUE"""),"01190193000153")</f>
        <v>01190193000153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IFERROR(__xludf.DUMMYFUNCTION("""COMPUTED_VALUE"""),"102865")</f>
        <v>102865</v>
      </c>
      <c r="H103" s="8">
        <f ca="1">IFERROR(__xludf.DUMMYFUNCTION("""COMPUTED_VALUE"""),1827)</f>
        <v>1827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IFERROR(__xludf.DUMMYFUNCTION("""COMPUTED_VALUE"""),"Pequizeiro")</f>
        <v>Pequizeiro</v>
      </c>
      <c r="C104" t="str">
        <f ca="1">IFERROR(__xludf.DUMMYFUNCTION("""COMPUTED_VALUE"""),"ASSOC. DE APOIO ESC. EST. 1º DE JUNHO")</f>
        <v>ASSOC. DE APOIO ESC. EST. 1º DE JUNHO</v>
      </c>
      <c r="D104" t="str">
        <f ca="1">IFERROR(__xludf.DUMMYFUNCTION("""COMPUTED_VALUE"""),"02060455000128")</f>
        <v>02060455000128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IFERROR(__xludf.DUMMYFUNCTION("""COMPUTED_VALUE"""),"147214")</f>
        <v>147214</v>
      </c>
      <c r="H104" s="8">
        <f ca="1">IFERROR(__xludf.DUMMYFUNCTION("""COMPUTED_VALUE"""),4347)</f>
        <v>4347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IFERROR(__xludf.DUMMYFUNCTION("""COMPUTED_VALUE"""),"Presidente Kennedy")</f>
        <v>Presidente Kennedy</v>
      </c>
      <c r="C105" t="str">
        <f ca="1">IFERROR(__xludf.DUMMYFUNCTION("""COMPUTED_VALUE"""),"A.PAIS E M.COL. EST. JUSCELINO KUBITSCHEK")</f>
        <v>A.PAIS E M.COL. EST. JUSCELINO KUBITSCHEK</v>
      </c>
      <c r="D105" t="str">
        <f ca="1">IFERROR(__xludf.DUMMYFUNCTION("""COMPUTED_VALUE"""),"02060456000172")</f>
        <v>02060456000172</v>
      </c>
      <c r="E105" t="str">
        <f ca="1">IFERROR(__xludf.DUMMYFUNCTION("""COMPUTED_VALUE"""),"001")</f>
        <v>001</v>
      </c>
      <c r="F105" t="str">
        <f ca="1">IFERROR(__xludf.DUMMYFUNCTION("""COMPUTED_VALUE"""),"2094")</f>
        <v>2094</v>
      </c>
      <c r="G105" t="str">
        <f ca="1">IFERROR(__xludf.DUMMYFUNCTION("""COMPUTED_VALUE"""),"047553X")</f>
        <v>047553X</v>
      </c>
      <c r="H105" s="8">
        <f ca="1">IFERROR(__xludf.DUMMYFUNCTION("""COMPUTED_VALUE"""),1890)</f>
        <v>1890</v>
      </c>
      <c r="I105" t="str">
        <v>ENS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IFERROR(__xludf.DUMMYFUNCTION("""COMPUTED_VALUE"""),"Alianca do Tocantins")</f>
        <v>Alianca do Tocantins</v>
      </c>
      <c r="C106" t="str">
        <f ca="1">IFERROR(__xludf.DUMMYFUNCTION("""COMPUTED_VALUE"""),"ASS. APOIO COL. EST. ANITA CASSIMIRO MORENO")</f>
        <v>ASS. APOIO COL. EST. ANITA CASSIMIRO MORENO</v>
      </c>
      <c r="D106" t="str">
        <f ca="1">IFERROR(__xludf.DUMMYFUNCTION("""COMPUTED_VALUE"""),"01304570000138")</f>
        <v>01304570000138</v>
      </c>
      <c r="E106" t="str">
        <f ca="1">IFERROR(__xludf.DUMMYFUNCTION("""COMPUTED_VALUE"""),"001")</f>
        <v>001</v>
      </c>
      <c r="F106" t="str">
        <f ca="1">IFERROR(__xludf.DUMMYFUNCTION("""COMPUTED_VALUE"""),"3972")</f>
        <v>3972</v>
      </c>
      <c r="G106" t="str">
        <f ca="1">IFERROR(__xludf.DUMMYFUNCTION("""COMPUTED_VALUE"""),"245984")</f>
        <v>245984</v>
      </c>
      <c r="H106" s="8">
        <f ca="1">IFERROR(__xludf.DUMMYFUNCTION("""COMPUTED_VALUE"""),3402)</f>
        <v>3402</v>
      </c>
      <c r="I106" t="str">
        <v>ENS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IFERROR(__xludf.DUMMYFUNCTION("""COMPUTED_VALUE"""),"Alvorada")</f>
        <v>Alvorada</v>
      </c>
      <c r="C107" t="str">
        <f ca="1">IFERROR(__xludf.DUMMYFUNCTION("""COMPUTED_VALUE"""),"A.A.  COLEGIO ESTADUAL DE ALVORADA")</f>
        <v>A.A.  COLEGIO ESTADUAL DE ALVORADA</v>
      </c>
      <c r="D107" t="str">
        <f ca="1">IFERROR(__xludf.DUMMYFUNCTION("""COMPUTED_VALUE"""),"01269283000134")</f>
        <v>01269283000134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IFERROR(__xludf.DUMMYFUNCTION("""COMPUTED_VALUE"""),"0088544")</f>
        <v>0088544</v>
      </c>
      <c r="H107" s="8">
        <f ca="1">IFERROR(__xludf.DUMMYFUNCTION("""COMPUTED_VALUE"""),6741)</f>
        <v>6741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IFERROR(__xludf.DUMMYFUNCTION("""COMPUTED_VALUE"""),"Araguacu")</f>
        <v>Araguacu</v>
      </c>
      <c r="C108" t="str">
        <f ca="1">IFERROR(__xludf.DUMMYFUNCTION("""COMPUTED_VALUE"""),"ASS. APOIO ESC. EST. JOAO TAVARES MARTINS")</f>
        <v>ASS. APOIO ESC. EST. JOAO TAVARES MARTINS</v>
      </c>
      <c r="D108" t="str">
        <f ca="1">IFERROR(__xludf.DUMMYFUNCTION("""COMPUTED_VALUE"""),"01133707000139")</f>
        <v>01133707000139</v>
      </c>
      <c r="E108" t="str">
        <f ca="1">IFERROR(__xludf.DUMMYFUNCTION("""COMPUTED_VALUE"""),"001")</f>
        <v>001</v>
      </c>
      <c r="F108" t="str">
        <f ca="1">IFERROR(__xludf.DUMMYFUNCTION("""COMPUTED_VALUE"""),"1304")</f>
        <v>1304</v>
      </c>
      <c r="G108" t="str">
        <f ca="1">IFERROR(__xludf.DUMMYFUNCTION("""COMPUTED_VALUE"""),"112542")</f>
        <v>112542</v>
      </c>
      <c r="H108" s="8">
        <f ca="1">IFERROR(__xludf.DUMMYFUNCTION("""COMPUTED_VALUE"""),6090)</f>
        <v>6090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IFERROR(__xludf.DUMMYFUNCTION("""COMPUTED_VALUE"""),"Cariri do Tocantins")</f>
        <v>Cariri do Tocantins</v>
      </c>
      <c r="C109" t="str">
        <f ca="1">IFERROR(__xludf.DUMMYFUNCTION("""COMPUTED_VALUE"""),"ASS. APOIO ESCOLA ESTADUAL TARSO DUTRA")</f>
        <v>ASS. APOIO ESCOLA ESTADUAL TARSO DUTRA</v>
      </c>
      <c r="D109" t="str">
        <f ca="1">IFERROR(__xludf.DUMMYFUNCTION("""COMPUTED_VALUE"""),"01239275000145")</f>
        <v>01239275000145</v>
      </c>
      <c r="E109" t="str">
        <f ca="1">IFERROR(__xludf.DUMMYFUNCTION("""COMPUTED_VALUE"""),"001")</f>
        <v>001</v>
      </c>
      <c r="F109" t="str">
        <f ca="1">IFERROR(__xludf.DUMMYFUNCTION("""COMPUTED_VALUE"""),"0794")</f>
        <v>0794</v>
      </c>
      <c r="G109" t="str">
        <f ca="1">IFERROR(__xludf.DUMMYFUNCTION("""COMPUTED_VALUE"""),"245496")</f>
        <v>245496</v>
      </c>
      <c r="H109" s="8">
        <f ca="1">IFERROR(__xludf.DUMMYFUNCTION("""COMPUTED_VALUE"""),3381)</f>
        <v>3381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IFERROR(__xludf.DUMMYFUNCTION("""COMPUTED_VALUE"""),"Crixas do Tocantins")</f>
        <v>Crixas do Tocantins</v>
      </c>
      <c r="C110" t="str">
        <f ca="1">IFERROR(__xludf.DUMMYFUNCTION("""COMPUTED_VALUE"""),"ASSOC. DE AP. DA ESC. EST. OLAVO BILAC")</f>
        <v>ASSOC. DE AP. DA ESC. EST. OLAVO BILAC</v>
      </c>
      <c r="D110" t="str">
        <f ca="1">IFERROR(__xludf.DUMMYFUNCTION("""COMPUTED_VALUE"""),"01892440000163")</f>
        <v>01892440000163</v>
      </c>
      <c r="E110" t="str">
        <f ca="1">IFERROR(__xludf.DUMMYFUNCTION("""COMPUTED_VALUE"""),"001")</f>
        <v>001</v>
      </c>
      <c r="F110" t="str">
        <f ca="1">IFERROR(__xludf.DUMMYFUNCTION("""COMPUTED_VALUE"""),"0794")</f>
        <v>0794</v>
      </c>
      <c r="G110" t="str">
        <f ca="1">IFERROR(__xludf.DUMMYFUNCTION("""COMPUTED_VALUE"""),"13498")</f>
        <v>13498</v>
      </c>
      <c r="H110" s="8">
        <f ca="1">IFERROR(__xludf.DUMMYFUNCTION("""COMPUTED_VALUE"""),1239)</f>
        <v>1239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IFERROR(__xludf.DUMMYFUNCTION("""COMPUTED_VALUE"""),"Duere")</f>
        <v>Duere</v>
      </c>
      <c r="C111" t="str">
        <f ca="1">IFERROR(__xludf.DUMMYFUNCTION("""COMPUTED_VALUE"""),"A.P.MESTRES DA ESCOLA EST.ELESBAO LIMA")</f>
        <v>A.P.MESTRES DA ESCOLA EST.ELESBAO LIMA</v>
      </c>
      <c r="D111" t="str">
        <f ca="1">IFERROR(__xludf.DUMMYFUNCTION("""COMPUTED_VALUE"""),"01865387000101")</f>
        <v>01865387000101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IFERROR(__xludf.DUMMYFUNCTION("""COMPUTED_VALUE"""),"6758X")</f>
        <v>6758X</v>
      </c>
      <c r="H111" s="8">
        <f ca="1">IFERROR(__xludf.DUMMYFUNCTION("""COMPUTED_VALUE"""),3045)</f>
        <v>3045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IFERROR(__xludf.DUMMYFUNCTION("""COMPUTED_VALUE"""),"Figueiropolis")</f>
        <v>Figueiropolis</v>
      </c>
      <c r="C112" t="str">
        <f ca="1">IFERROR(__xludf.DUMMYFUNCTION("""COMPUTED_VALUE"""),"A. APOIO COL. EST. ALAIR SENA CONCEICAO")</f>
        <v>A. APOIO COL. EST. ALAIR SENA CONCEICAO</v>
      </c>
      <c r="D112" t="str">
        <f ca="1">IFERROR(__xludf.DUMMYFUNCTION("""COMPUTED_VALUE"""),"01257080000128")</f>
        <v>01257080000128</v>
      </c>
      <c r="E112" t="str">
        <f ca="1">IFERROR(__xludf.DUMMYFUNCTION("""COMPUTED_VALUE"""),"001")</f>
        <v>001</v>
      </c>
      <c r="F112" t="str">
        <f ca="1">IFERROR(__xludf.DUMMYFUNCTION("""COMPUTED_VALUE"""),"3978")</f>
        <v>3978</v>
      </c>
      <c r="G112" t="str">
        <f ca="1">IFERROR(__xludf.DUMMYFUNCTION("""COMPUTED_VALUE"""),"52639")</f>
        <v>52639</v>
      </c>
      <c r="H112" s="8">
        <f ca="1">IFERROR(__xludf.DUMMYFUNCTION("""COMPUTED_VALUE"""),3612)</f>
        <v>3612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IFERROR(__xludf.DUMMYFUNCTION("""COMPUTED_VALUE"""),"Formoso do Araguaia")</f>
        <v>Formoso do Araguaia</v>
      </c>
      <c r="C113" t="str">
        <f ca="1">IFERROR(__xludf.DUMMYFUNCTION("""COMPUTED_VALUE"""),"A.P.E MESTRES DA E. E.BENEDITO P.BANDEIRA")</f>
        <v>A.P.E MESTRES DA E. E.BENEDITO P.BANDEIRA</v>
      </c>
      <c r="D113" t="str">
        <f ca="1">IFERROR(__xludf.DUMMYFUNCTION("""COMPUTED_VALUE"""),"01136026000124")</f>
        <v>01136026000124</v>
      </c>
      <c r="E113" t="str">
        <f ca="1">IFERROR(__xludf.DUMMYFUNCTION("""COMPUTED_VALUE"""),"001")</f>
        <v>001</v>
      </c>
      <c r="F113" t="str">
        <f ca="1">IFERROR(__xludf.DUMMYFUNCTION("""COMPUTED_VALUE"""),"3123")</f>
        <v>3123</v>
      </c>
      <c r="G113" t="str">
        <f ca="1">IFERROR(__xludf.DUMMYFUNCTION("""COMPUTED_VALUE"""),"0303240")</f>
        <v>0303240</v>
      </c>
      <c r="H113" s="8">
        <f ca="1">IFERROR(__xludf.DUMMYFUNCTION("""COMPUTED_VALUE"""),1785)</f>
        <v>1785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IFERROR(__xludf.DUMMYFUNCTION("""COMPUTED_VALUE"""),"Formoso do Araguaia")</f>
        <v>Formoso do Araguaia</v>
      </c>
      <c r="C114" t="str">
        <f ca="1">IFERROR(__xludf.DUMMYFUNCTION("""COMPUTED_VALUE"""),"A.A. COLEGIO ESTADUAL TIRADENTES")</f>
        <v>A.A. COLEGIO ESTADUAL TIRADENTES</v>
      </c>
      <c r="D114" t="str">
        <f ca="1">IFERROR(__xludf.DUMMYFUNCTION("""COMPUTED_VALUE"""),"01263350000103")</f>
        <v>01263350000103</v>
      </c>
      <c r="E114" t="str">
        <f ca="1">IFERROR(__xludf.DUMMYFUNCTION("""COMPUTED_VALUE"""),"001")</f>
        <v>001</v>
      </c>
      <c r="F114" t="str">
        <f ca="1">IFERROR(__xludf.DUMMYFUNCTION("""COMPUTED_VALUE"""),"3123")</f>
        <v>3123</v>
      </c>
      <c r="G114" t="str">
        <f ca="1">IFERROR(__xludf.DUMMYFUNCTION("""COMPUTED_VALUE"""),"302988")</f>
        <v>302988</v>
      </c>
      <c r="H114" s="8">
        <f ca="1">IFERROR(__xludf.DUMMYFUNCTION("""COMPUTED_VALUE"""),5376)</f>
        <v>5376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IFERROR(__xludf.DUMMYFUNCTION("""COMPUTED_VALUE"""),"Gurupi")</f>
        <v>Gurupi</v>
      </c>
      <c r="C115" t="str">
        <f ca="1">IFERROR(__xludf.DUMMYFUNCTION("""COMPUTED_VALUE"""),"ASSOC. A. CENTRO DE ENS. MÉDIO ARY R. VALADÃO FILHO")</f>
        <v>ASSOC. A. CENTRO DE ENS. MÉDIO ARY R. VALADÃO FILHO</v>
      </c>
      <c r="D115" t="str">
        <f ca="1">IFERROR(__xludf.DUMMYFUNCTION("""COMPUTED_VALUE"""),"02152392000130")</f>
        <v>02152392000130</v>
      </c>
      <c r="E115" t="str">
        <f ca="1">IFERROR(__xludf.DUMMYFUNCTION("""COMPUTED_VALUE"""),"001")</f>
        <v>001</v>
      </c>
      <c r="F115" t="str">
        <f ca="1">IFERROR(__xludf.DUMMYFUNCTION("""COMPUTED_VALUE"""),"0794")</f>
        <v>0794</v>
      </c>
      <c r="G115" t="str">
        <f ca="1">IFERROR(__xludf.DUMMYFUNCTION("""COMPUTED_VALUE"""),"420646")</f>
        <v>420646</v>
      </c>
      <c r="H115" s="8">
        <f ca="1">IFERROR(__xludf.DUMMYFUNCTION("""COMPUTED_VALUE"""),16779)</f>
        <v>16779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IFERROR(__xludf.DUMMYFUNCTION("""COMPUTED_VALUE"""),"Gurupi")</f>
        <v>Gurupi</v>
      </c>
      <c r="C116" t="str">
        <f ca="1">IFERROR(__xludf.DUMMYFUNCTION("""COMPUTED_VALUE"""),"A.A. ESC. EST. DR. JOAQUIM P. DA COSTA")</f>
        <v>A.A. ESC. EST. DR. JOAQUIM P. DA COSTA</v>
      </c>
      <c r="D116" t="str">
        <f ca="1">IFERROR(__xludf.DUMMYFUNCTION("""COMPUTED_VALUE"""),"01865386000167")</f>
        <v>01865386000167</v>
      </c>
      <c r="E116" t="str">
        <f ca="1">IFERROR(__xludf.DUMMYFUNCTION("""COMPUTED_VALUE"""),"001")</f>
        <v>001</v>
      </c>
      <c r="F116" t="str">
        <f ca="1">IFERROR(__xludf.DUMMYFUNCTION("""COMPUTED_VALUE"""),"0794")</f>
        <v>0794</v>
      </c>
      <c r="G116" t="str">
        <f ca="1">IFERROR(__xludf.DUMMYFUNCTION("""COMPUTED_VALUE"""),"67288")</f>
        <v>67288</v>
      </c>
      <c r="H116" s="8">
        <f ca="1">IFERROR(__xludf.DUMMYFUNCTION("""COMPUTED_VALUE"""),14364)</f>
        <v>14364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IFERROR(__xludf.DUMMYFUNCTION("""COMPUTED_VALUE"""),"A.A. ESCOLAR DA ESC. EST. DR.WALDIR LINS")</f>
        <v>A.A. ESCOLAR DA ESC. EST. DR.WALDIR LINS</v>
      </c>
      <c r="D117" t="str">
        <f ca="1">IFERROR(__xludf.DUMMYFUNCTION("""COMPUTED_VALUE"""),"01936535000131")</f>
        <v>01936535000131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IFERROR(__xludf.DUMMYFUNCTION("""COMPUTED_VALUE"""),"66966")</f>
        <v>66966</v>
      </c>
      <c r="H117" s="8">
        <f ca="1">IFERROR(__xludf.DUMMYFUNCTION("""COMPUTED_VALUE"""),2646)</f>
        <v>2646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HERCILIA CARVALHO DA SILVA")</f>
        <v>A.A. ESC. EST. HERCILIA CARVALHO DA SILVA</v>
      </c>
      <c r="D118" t="str">
        <f ca="1">IFERROR(__xludf.DUMMYFUNCTION("""COMPUTED_VALUE"""),"01465790000143")</f>
        <v>01465790000143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IFERROR(__xludf.DUMMYFUNCTION("""COMPUTED_VALUE"""),"66834")</f>
        <v>66834</v>
      </c>
      <c r="H118" s="8">
        <f ca="1">IFERROR(__xludf.DUMMYFUNCTION("""COMPUTED_VALUE"""),4095)</f>
        <v>4095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DO INSTITUTO PRESBITERIANO ARAGUAIA")</f>
        <v>A.A. DO INSTITUTO PRESBITERIANO ARAGUAIA</v>
      </c>
      <c r="D119" t="str">
        <f ca="1">IFERROR(__xludf.DUMMYFUNCTION("""COMPUTED_VALUE"""),"03060918000114")</f>
        <v>03060918000114</v>
      </c>
      <c r="E119" t="str">
        <f ca="1">IFERROR(__xludf.DUMMYFUNCTION("""COMPUTED_VALUE"""),"104")</f>
        <v>104</v>
      </c>
      <c r="F119" t="str">
        <f ca="1">IFERROR(__xludf.DUMMYFUNCTION("""COMPUTED_VALUE"""),"0793")</f>
        <v>0793</v>
      </c>
      <c r="G119" t="str">
        <f ca="1">IFERROR(__xludf.DUMMYFUNCTION("""COMPUTED_VALUE"""),"12090")</f>
        <v>12090</v>
      </c>
      <c r="H119" s="8">
        <f ca="1">IFERROR(__xludf.DUMMYFUNCTION("""COMPUTED_VALUE"""),9660)</f>
        <v>9660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IFERROR(__xludf.DUMMYFUNCTION("""COMPUTED_VALUE"""),"Jau do Tocantins")</f>
        <v>Jau do Tocantins</v>
      </c>
      <c r="C120" t="str">
        <f ca="1">IFERROR(__xludf.DUMMYFUNCTION("""COMPUTED_VALUE"""),"AAEC PEDRO LUIZ BONFIM/ADELÁIDE FRANCISCO SOARES")</f>
        <v>AAEC PEDRO LUIZ BONFIM/ADELÁIDE FRANCISCO SOARES</v>
      </c>
      <c r="D120" t="str">
        <f ca="1">IFERROR(__xludf.DUMMYFUNCTION("""COMPUTED_VALUE"""),"02080228000164")</f>
        <v>02080228000164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IFERROR(__xludf.DUMMYFUNCTION("""COMPUTED_VALUE"""),"420743")</f>
        <v>420743</v>
      </c>
      <c r="H120" s="8">
        <f ca="1">IFERROR(__xludf.DUMMYFUNCTION("""COMPUTED_VALUE"""),2982)</f>
        <v>2982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IFERROR(__xludf.DUMMYFUNCTION("""COMPUTED_VALUE"""),"Palmeiropolis")</f>
        <v>Palmeiropolis</v>
      </c>
      <c r="C121" t="str">
        <f ca="1">IFERROR(__xludf.DUMMYFUNCTION("""COMPUTED_VALUE"""),"A.A. ESCOLA ESTADUAL PROFESSORA ONEIDES")</f>
        <v>A.A. ESCOLA ESTADUAL PROFESSORA ONEIDES</v>
      </c>
      <c r="D121" t="str">
        <f ca="1">IFERROR(__xludf.DUMMYFUNCTION("""COMPUTED_VALUE"""),"01262903000103")</f>
        <v>01262903000103</v>
      </c>
      <c r="E121" t="str">
        <f ca="1">IFERROR(__xludf.DUMMYFUNCTION("""COMPUTED_VALUE"""),"001")</f>
        <v>001</v>
      </c>
      <c r="F121" t="str">
        <f ca="1">IFERROR(__xludf.DUMMYFUNCTION("""COMPUTED_VALUE"""),"4608")</f>
        <v>4608</v>
      </c>
      <c r="G121" t="str">
        <f ca="1">IFERROR(__xludf.DUMMYFUNCTION("""COMPUTED_VALUE"""),"79758")</f>
        <v>79758</v>
      </c>
      <c r="H121" s="8">
        <f ca="1">IFERROR(__xludf.DUMMYFUNCTION("""COMPUTED_VALUE"""),3423)</f>
        <v>3423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IFERROR(__xludf.DUMMYFUNCTION("""COMPUTED_VALUE"""),"Palmeiropolis")</f>
        <v>Palmeiropolis</v>
      </c>
      <c r="C122" t="str">
        <f ca="1">IFERROR(__xludf.DUMMYFUNCTION("""COMPUTED_VALUE"""),"A. A.DO COLEGIO EST. DE PALMEIROPOLIS (COLÉGIO MILITAR)")</f>
        <v>A. A.DO COLEGIO EST. DE PALMEIROPOLIS (COLÉGIO MILITAR)</v>
      </c>
      <c r="D122" t="str">
        <f ca="1">IFERROR(__xludf.DUMMYFUNCTION("""COMPUTED_VALUE"""),"01210496000190")</f>
        <v>01210496000190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IFERROR(__xludf.DUMMYFUNCTION("""COMPUTED_VALUE"""),"97438")</f>
        <v>97438</v>
      </c>
      <c r="H122" s="8">
        <f ca="1">IFERROR(__xludf.DUMMYFUNCTION("""COMPUTED_VALUE"""),3507)</f>
        <v>3507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IFERROR(__xludf.DUMMYFUNCTION("""COMPUTED_VALUE"""),"Peixe")</f>
        <v>Peixe</v>
      </c>
      <c r="C123" t="str">
        <f ca="1">IFERROR(__xludf.DUMMYFUNCTION("""COMPUTED_VALUE"""),"A.A. AO COLEGIO ESTADUAL D. ALANO")</f>
        <v>A.A. AO COLEGIO ESTADUAL D. ALANO</v>
      </c>
      <c r="D123" t="str">
        <f ca="1">IFERROR(__xludf.DUMMYFUNCTION("""COMPUTED_VALUE"""),"01133705000140")</f>
        <v>01133705000140</v>
      </c>
      <c r="E123" t="str">
        <f ca="1">IFERROR(__xludf.DUMMYFUNCTION("""COMPUTED_VALUE"""),"001")</f>
        <v>001</v>
      </c>
      <c r="F123" t="str">
        <f ca="1">IFERROR(__xludf.DUMMYFUNCTION("""COMPUTED_VALUE"""),"3979")</f>
        <v>3979</v>
      </c>
      <c r="G123" t="str">
        <f ca="1">IFERROR(__xludf.DUMMYFUNCTION("""COMPUTED_VALUE"""),"53155")</f>
        <v>53155</v>
      </c>
      <c r="H123" s="8">
        <f ca="1">IFERROR(__xludf.DUMMYFUNCTION("""COMPUTED_VALUE"""),5565)</f>
        <v>5565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IFERROR(__xludf.DUMMYFUNCTION("""COMPUTED_VALUE"""),"Sandolandia")</f>
        <v>Sandolandia</v>
      </c>
      <c r="C124" t="str">
        <f ca="1">IFERROR(__xludf.DUMMYFUNCTION("""COMPUTED_VALUE"""),"A.A. A ESC. EST.NOSSA SENHORA APARECIDA")</f>
        <v>A.A. A ESC. EST.NOSSA SENHORA APARECIDA</v>
      </c>
      <c r="D124" t="str">
        <f ca="1">IFERROR(__xludf.DUMMYFUNCTION("""COMPUTED_VALUE"""),"01393269000148")</f>
        <v>01393269000148</v>
      </c>
      <c r="E124" t="str">
        <f ca="1">IFERROR(__xludf.DUMMYFUNCTION("""COMPUTED_VALUE"""),"001")</f>
        <v>001</v>
      </c>
      <c r="F124" t="str">
        <f ca="1">IFERROR(__xludf.DUMMYFUNCTION("""COMPUTED_VALUE"""),"1304")</f>
        <v>1304</v>
      </c>
      <c r="G124" t="str">
        <f ca="1">IFERROR(__xludf.DUMMYFUNCTION("""COMPUTED_VALUE"""),"105163")</f>
        <v>105163</v>
      </c>
      <c r="H124" s="8">
        <f ca="1">IFERROR(__xludf.DUMMYFUNCTION("""COMPUTED_VALUE"""),2667)</f>
        <v>2667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IFERROR(__xludf.DUMMYFUNCTION("""COMPUTED_VALUE"""),"Sandolandia")</f>
        <v>Sandolandia</v>
      </c>
      <c r="C125" t="str">
        <f ca="1">IFERROR(__xludf.DUMMYFUNCTION("""COMPUTED_VALUE"""),"ASS. DE APOIO ESC. EST.PE.JOSE DE ANCHIETA")</f>
        <v>ASS. DE APOIO ESC. EST.PE.JOSE DE ANCHIETA</v>
      </c>
      <c r="D125" t="str">
        <f ca="1">IFERROR(__xludf.DUMMYFUNCTION("""COMPUTED_VALUE"""),"01190190000110")</f>
        <v>01190190000110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IFERROR(__xludf.DUMMYFUNCTION("""COMPUTED_VALUE"""),"105171")</f>
        <v>105171</v>
      </c>
      <c r="H125" s="8">
        <f ca="1">IFERROR(__xludf.DUMMYFUNCTION("""COMPUTED_VALUE"""),378)</f>
        <v>378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IFERROR(__xludf.DUMMYFUNCTION("""COMPUTED_VALUE"""),"Sao Salvador do Tocantins")</f>
        <v>Sao Salvador do Tocantins</v>
      </c>
      <c r="C126" t="str">
        <f ca="1">IFERROR(__xludf.DUMMYFUNCTION("""COMPUTED_VALUE"""),"A.A DA ESCOLA ESTADUAL RETIRO")</f>
        <v>A.A DA ESCOLA ESTADUAL RETIRO</v>
      </c>
      <c r="D126" t="str">
        <f ca="1">IFERROR(__xludf.DUMMYFUNCTION("""COMPUTED_VALUE"""),"04205236000115")</f>
        <v>04205236000115</v>
      </c>
      <c r="E126" t="str">
        <f ca="1">IFERROR(__xludf.DUMMYFUNCTION("""COMPUTED_VALUE"""),"001")</f>
        <v>001</v>
      </c>
      <c r="F126" t="str">
        <f ca="1">IFERROR(__xludf.DUMMYFUNCTION("""COMPUTED_VALUE"""),"4608")</f>
        <v>4608</v>
      </c>
      <c r="G126" t="str">
        <f ca="1">IFERROR(__xludf.DUMMYFUNCTION("""COMPUTED_VALUE"""),"73563")</f>
        <v>73563</v>
      </c>
      <c r="H126" s="8">
        <f ca="1">IFERROR(__xludf.DUMMYFUNCTION("""COMPUTED_VALUE"""),672)</f>
        <v>672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IFERROR(__xludf.DUMMYFUNCTION("""COMPUTED_VALUE"""),"Sao Valerio da Natividade")</f>
        <v>Sao Valerio da Natividade</v>
      </c>
      <c r="C127" t="str">
        <f ca="1">IFERROR(__xludf.DUMMYFUNCTION("""COMPUTED_VALUE"""),"A.P.M.E ALUNOS COL. EST. REGINA S. CAMPOS")</f>
        <v>A.P.M.E ALUNOS COL. EST. REGINA S. CAMPOS</v>
      </c>
      <c r="D127" t="str">
        <f ca="1">IFERROR(__xludf.DUMMYFUNCTION("""COMPUTED_VALUE"""),"01431377000168")</f>
        <v>01431377000168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IFERROR(__xludf.DUMMYFUNCTION("""COMPUTED_VALUE"""),"52477")</f>
        <v>52477</v>
      </c>
      <c r="H127" s="8">
        <f ca="1">IFERROR(__xludf.DUMMYFUNCTION("""COMPUTED_VALUE"""),4179)</f>
        <v>4179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IFERROR(__xludf.DUMMYFUNCTION("""COMPUTED_VALUE"""),"Sucupira")</f>
        <v>Sucupira</v>
      </c>
      <c r="C128" t="str">
        <f ca="1">IFERROR(__xludf.DUMMYFUNCTION("""COMPUTED_VALUE"""),"AS. APOIO ESCOLA ESTADUAL OLAVO BILAC")</f>
        <v>AS. APOIO ESCOLA ESTADUAL OLAVO BILAC</v>
      </c>
      <c r="D128" t="str">
        <f ca="1">IFERROR(__xludf.DUMMYFUNCTION("""COMPUTED_VALUE"""),"01268287000106")</f>
        <v>01268287000106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IFERROR(__xludf.DUMMYFUNCTION("""COMPUTED_VALUE"""),"245852")</f>
        <v>245852</v>
      </c>
      <c r="H128" s="8">
        <f ca="1">IFERROR(__xludf.DUMMYFUNCTION("""COMPUTED_VALUE"""),1470)</f>
        <v>1470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IFERROR(__xludf.DUMMYFUNCTION("""COMPUTED_VALUE"""),"Talisma")</f>
        <v>Talisma</v>
      </c>
      <c r="C129" t="str">
        <f ca="1">IFERROR(__xludf.DUMMYFUNCTION("""COMPUTED_VALUE"""),"A.A.  DO COLEGIO ESTADUAL DE TALISMA")</f>
        <v>A.A.  DO COLEGIO ESTADUAL DE TALISMA</v>
      </c>
      <c r="D129" t="str">
        <f ca="1">IFERROR(__xludf.DUMMYFUNCTION("""COMPUTED_VALUE"""),"07547605000146")</f>
        <v>07547605000146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IFERROR(__xludf.DUMMYFUNCTION("""COMPUTED_VALUE"""),"155446")</f>
        <v>155446</v>
      </c>
      <c r="H129" s="8">
        <f ca="1">IFERROR(__xludf.DUMMYFUNCTION("""COMPUTED_VALUE"""),1932)</f>
        <v>1932</v>
      </c>
      <c r="I129" t="str">
        <v>ENS MEDIO PARCIAL</v>
      </c>
    </row>
    <row r="130" spans="1:9" ht="12.75">
      <c r="A130" t="str">
        <f ca="1">IFERROR(__xludf.DUMMYFUNCTION("""COMPUTED_VALUE"""),"Miracema")</f>
        <v>Miracema</v>
      </c>
      <c r="B130" t="str">
        <f ca="1">IFERROR(__xludf.DUMMYFUNCTION("""COMPUTED_VALUE"""),"dois Irmaos do Tocantins")</f>
        <v>dois Irmaos do Tocantins</v>
      </c>
      <c r="C130" t="str">
        <f ca="1">IFERROR(__xludf.DUMMYFUNCTION("""COMPUTED_VALUE"""),"A.C.E. COL PRES. CASTELO BRANCO")</f>
        <v>A.C.E. COL PRES. CASTELO BRANCO</v>
      </c>
      <c r="D130" t="str">
        <f ca="1">IFERROR(__xludf.DUMMYFUNCTION("""COMPUTED_VALUE"""),"01034882000179")</f>
        <v>01034882000179</v>
      </c>
      <c r="E130" t="str">
        <f ca="1">IFERROR(__xludf.DUMMYFUNCTION("""COMPUTED_VALUE"""),"001")</f>
        <v>001</v>
      </c>
      <c r="F130" t="str">
        <f ca="1">IFERROR(__xludf.DUMMYFUNCTION("""COMPUTED_VALUE"""),"0862")</f>
        <v>0862</v>
      </c>
      <c r="G130" t="str">
        <f ca="1">IFERROR(__xludf.DUMMYFUNCTION("""COMPUTED_VALUE"""),"68950")</f>
        <v>68950</v>
      </c>
      <c r="H130" s="8">
        <f ca="1">IFERROR(__xludf.DUMMYFUNCTION("""COMPUTED_VALUE"""),4494)</f>
        <v>4494</v>
      </c>
      <c r="I130" t="str">
        <v>ENS MEDIO PARCIAL</v>
      </c>
    </row>
    <row r="131" spans="1:9" ht="12.75">
      <c r="A131" t="str">
        <f ca="1">IFERROR(__xludf.DUMMYFUNCTION("""COMPUTED_VALUE"""),"Miracema")</f>
        <v>Miracema</v>
      </c>
      <c r="B131" t="str">
        <f ca="1">IFERROR(__xludf.DUMMYFUNCTION("""COMPUTED_VALUE"""),"Lizarda")</f>
        <v>Lizarda</v>
      </c>
      <c r="C131" t="str">
        <f ca="1">IFERROR(__xludf.DUMMYFUNCTION("""COMPUTED_VALUE"""),"A. ESC. COMUN. DO COL. EST. 31 DE MARCO")</f>
        <v>A. ESC. COMUN. DO COL. EST. 31 DE MARCO</v>
      </c>
      <c r="D131" t="str">
        <f ca="1">IFERROR(__xludf.DUMMYFUNCTION("""COMPUTED_VALUE"""),"01232873000192")</f>
        <v>01232873000192</v>
      </c>
      <c r="E131" t="str">
        <f ca="1">IFERROR(__xludf.DUMMYFUNCTION("""COMPUTED_VALUE"""),"001")</f>
        <v>001</v>
      </c>
      <c r="F131" t="str">
        <f ca="1">IFERROR(__xludf.DUMMYFUNCTION("""COMPUTED_VALUE"""),"0862")</f>
        <v>0862</v>
      </c>
      <c r="G131" t="str">
        <f ca="1">IFERROR(__xludf.DUMMYFUNCTION("""COMPUTED_VALUE"""),"68969")</f>
        <v>68969</v>
      </c>
      <c r="H131" s="8">
        <f ca="1">IFERROR(__xludf.DUMMYFUNCTION("""COMPUTED_VALUE"""),3528)</f>
        <v>3528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IFERROR(__xludf.DUMMYFUNCTION("""COMPUTED_VALUE"""),"Lizarda")</f>
        <v>Lizarda</v>
      </c>
      <c r="C132" t="str">
        <f ca="1">IFERROR(__xludf.DUMMYFUNCTION("""COMPUTED_VALUE"""),"ESCOLA ESTADUAL AYRTON SENNA")</f>
        <v>ESCOLA ESTADUAL AYRTON SENNA</v>
      </c>
      <c r="D132" t="str">
        <f ca="1">IFERROR(__xludf.DUMMYFUNCTION("""COMPUTED_VALUE"""),"11406586000105")</f>
        <v>11406586000105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IFERROR(__xludf.DUMMYFUNCTION("""COMPUTED_VALUE"""),"270393")</f>
        <v>270393</v>
      </c>
      <c r="H132" s="8">
        <f ca="1">IFERROR(__xludf.DUMMYFUNCTION("""COMPUTED_VALUE"""),630)</f>
        <v>630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IFERROR(__xludf.DUMMYFUNCTION("""COMPUTED_VALUE"""),"Miracema do Tocantins")</f>
        <v>Miracema do Tocantins</v>
      </c>
      <c r="C133" t="str">
        <f ca="1">IFERROR(__xludf.DUMMYFUNCTION("""COMPUTED_VALUE"""),"ASS. DE APOIO AO CEM SANTA TEREZINHA")</f>
        <v>ASS. DE APOIO AO CEM SANTA TEREZINHA</v>
      </c>
      <c r="D133" t="str">
        <f ca="1">IFERROR(__xludf.DUMMYFUNCTION("""COMPUTED_VALUE"""),"01085211000137")</f>
        <v>01085211000137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IFERROR(__xludf.DUMMYFUNCTION("""COMPUTED_VALUE"""),"244589")</f>
        <v>244589</v>
      </c>
      <c r="H133" s="8">
        <f ca="1">IFERROR(__xludf.DUMMYFUNCTION("""COMPUTED_VALUE"""),4284)</f>
        <v>4284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IFERROR(__xludf.DUMMYFUNCTION("""COMPUTED_VALUE"""),"Miracema do Tocantins")</f>
        <v>Miracema do Tocantins</v>
      </c>
      <c r="C134" t="str">
        <f ca="1">IFERROR(__xludf.DUMMYFUNCTION("""COMPUTED_VALUE"""),"SOCIEDADE EDUCADORA FEMININA/COLÉGIO TOCANTINS")</f>
        <v>SOCIEDADE EDUCADORA FEMININA/COLÉGIO TOCANTINS</v>
      </c>
      <c r="D134" t="str">
        <f ca="1">IFERROR(__xludf.DUMMYFUNCTION("""COMPUTED_VALUE"""),"61373585000694")</f>
        <v>61373585000694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IFERROR(__xludf.DUMMYFUNCTION("""COMPUTED_VALUE"""),"69086")</f>
        <v>69086</v>
      </c>
      <c r="H134" s="8">
        <f ca="1">IFERROR(__xludf.DUMMYFUNCTION("""COMPUTED_VALUE"""),4914)</f>
        <v>4914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IFERROR(__xludf.DUMMYFUNCTION("""COMPUTED_VALUE"""),"A.COM.DA ESC. EST. JOSE D. VASCONCELOS")</f>
        <v>A.COM.DA ESC. EST. JOSE D. VASCONCELOS</v>
      </c>
      <c r="D135" t="str">
        <f ca="1">IFERROR(__xludf.DUMMYFUNCTION("""COMPUTED_VALUE"""),"01068379000134")</f>
        <v>01068379000134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IFERROR(__xludf.DUMMYFUNCTION("""COMPUTED_VALUE"""),"69035")</f>
        <v>69035</v>
      </c>
      <c r="H135" s="8">
        <f ca="1">IFERROR(__xludf.DUMMYFUNCTION("""COMPUTED_VALUE"""),4914)</f>
        <v>4914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IFERROR(__xludf.DUMMYFUNCTION("""COMPUTED_VALUE"""),"A.P.M.A. ESC. CONV. ONESINA BANDEIRA")</f>
        <v>A.P.M.A. ESC. CONV. ONESINA BANDEIRA</v>
      </c>
      <c r="D136" t="str">
        <f ca="1">IFERROR(__xludf.DUMMYFUNCTION("""COMPUTED_VALUE"""),"01133700000117")</f>
        <v>01133700000117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IFERROR(__xludf.DUMMYFUNCTION("""COMPUTED_VALUE"""),"69051")</f>
        <v>69051</v>
      </c>
      <c r="H136" s="8">
        <f ca="1">IFERROR(__xludf.DUMMYFUNCTION("""COMPUTED_VALUE"""),1596)</f>
        <v>1596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IFERROR(__xludf.DUMMYFUNCTION("""COMPUTED_VALUE"""),"Miranorte")</f>
        <v>Miranorte</v>
      </c>
      <c r="C137" t="str">
        <f ca="1">IFERROR(__xludf.DUMMYFUNCTION("""COMPUTED_VALUE"""),"ASSOC. COM. DO COL. RUI BRASIL CAVALCANTE")</f>
        <v>ASSOC. COM. DO COL. RUI BRASIL CAVALCANTE</v>
      </c>
      <c r="D137" t="str">
        <f ca="1">IFERROR(__xludf.DUMMYFUNCTION("""COMPUTED_VALUE"""),"01112765000186")</f>
        <v>01112765000186</v>
      </c>
      <c r="E137" t="str">
        <f ca="1">IFERROR(__xludf.DUMMYFUNCTION("""COMPUTED_VALUE"""),"001")</f>
        <v>001</v>
      </c>
      <c r="F137" t="str">
        <f ca="1">IFERROR(__xludf.DUMMYFUNCTION("""COMPUTED_VALUE"""),"4560")</f>
        <v>4560</v>
      </c>
      <c r="G137" t="str">
        <f ca="1">IFERROR(__xludf.DUMMYFUNCTION("""COMPUTED_VALUE"""),"78905")</f>
        <v>78905</v>
      </c>
      <c r="H137" s="8">
        <f ca="1">IFERROR(__xludf.DUMMYFUNCTION("""COMPUTED_VALUE"""),10962)</f>
        <v>10962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IFERROR(__xludf.DUMMYFUNCTION("""COMPUTED_VALUE"""),"Rio dos Bois")</f>
        <v>Rio dos Bois</v>
      </c>
      <c r="C138" t="str">
        <f ca="1">IFERROR(__xludf.DUMMYFUNCTION("""COMPUTED_VALUE"""),"A.A. ESC EST DR. VALDECY PINHEIRO")</f>
        <v>A.A. ESC EST DR. VALDECY PINHEIRO</v>
      </c>
      <c r="D138" t="str">
        <f ca="1">IFERROR(__xludf.DUMMYFUNCTION("""COMPUTED_VALUE"""),"01079937000167")</f>
        <v>01079937000167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IFERROR(__xludf.DUMMYFUNCTION("""COMPUTED_VALUE"""),"69116")</f>
        <v>69116</v>
      </c>
      <c r="H138" s="8">
        <f ca="1">IFERROR(__xludf.DUMMYFUNCTION("""COMPUTED_VALUE"""),2100)</f>
        <v>2100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IFERROR(__xludf.DUMMYFUNCTION("""COMPUTED_VALUE"""),"Tocantinia")</f>
        <v>Tocantinia</v>
      </c>
      <c r="C139" t="str">
        <f ca="1">IFERROR(__xludf.DUMMYFUNCTION("""COMPUTED_VALUE"""),"ASSOC. DE PAIS E MEST. DO COL. EST. BATISTA PROFª BEATRIZ R. DA SILVA")</f>
        <v>ASSOC. DE PAIS E MEST. DO COL. EST. BATISTA PROFª BEATRIZ R. DA SILVA</v>
      </c>
      <c r="D139" t="str">
        <f ca="1">IFERROR(__xludf.DUMMYFUNCTION("""COMPUTED_VALUE"""),"15132209000186")</f>
        <v>15132209000186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IFERROR(__xludf.DUMMYFUNCTION("""COMPUTED_VALUE"""),"277037")</f>
        <v>277037</v>
      </c>
      <c r="H139" s="8">
        <f ca="1">IFERROR(__xludf.DUMMYFUNCTION("""COMPUTED_VALUE"""),3864)</f>
        <v>3864</v>
      </c>
      <c r="I139" t="str">
        <v>ENS MEDIO PARCIAL</v>
      </c>
    </row>
    <row r="140" spans="1:9" ht="12.75">
      <c r="A140" t="str">
        <f ca="1">IFERROR(__xludf.DUMMYFUNCTION("""COMPUTED_VALUE"""),"Palmas")</f>
        <v>Palmas</v>
      </c>
      <c r="B140" t="str">
        <f ca="1">IFERROR(__xludf.DUMMYFUNCTION("""COMPUTED_VALUE"""),"Aparecida do Rio Negro")</f>
        <v>Aparecida do Rio Negro</v>
      </c>
      <c r="C140" t="str">
        <f ca="1">IFERROR(__xludf.DUMMYFUNCTION("""COMPUTED_VALUE"""),"ASS. DE AP. DO COL. EST. MEIRA MATOS")</f>
        <v>ASS. DE AP. DO COL. EST. MEIRA MATOS</v>
      </c>
      <c r="D140" t="str">
        <f ca="1">IFERROR(__xludf.DUMMYFUNCTION("""COMPUTED_VALUE"""),"01186452000172")</f>
        <v>01186452000172</v>
      </c>
      <c r="E140" t="str">
        <f ca="1">IFERROR(__xludf.DUMMYFUNCTION("""COMPUTED_VALUE"""),"001")</f>
        <v>001</v>
      </c>
      <c r="F140" t="str">
        <f ca="1">IFERROR(__xludf.DUMMYFUNCTION("""COMPUTED_VALUE"""),"1505")</f>
        <v>1505</v>
      </c>
      <c r="G140" t="str">
        <f ca="1">IFERROR(__xludf.DUMMYFUNCTION("""COMPUTED_VALUE"""),"327972")</f>
        <v>327972</v>
      </c>
      <c r="H140" s="8">
        <f ca="1">IFERROR(__xludf.DUMMYFUNCTION("""COMPUTED_VALUE"""),4788)</f>
        <v>4788</v>
      </c>
      <c r="I140" t="str">
        <v>ENS MEDIO PARCIAL</v>
      </c>
    </row>
    <row r="141" spans="1:9" ht="12.75">
      <c r="A141" t="str">
        <f ca="1">IFERROR(__xludf.DUMMYFUNCTION("""COMPUTED_VALUE"""),"Palmas")</f>
        <v>Palmas</v>
      </c>
      <c r="B141" t="str">
        <f ca="1">IFERROR(__xludf.DUMMYFUNCTION("""COMPUTED_VALUE"""),"Lagoa do Tocantins")</f>
        <v>Lagoa do Tocantins</v>
      </c>
      <c r="C141" t="str">
        <f ca="1">IFERROR(__xludf.DUMMYFUNCTION("""COMPUTED_VALUE"""),"ASS. DE AP. DA ESC. EST. SALMON DO A.BRITO")</f>
        <v>ASS. DE AP. DA ESC. EST. SALMON DO A.BRITO</v>
      </c>
      <c r="D141" t="str">
        <f ca="1">IFERROR(__xludf.DUMMYFUNCTION("""COMPUTED_VALUE"""),"01440941000109")</f>
        <v>01440941000109</v>
      </c>
      <c r="E141" t="str">
        <f ca="1">IFERROR(__xludf.DUMMYFUNCTION("""COMPUTED_VALUE"""),"001")</f>
        <v>001</v>
      </c>
      <c r="F141" t="str">
        <f ca="1">IFERROR(__xludf.DUMMYFUNCTION("""COMPUTED_VALUE"""),"1505")</f>
        <v>1505</v>
      </c>
      <c r="G141" t="str">
        <f ca="1">IFERROR(__xludf.DUMMYFUNCTION("""COMPUTED_VALUE"""),"465410")</f>
        <v>465410</v>
      </c>
      <c r="H141" s="8">
        <f ca="1">IFERROR(__xludf.DUMMYFUNCTION("""COMPUTED_VALUE"""),5481)</f>
        <v>5481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IFERROR(__xludf.DUMMYFUNCTION("""COMPUTED_VALUE"""),"Lajeado")</f>
        <v>Lajeado</v>
      </c>
      <c r="C142" t="str">
        <f ca="1">IFERROR(__xludf.DUMMYFUNCTION("""COMPUTED_VALUE"""),"A.A. COM. E. E.N.SRA.DA PROVIDENCIA")</f>
        <v>A.A. COM. E. E.N.SRA.DA PROVIDENCIA</v>
      </c>
      <c r="D142" t="str">
        <f ca="1">IFERROR(__xludf.DUMMYFUNCTION("""COMPUTED_VALUE"""),"01138324000153")</f>
        <v>01138324000153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IFERROR(__xludf.DUMMYFUNCTION("""COMPUTED_VALUE"""),"69132")</f>
        <v>69132</v>
      </c>
      <c r="H142" s="8">
        <f ca="1">IFERROR(__xludf.DUMMYFUNCTION("""COMPUTED_VALUE"""),2667)</f>
        <v>2667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IFERROR(__xludf.DUMMYFUNCTION("""COMPUTED_VALUE"""),"Mateiros")</f>
        <v>Mateiros</v>
      </c>
      <c r="C143" t="str">
        <f ca="1">IFERROR(__xludf.DUMMYFUNCTION("""COMPUTED_VALUE"""),"ASS. A. ESC. EST.ESTEFANIO TELES DAS CHAGAS")</f>
        <v>ASS. A. ESC. EST.ESTEFANIO TELES DAS CHAGAS</v>
      </c>
      <c r="D143" t="str">
        <f ca="1">IFERROR(__xludf.DUMMYFUNCTION("""COMPUTED_VALUE"""),"01206219000104")</f>
        <v>01206219000104</v>
      </c>
      <c r="E143" t="str">
        <f ca="1">IFERROR(__xludf.DUMMYFUNCTION("""COMPUTED_VALUE"""),"001")</f>
        <v>001</v>
      </c>
      <c r="F143" t="str">
        <f ca="1">IFERROR(__xludf.DUMMYFUNCTION("""COMPUTED_VALUE"""),"3962")</f>
        <v>3962</v>
      </c>
      <c r="G143" t="str">
        <f ca="1">IFERROR(__xludf.DUMMYFUNCTION("""COMPUTED_VALUE"""),"127795")</f>
        <v>127795</v>
      </c>
      <c r="H143" s="8">
        <f ca="1">IFERROR(__xludf.DUMMYFUNCTION("""COMPUTED_VALUE"""),2730)</f>
        <v>2730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IFERROR(__xludf.DUMMYFUNCTION("""COMPUTED_VALUE"""),"Novo Acordo")</f>
        <v>Novo Acordo</v>
      </c>
      <c r="C144" t="str">
        <f ca="1">IFERROR(__xludf.DUMMYFUNCTION("""COMPUTED_VALUE"""),"ASS. A. AO COL. EST. D. PEDRO I/N.ACORDO")</f>
        <v>ASS. A. AO COL. EST. D. PEDRO I/N.ACORDO</v>
      </c>
      <c r="D144" t="str">
        <f ca="1">IFERROR(__xludf.DUMMYFUNCTION("""COMPUTED_VALUE"""),"01133690000110")</f>
        <v>01133690000110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IFERROR(__xludf.DUMMYFUNCTION("""COMPUTED_VALUE"""),"157856")</f>
        <v>157856</v>
      </c>
      <c r="H144" s="8">
        <f ca="1">IFERROR(__xludf.DUMMYFUNCTION("""COMPUTED_VALUE"""),4494)</f>
        <v>4494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IFERROR(__xludf.DUMMYFUNCTION("""COMPUTED_VALUE"""),"Palmas")</f>
        <v>Palmas</v>
      </c>
      <c r="C145" t="str">
        <f ca="1">IFERROR(__xludf.DUMMYFUNCTION("""COMPUTED_VALUE"""),"A. DE CONSELHO ESCOLAR DO CEM 305 NORTE")</f>
        <v>A. DE CONSELHO ESCOLAR DO CEM 305 NORTE</v>
      </c>
      <c r="D145" t="str">
        <f ca="1">IFERROR(__xludf.DUMMYFUNCTION("""COMPUTED_VALUE"""),"04701394000166")</f>
        <v>04701394000166</v>
      </c>
      <c r="E145" t="str">
        <f ca="1">IFERROR(__xludf.DUMMYFUNCTION("""COMPUTED_VALUE"""),"001")</f>
        <v>001</v>
      </c>
      <c r="F145" t="str">
        <f ca="1">IFERROR(__xludf.DUMMYFUNCTION("""COMPUTED_VALUE"""),"1505")</f>
        <v>1505</v>
      </c>
      <c r="G145" t="str">
        <f ca="1">IFERROR(__xludf.DUMMYFUNCTION("""COMPUTED_VALUE"""),"455261")</f>
        <v>455261</v>
      </c>
      <c r="H145" s="8">
        <f ca="1">IFERROR(__xludf.DUMMYFUNCTION("""COMPUTED_VALUE"""),12327)</f>
        <v>12327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IFERROR(__xludf.DUMMYFUNCTION("""COMPUTED_VALUE"""),"Palmas")</f>
        <v>Palmas</v>
      </c>
      <c r="C146" t="str">
        <f ca="1">IFERROR(__xludf.DUMMYFUNCTION("""COMPUTED_VALUE"""),"ASSOC. DE APOIO COL. EST. DE TAQUARALTO")</f>
        <v>ASSOC. DE APOIO COL. EST. DE TAQUARALTO</v>
      </c>
      <c r="D146" t="str">
        <f ca="1">IFERROR(__xludf.DUMMYFUNCTION("""COMPUTED_VALUE"""),"03233677000168")</f>
        <v>03233677000168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IFERROR(__xludf.DUMMYFUNCTION("""COMPUTED_VALUE"""),"455059")</f>
        <v>455059</v>
      </c>
      <c r="H146" s="8">
        <f ca="1">IFERROR(__xludf.DUMMYFUNCTION("""COMPUTED_VALUE"""),31563)</f>
        <v>31563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IFERROR(__xludf.DUMMYFUNCTION("""COMPUTED_VALUE"""),"ASSOC. COMUN.ESCOLAR DA ESC. EST. TIRADENTES")</f>
        <v>ASSOC. COMUN.ESCOLAR DA ESC. EST. TIRADENTES</v>
      </c>
      <c r="D147" t="str">
        <f ca="1">IFERROR(__xludf.DUMMYFUNCTION("""COMPUTED_VALUE"""),"00862122000197")</f>
        <v>00862122000197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IFERROR(__xludf.DUMMYFUNCTION("""COMPUTED_VALUE"""),"250562")</f>
        <v>250562</v>
      </c>
      <c r="H147" s="8">
        <f ca="1">IFERROR(__xludf.DUMMYFUNCTION("""COMPUTED_VALUE"""),26922)</f>
        <v>26922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IFERROR(__xludf.DUMMYFUNCTION("""COMPUTED_VALUE"""),"A.C.ESC.M.FUT. C.E. CRIANCA ESPERANCA")</f>
        <v>A.C.ESC.M.FUT. C.E. CRIANCA ESPERANCA</v>
      </c>
      <c r="D148" t="str">
        <f ca="1">IFERROR(__xludf.DUMMYFUNCTION("""COMPUTED_VALUE"""),"01920781000103")</f>
        <v>01920781000103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IFERROR(__xludf.DUMMYFUNCTION("""COMPUTED_VALUE"""),"455369")</f>
        <v>455369</v>
      </c>
      <c r="H148" s="8">
        <f ca="1">IFERROR(__xludf.DUMMYFUNCTION("""COMPUTED_VALUE"""),5292)</f>
        <v>5292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IFERROR(__xludf.DUMMYFUNCTION("""COMPUTED_VALUE"""),"A. COM. E-E. E. DOM ALANO MARIE DU NODAY")</f>
        <v>A. COM. E-E. E. DOM ALANO MARIE DU NODAY</v>
      </c>
      <c r="D149" t="str">
        <f ca="1">IFERROR(__xludf.DUMMYFUNCTION("""COMPUTED_VALUE"""),"01343125000187")</f>
        <v>01343125000187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IFERROR(__xludf.DUMMYFUNCTION("""COMPUTED_VALUE"""),"265810")</f>
        <v>265810</v>
      </c>
      <c r="H149" s="8">
        <f ca="1">IFERROR(__xludf.DUMMYFUNCTION("""COMPUTED_VALUE"""),17304)</f>
        <v>17304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8">
        <f ca="1">IFERROR(__xludf.DUMMYFUNCTION("""COMPUTED_VALUE"""),6216)</f>
        <v>6216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IFERROR(__xludf.DUMMYFUNCTION("""COMPUTED_VALUE"""),"A.A. COL GIRASSOL TEMPO INTEGRAL RAQUEL QUEIROZ")</f>
        <v>A.A. COL GIRASSOL TEMPO INTEGRAL RAQUEL QUEIROZ</v>
      </c>
      <c r="D151" t="str">
        <f ca="1">IFERROR(__xludf.DUMMYFUNCTION("""COMPUTED_VALUE"""),"13748657000183")</f>
        <v>13748657000183</v>
      </c>
      <c r="E151" t="str">
        <f ca="1">IFERROR(__xludf.DUMMYFUNCTION("""COMPUTED_VALUE"""),"001")</f>
        <v>001</v>
      </c>
      <c r="F151" t="str">
        <f ca="1">IFERROR(__xludf.DUMMYFUNCTION("""COMPUTED_VALUE"""),"1867")</f>
        <v>1867</v>
      </c>
      <c r="G151" t="str">
        <f ca="1">IFERROR(__xludf.DUMMYFUNCTION("""COMPUTED_VALUE"""),"856312")</f>
        <v>856312</v>
      </c>
      <c r="H151" s="8">
        <f ca="1">IFERROR(__xludf.DUMMYFUNCTION("""COMPUTED_VALUE"""),15477)</f>
        <v>15477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IFERROR(__xludf.DUMMYFUNCTION("""COMPUTED_VALUE"""),"A.COM. ESC. E. E.BEIRA RIO/PORTO NACIONAL")</f>
        <v>A.COM. ESC. E. E.BEIRA RIO/PORTO NACIONAL</v>
      </c>
      <c r="D152" t="str">
        <f ca="1">IFERROR(__xludf.DUMMYFUNCTION("""COMPUTED_VALUE"""),"01797298000175")</f>
        <v>01797298000175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IFERROR(__xludf.DUMMYFUNCTION("""COMPUTED_VALUE"""),"209929")</f>
        <v>209929</v>
      </c>
      <c r="H152" s="8">
        <f ca="1">IFERROR(__xludf.DUMMYFUNCTION("""COMPUTED_VALUE"""),10941)</f>
        <v>10941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UN.ESC. FREDEDERICO J. PEDRERA NETO")</f>
        <v>ACE UN.ESC. FREDEDERICO J. PEDRERA NETO</v>
      </c>
      <c r="D153" t="str">
        <f ca="1">IFERROR(__xludf.DUMMYFUNCTION("""COMPUTED_VALUE"""),"01862534000190")</f>
        <v>01862534000190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IFERROR(__xludf.DUMMYFUNCTION("""COMPUTED_VALUE"""),"1079972")</f>
        <v>1079972</v>
      </c>
      <c r="H153" s="8">
        <f ca="1">IFERROR(__xludf.DUMMYFUNCTION("""COMPUTED_VALUE"""),17745)</f>
        <v>17745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IFERROR(__xludf.DUMMYFUNCTION("""COMPUTED_VALUE"""),"A.CONS.ESCOLAR E. EST.I GRAU LIBERDADE")</f>
        <v>A.CONS.ESCOLAR E. EST.I GRAU LIBERDADE</v>
      </c>
      <c r="D154" t="str">
        <f ca="1">IFERROR(__xludf.DUMMYFUNCTION("""COMPUTED_VALUE"""),"01936355000150")</f>
        <v>01936355000150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IFERROR(__xludf.DUMMYFUNCTION("""COMPUTED_VALUE"""),"257028")</f>
        <v>257028</v>
      </c>
      <c r="H154" s="8">
        <f ca="1">IFERROR(__xludf.DUMMYFUNCTION("""COMPUTED_VALUE"""),9828)</f>
        <v>9828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IFERROR(__xludf.DUMMYFUNCTION("""COMPUTED_VALUE"""),"ASSOC APOIO ESC EST MARIA DOS REIS ALVES BARROS")</f>
        <v>ASSOC APOIO ESC EST MARIA DOS REIS ALVES BARROS</v>
      </c>
      <c r="D155" t="str">
        <f ca="1">IFERROR(__xludf.DUMMYFUNCTION("""COMPUTED_VALUE"""),"08641263000191")</f>
        <v>08641263000191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IFERROR(__xludf.DUMMYFUNCTION("""COMPUTED_VALUE"""),"413666")</f>
        <v>413666</v>
      </c>
      <c r="H155" s="8">
        <f ca="1">IFERROR(__xludf.DUMMYFUNCTION("""COMPUTED_VALUE"""),12726)</f>
        <v>12726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IFERROR(__xludf.DUMMYFUNCTION("""COMPUTED_VALUE"""),"A.COM. DA ESC. EST. NOVO HORIZONTE")</f>
        <v>A.COM. DA ESC. EST. NOVO HORIZONTE</v>
      </c>
      <c r="D156" t="str">
        <f ca="1">IFERROR(__xludf.DUMMYFUNCTION("""COMPUTED_VALUE"""),"01221539000133")</f>
        <v>01221539000133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IFERROR(__xludf.DUMMYFUNCTION("""COMPUTED_VALUE"""),"351687")</f>
        <v>351687</v>
      </c>
      <c r="H156" s="8">
        <f ca="1">IFERROR(__xludf.DUMMYFUNCTION("""COMPUTED_VALUE"""),8988)</f>
        <v>8988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IFERROR(__xludf.DUMMYFUNCTION("""COMPUTED_VALUE"""),"A.COMUN.ESCOLA-DA ESC. EST. SETOR SUL")</f>
        <v>A.COMUN.ESCOLA-DA ESC. EST. SETOR SUL</v>
      </c>
      <c r="D157" t="str">
        <f ca="1">IFERROR(__xludf.DUMMYFUNCTION("""COMPUTED_VALUE"""),"01926545000196")</f>
        <v>01926545000196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IFERROR(__xludf.DUMMYFUNCTION("""COMPUTED_VALUE"""),"258105")</f>
        <v>258105</v>
      </c>
      <c r="H157" s="8">
        <f ca="1">IFERROR(__xludf.DUMMYFUNCTION("""COMPUTED_VALUE"""),7182)</f>
        <v>7182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IFERROR(__xludf.DUMMYFUNCTION("""COMPUTED_VALUE"""),"A.COMUNIDADE ESCOLA/E. EST. VALE DO SOL")</f>
        <v>A.COMUNIDADE ESCOLA/E. EST. VALE DO SOL</v>
      </c>
      <c r="D158" t="str">
        <f ca="1">IFERROR(__xludf.DUMMYFUNCTION("""COMPUTED_VALUE"""),"01873442000105")</f>
        <v>01873442000105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IFERROR(__xludf.DUMMYFUNCTION("""COMPUTED_VALUE"""),"256404")</f>
        <v>256404</v>
      </c>
      <c r="H158" s="8">
        <f ca="1">IFERROR(__xludf.DUMMYFUNCTION("""COMPUTED_VALUE"""),7623)</f>
        <v>7623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IFERROR(__xludf.DUMMYFUNCTION("""COMPUTED_VALUE"""),"A.P.M.DA ESC. EST. DE I GRAU VILA UNIAO")</f>
        <v>A.P.M.DA ESC. EST. DE I GRAU VILA UNIAO</v>
      </c>
      <c r="D159" t="str">
        <f ca="1">IFERROR(__xludf.DUMMYFUNCTION("""COMPUTED_VALUE"""),"01926551000143")</f>
        <v>01926551000143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IFERROR(__xludf.DUMMYFUNCTION("""COMPUTED_VALUE"""),"255734")</f>
        <v>255734</v>
      </c>
      <c r="H159" s="8">
        <f ca="1">IFERROR(__xludf.DUMMYFUNCTION("""COMPUTED_VALUE"""),3213)</f>
        <v>3213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IFERROR(__xludf.DUMMYFUNCTION("""COMPUTED_VALUE"""),"Rio Sono")</f>
        <v>Rio Sono</v>
      </c>
      <c r="C160" t="str">
        <f ca="1">IFERROR(__xludf.DUMMYFUNCTION("""COMPUTED_VALUE"""),"A. DE PAIS E MESTRES DO COL. EST.RIO SONO")</f>
        <v>A. DE PAIS E MESTRES DO COL. EST.RIO SONO</v>
      </c>
      <c r="D160" t="str">
        <f ca="1">IFERROR(__xludf.DUMMYFUNCTION("""COMPUTED_VALUE"""),"01184376000166")</f>
        <v>01184376000166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IFERROR(__xludf.DUMMYFUNCTION("""COMPUTED_VALUE"""),"530042")</f>
        <v>530042</v>
      </c>
      <c r="H160" s="8">
        <f ca="1">IFERROR(__xludf.DUMMYFUNCTION("""COMPUTED_VALUE"""),4032)</f>
        <v>4032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IFERROR(__xludf.DUMMYFUNCTION("""COMPUTED_VALUE"""),"Rio Sono")</f>
        <v>Rio Sono</v>
      </c>
      <c r="C161" t="str">
        <f ca="1">IFERROR(__xludf.DUMMYFUNCTION("""COMPUTED_VALUE"""),"A.A.  ESCOLA EST. IMACULADA CONCEICAO")</f>
        <v>A.A.  ESCOLA EST. IMACULADA CONCEICAO</v>
      </c>
      <c r="D161" t="str">
        <f ca="1">IFERROR(__xludf.DUMMYFUNCTION("""COMPUTED_VALUE"""),"01197175000101")</f>
        <v>01197175000101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IFERROR(__xludf.DUMMYFUNCTION("""COMPUTED_VALUE"""),"161497")</f>
        <v>161497</v>
      </c>
      <c r="H161" s="8">
        <f ca="1">IFERROR(__xludf.DUMMYFUNCTION("""COMPUTED_VALUE"""),1113)</f>
        <v>1113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IFERROR(__xludf.DUMMYFUNCTION("""COMPUTED_VALUE"""),"Santa Tereza do Tocantins")</f>
        <v>Santa Tereza do Tocantins</v>
      </c>
      <c r="C162" t="str">
        <f ca="1">IFERROR(__xludf.DUMMYFUNCTION("""COMPUTED_VALUE"""),"A.A. C.EST. MANOEL S.DOURADO")</f>
        <v>A.A. C.EST. MANOEL S.DOURADO</v>
      </c>
      <c r="D162" t="str">
        <f ca="1">IFERROR(__xludf.DUMMYFUNCTION("""COMPUTED_VALUE"""),"01136013000155")</f>
        <v>01136013000155</v>
      </c>
      <c r="E162" t="str">
        <f ca="1">IFERROR(__xludf.DUMMYFUNCTION("""COMPUTED_VALUE"""),"001")</f>
        <v>001</v>
      </c>
      <c r="F162" t="str">
        <f ca="1">IFERROR(__xludf.DUMMYFUNCTION("""COMPUTED_VALUE"""),"1117")</f>
        <v>1117</v>
      </c>
      <c r="G162" t="str">
        <f ca="1">IFERROR(__xludf.DUMMYFUNCTION("""COMPUTED_VALUE"""),"313033")</f>
        <v>313033</v>
      </c>
      <c r="H162" s="8">
        <f ca="1">IFERROR(__xludf.DUMMYFUNCTION("""COMPUTED_VALUE"""),3045)</f>
        <v>3045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IFERROR(__xludf.DUMMYFUNCTION("""COMPUTED_VALUE"""),"Sao Felix do Tocantins")</f>
        <v>Sao Felix do Tocantins</v>
      </c>
      <c r="C163" t="str">
        <f ca="1">IFERROR(__xludf.DUMMYFUNCTION("""COMPUTED_VALUE"""),"A. DE AP.ESC. EST. SAGRADO CORACAO DE JESUS")</f>
        <v>A. DE AP.ESC. EST. SAGRADO CORACAO DE JESUS</v>
      </c>
      <c r="D163" t="str">
        <f ca="1">IFERROR(__xludf.DUMMYFUNCTION("""COMPUTED_VALUE"""),"01656550000126")</f>
        <v>01656550000126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IFERROR(__xludf.DUMMYFUNCTION("""COMPUTED_VALUE"""),"147605")</f>
        <v>147605</v>
      </c>
      <c r="H163" s="8">
        <f ca="1">IFERROR(__xludf.DUMMYFUNCTION("""COMPUTED_VALUE"""),2457)</f>
        <v>2457</v>
      </c>
      <c r="I163" t="str">
        <v>ENS MEDIO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IFERROR(__xludf.DUMMYFUNCTION("""COMPUTED_VALUE"""),"Abreulandia")</f>
        <v>Abreulandia</v>
      </c>
      <c r="C164" t="str">
        <f ca="1">IFERROR(__xludf.DUMMYFUNCTION("""COMPUTED_VALUE"""),"ASS. DE APOIO DA ESCOLA EST. SAO PEDRO")</f>
        <v>ASS. DE APOIO DA ESCOLA EST. SAO PEDRO</v>
      </c>
      <c r="D164" t="str">
        <f ca="1">IFERROR(__xludf.DUMMYFUNCTION("""COMPUTED_VALUE"""),"01071408000117")</f>
        <v>01071408000117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IFERROR(__xludf.DUMMYFUNCTION("""COMPUTED_VALUE"""),"286893")</f>
        <v>286893</v>
      </c>
      <c r="H164" s="8">
        <f ca="1">IFERROR(__xludf.DUMMYFUNCTION("""COMPUTED_VALUE"""),2772)</f>
        <v>2772</v>
      </c>
      <c r="I164" t="str">
        <v>ENS MEDIO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IFERROR(__xludf.DUMMYFUNCTION("""COMPUTED_VALUE"""),"Araguacema")</f>
        <v>Araguacema</v>
      </c>
      <c r="C165" t="str">
        <f ca="1">IFERROR(__xludf.DUMMYFUNCTION("""COMPUTED_VALUE"""),"ASSOC. DE APOIO AO COL. EST. DE ARAGUACEMA")</f>
        <v>ASSOC. DE APOIO AO COL. EST. DE ARAGUACEMA</v>
      </c>
      <c r="D165" t="str">
        <f ca="1">IFERROR(__xludf.DUMMYFUNCTION("""COMPUTED_VALUE"""),"01187107000153")</f>
        <v>01187107000153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IFERROR(__xludf.DUMMYFUNCTION("""COMPUTED_VALUE"""),"286532")</f>
        <v>286532</v>
      </c>
      <c r="H165" s="8">
        <f ca="1">IFERROR(__xludf.DUMMYFUNCTION("""COMPUTED_VALUE"""),6510)</f>
        <v>6510</v>
      </c>
      <c r="I165" t="str">
        <v>ENS MEDIO PARCIAL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IFERROR(__xludf.DUMMYFUNCTION("""COMPUTED_VALUE"""),"Barrolandia")</f>
        <v>Barrolandia</v>
      </c>
      <c r="C166" t="str">
        <f ca="1">IFERROR(__xludf.DUMMYFUNCTION("""COMPUTED_VALUE"""),"A.A. COLEGIO ESTADUAL COSTA E SILVA")</f>
        <v>A.A. COLEGIO ESTADUAL COSTA E SILVA</v>
      </c>
      <c r="D166" t="str">
        <f ca="1">IFERROR(__xludf.DUMMYFUNCTION("""COMPUTED_VALUE"""),"01100434000126")</f>
        <v>01100434000126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IFERROR(__xludf.DUMMYFUNCTION("""COMPUTED_VALUE"""),"68942")</f>
        <v>68942</v>
      </c>
      <c r="H166" s="8">
        <f ca="1">IFERROR(__xludf.DUMMYFUNCTION("""COMPUTED_VALUE"""),2268)</f>
        <v>2268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IFERROR(__xludf.DUMMYFUNCTION("""COMPUTED_VALUE"""),"Caseara")</f>
        <v>Caseara</v>
      </c>
      <c r="C167" t="str">
        <f ca="1">IFERROR(__xludf.DUMMYFUNCTION("""COMPUTED_VALUE"""),"A.A. AO COLEGIO EST. TRAJANO DE ALMEIDA")</f>
        <v>A.A. AO COLEGIO EST. TRAJANO DE ALMEIDA</v>
      </c>
      <c r="D167" t="str">
        <f ca="1">IFERROR(__xludf.DUMMYFUNCTION("""COMPUTED_VALUE"""),"01136037000104")</f>
        <v>01136037000104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IFERROR(__xludf.DUMMYFUNCTION("""COMPUTED_VALUE"""),"110558")</f>
        <v>110558</v>
      </c>
      <c r="H167" s="8">
        <f ca="1">IFERROR(__xludf.DUMMYFUNCTION("""COMPUTED_VALUE"""),4347)</f>
        <v>4347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IFERROR(__xludf.DUMMYFUNCTION("""COMPUTED_VALUE"""),"Cristalandia")</f>
        <v>Cristalandia</v>
      </c>
      <c r="C168" t="str">
        <f ca="1">IFERROR(__xludf.DUMMYFUNCTION("""COMPUTED_VALUE"""),"ASS. APOIO DO COL. EST. DE CRISTALANDIA")</f>
        <v>ASS. APOIO DO COL. EST. DE CRISTALANDIA</v>
      </c>
      <c r="D168" t="str">
        <f ca="1">IFERROR(__xludf.DUMMYFUNCTION("""COMPUTED_VALUE"""),"01186467000130")</f>
        <v>01186467000130</v>
      </c>
      <c r="E168" t="str">
        <f ca="1">IFERROR(__xludf.DUMMYFUNCTION("""COMPUTED_VALUE"""),"001")</f>
        <v>001</v>
      </c>
      <c r="F168" t="str">
        <f ca="1">IFERROR(__xludf.DUMMYFUNCTION("""COMPUTED_VALUE"""),"3638")</f>
        <v>3638</v>
      </c>
      <c r="G168" t="str">
        <f ca="1">IFERROR(__xludf.DUMMYFUNCTION("""COMPUTED_VALUE"""),"17469")</f>
        <v>17469</v>
      </c>
      <c r="H168" s="8">
        <f ca="1">IFERROR(__xludf.DUMMYFUNCTION("""COMPUTED_VALUE"""),4011)</f>
        <v>4011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IFERROR(__xludf.DUMMYFUNCTION("""COMPUTED_VALUE"""),"Cristalandia")</f>
        <v>Cristalandia</v>
      </c>
      <c r="C169" t="str">
        <f ca="1">IFERROR(__xludf.DUMMYFUNCTION("""COMPUTED_VALUE"""),"A.A. ESCOLA MUL.OTACILIO MARQUES ROSAL")</f>
        <v>A.A. ESCOLA MUL.OTACILIO MARQUES ROSAL</v>
      </c>
      <c r="D169" t="str">
        <f ca="1">IFERROR(__xludf.DUMMYFUNCTION("""COMPUTED_VALUE"""),"01071438000123")</f>
        <v>01071438000123</v>
      </c>
      <c r="E169" t="str">
        <f ca="1">IFERROR(__xludf.DUMMYFUNCTION("""COMPUTED_VALUE"""),"001")</f>
        <v>001</v>
      </c>
      <c r="F169" t="str">
        <f ca="1">IFERROR(__xludf.DUMMYFUNCTION("""COMPUTED_VALUE"""),"3638")</f>
        <v>3638</v>
      </c>
      <c r="G169" t="str">
        <f ca="1">IFERROR(__xludf.DUMMYFUNCTION("""COMPUTED_VALUE"""),"7120X")</f>
        <v>7120X</v>
      </c>
      <c r="H169" s="8">
        <f ca="1">IFERROR(__xludf.DUMMYFUNCTION("""COMPUTED_VALUE"""),1260)</f>
        <v>1260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IFERROR(__xludf.DUMMYFUNCTION("""COMPUTED_VALUE"""),"Divinopolis do Tocantins")</f>
        <v>Divinopolis do Tocantins</v>
      </c>
      <c r="C170" t="str">
        <f ca="1">IFERROR(__xludf.DUMMYFUNCTION("""COMPUTED_VALUE"""),"A.A. DO COLEGIO MUL. JOAO DIAS SOBRINHO")</f>
        <v>A.A. DO COLEGIO MUL. JOAO DIAS SOBRINHO</v>
      </c>
      <c r="D170" t="str">
        <f ca="1">IFERROR(__xludf.DUMMYFUNCTION("""COMPUTED_VALUE"""),"01184383000168")</f>
        <v>01184383000168</v>
      </c>
      <c r="E170" t="str">
        <f ca="1">IFERROR(__xludf.DUMMYFUNCTION("""COMPUTED_VALUE"""),"001")</f>
        <v>001</v>
      </c>
      <c r="F170" t="str">
        <f ca="1">IFERROR(__xludf.DUMMYFUNCTION("""COMPUTED_VALUE"""),"3812")</f>
        <v>3812</v>
      </c>
      <c r="G170" t="str">
        <f ca="1">IFERROR(__xludf.DUMMYFUNCTION("""COMPUTED_VALUE"""),"275069")</f>
        <v>275069</v>
      </c>
      <c r="H170" s="8">
        <f ca="1">IFERROR(__xludf.DUMMYFUNCTION("""COMPUTED_VALUE"""),5145)</f>
        <v>5145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IFERROR(__xludf.DUMMYFUNCTION("""COMPUTED_VALUE"""),"Lagoa da Confusao")</f>
        <v>Lagoa da Confusao</v>
      </c>
      <c r="C171" t="str">
        <f ca="1">IFERROR(__xludf.DUMMYFUNCTION("""COMPUTED_VALUE"""),"A.A.  ESTUD COL. EST. LAGOA DA CONFUSAO")</f>
        <v>A.A.  ESTUD COL. EST. LAGOA DA CONFUSAO</v>
      </c>
      <c r="D171" t="str">
        <f ca="1">IFERROR(__xludf.DUMMYFUNCTION("""COMPUTED_VALUE"""),"01179116000100")</f>
        <v>01179116000100</v>
      </c>
      <c r="E171" t="str">
        <f ca="1">IFERROR(__xludf.DUMMYFUNCTION("""COMPUTED_VALUE"""),"001")</f>
        <v>001</v>
      </c>
      <c r="F171" t="str">
        <f ca="1">IFERROR(__xludf.DUMMYFUNCTION("""COMPUTED_VALUE"""),"3983")</f>
        <v>3983</v>
      </c>
      <c r="G171" t="str">
        <f ca="1">IFERROR(__xludf.DUMMYFUNCTION("""COMPUTED_VALUE"""),"84735")</f>
        <v>84735</v>
      </c>
      <c r="H171" s="8">
        <f ca="1">IFERROR(__xludf.DUMMYFUNCTION("""COMPUTED_VALUE"""),10962)</f>
        <v>10962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IFERROR(__xludf.DUMMYFUNCTION("""COMPUTED_VALUE"""),"Marianopolis do Tocantins")</f>
        <v>Marianopolis do Tocantins</v>
      </c>
      <c r="C172" t="str">
        <f ca="1">IFERROR(__xludf.DUMMYFUNCTION("""COMPUTED_VALUE"""),"A.A. DO COL. EST. DAVID BARBOSA ROLINS")</f>
        <v>A.A. DO COL. EST. DAVID BARBOSA ROLINS</v>
      </c>
      <c r="D172" t="str">
        <f ca="1">IFERROR(__xludf.DUMMYFUNCTION("""COMPUTED_VALUE"""),"01980050000145")</f>
        <v>01980050000145</v>
      </c>
      <c r="E172" t="str">
        <f ca="1">IFERROR(__xludf.DUMMYFUNCTION("""COMPUTED_VALUE"""),"001")</f>
        <v>001</v>
      </c>
      <c r="F172" t="str">
        <f ca="1">IFERROR(__xludf.DUMMYFUNCTION("""COMPUTED_VALUE"""),"0804")</f>
        <v>0804</v>
      </c>
      <c r="G172" t="str">
        <f ca="1">IFERROR(__xludf.DUMMYFUNCTION("""COMPUTED_VALUE"""),"219045")</f>
        <v>219045</v>
      </c>
      <c r="H172" s="8">
        <f ca="1">IFERROR(__xludf.DUMMYFUNCTION("""COMPUTED_VALUE"""),3885)</f>
        <v>3885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IFERROR(__xludf.DUMMYFUNCTION("""COMPUTED_VALUE"""),"Nova Rosalandia")</f>
        <v>Nova Rosalandia</v>
      </c>
      <c r="C173" t="str">
        <f ca="1">IFERROR(__xludf.DUMMYFUNCTION("""COMPUTED_VALUE"""),"A. ESC. COM. ESC. EST.PEDRO XAVIER TEIXEIRA")</f>
        <v>A. ESC. COM. ESC. EST.PEDRO XAVIER TEIXEIRA</v>
      </c>
      <c r="D173" t="str">
        <f ca="1">IFERROR(__xludf.DUMMYFUNCTION("""COMPUTED_VALUE"""),"01068367000100")</f>
        <v>01068367000100</v>
      </c>
      <c r="E173" t="str">
        <f ca="1">IFERROR(__xludf.DUMMYFUNCTION("""COMPUTED_VALUE"""),"001")</f>
        <v>001</v>
      </c>
      <c r="F173" t="str">
        <f ca="1">IFERROR(__xludf.DUMMYFUNCTION("""COMPUTED_VALUE"""),"0804")</f>
        <v>0804</v>
      </c>
      <c r="G173" t="str">
        <f ca="1">IFERROR(__xludf.DUMMYFUNCTION("""COMPUTED_VALUE"""),"234265")</f>
        <v>234265</v>
      </c>
      <c r="H173" s="8">
        <f ca="1">IFERROR(__xludf.DUMMYFUNCTION("""COMPUTED_VALUE"""),2226)</f>
        <v>2226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IFERROR(__xludf.DUMMYFUNCTION("""COMPUTED_VALUE"""),"Paraiso do Tocantins")</f>
        <v>Paraiso do Tocantins</v>
      </c>
      <c r="C174" t="str">
        <f ca="1">IFERROR(__xludf.DUMMYFUNCTION("""COMPUTED_VALUE"""),"A.A. COLÉGIO MILITAR DIACONÍZIO BEZERRA DA SILVA")</f>
        <v>A.A. COLÉGIO MILITAR DIACONÍZIO BEZERRA DA SILVA</v>
      </c>
      <c r="D174" t="str">
        <f ca="1">IFERROR(__xludf.DUMMYFUNCTION("""COMPUTED_VALUE"""),"11675300000197")</f>
        <v>11675300000197</v>
      </c>
      <c r="E174" t="str">
        <f ca="1">IFERROR(__xludf.DUMMYFUNCTION("""COMPUTED_VALUE"""),"001")</f>
        <v>001</v>
      </c>
      <c r="F174" t="str">
        <f ca="1">IFERROR(__xludf.DUMMYFUNCTION("""COMPUTED_VALUE"""),"0804")</f>
        <v>0804</v>
      </c>
      <c r="G174" t="str">
        <f ca="1">IFERROR(__xludf.DUMMYFUNCTION("""COMPUTED_VALUE"""),"320781")</f>
        <v>320781</v>
      </c>
      <c r="H174" s="8">
        <f ca="1">IFERROR(__xludf.DUMMYFUNCTION("""COMPUTED_VALUE"""),6615)</f>
        <v>6615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IFERROR(__xludf.DUMMYFUNCTION("""COMPUTED_VALUE"""),"Paraiso do Tocantins")</f>
        <v>Paraiso do Tocantins</v>
      </c>
      <c r="C175" t="str">
        <f ca="1">IFERROR(__xludf.DUMMYFUNCTION("""COMPUTED_VALUE"""),"ASSOC. APOIO AO CEM JOSE ALVES DE ASSIS")</f>
        <v>ASSOC. APOIO AO CEM JOSE ALVES DE ASSIS</v>
      </c>
      <c r="D175" t="str">
        <f ca="1">IFERROR(__xludf.DUMMYFUNCTION("""COMPUTED_VALUE"""),"01181169000158")</f>
        <v>01181169000158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IFERROR(__xludf.DUMMYFUNCTION("""COMPUTED_VALUE"""),"286257")</f>
        <v>286257</v>
      </c>
      <c r="H175" s="8">
        <f ca="1">IFERROR(__xludf.DUMMYFUNCTION("""COMPUTED_VALUE"""),11361)</f>
        <v>11361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IFERROR(__xludf.DUMMYFUNCTION("""COMPUTED_VALUE"""),"Paraiso do Tocantins")</f>
        <v>Paraiso do Tocantins</v>
      </c>
      <c r="C176" t="str">
        <f ca="1">IFERROR(__xludf.DUMMYFUNCTION("""COMPUTED_VALUE"""),"ASSOC. DE APOIO ESC. EST.IDALINA DE PAULA")</f>
        <v>ASSOC. DE APOIO ESC. EST.IDALINA DE PAULA</v>
      </c>
      <c r="D176" t="str">
        <f ca="1">IFERROR(__xludf.DUMMYFUNCTION("""COMPUTED_VALUE"""),"01066419000109")</f>
        <v>01066419000109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IFERROR(__xludf.DUMMYFUNCTION("""COMPUTED_VALUE"""),"115797")</f>
        <v>115797</v>
      </c>
      <c r="H176" s="8">
        <f ca="1">IFERROR(__xludf.DUMMYFUNCTION("""COMPUTED_VALUE"""),5019)</f>
        <v>5019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IFERROR(__xludf.DUMMYFUNCTION("""COMPUTED_VALUE"""),"ASS. APOIO ESC. EST.PROF. JOSE NEZIO RAMOS")</f>
        <v>ASS. APOIO ESC. EST.PROF. JOSE NEZIO RAMOS</v>
      </c>
      <c r="D177" t="str">
        <f ca="1">IFERROR(__xludf.DUMMYFUNCTION("""COMPUTED_VALUE"""),"01233716000100")</f>
        <v>01233716000100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IFERROR(__xludf.DUMMYFUNCTION("""COMPUTED_VALUE"""),"0263656")</f>
        <v>0263656</v>
      </c>
      <c r="H177" s="8">
        <f ca="1">IFERROR(__xludf.DUMMYFUNCTION("""COMPUTED_VALUE"""),7959)</f>
        <v>7959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 ESC COM. DA ESC EST J.K. DE OLIVEIRA")</f>
        <v>A. ESC COM. DA ESC EST J.K. DE OLIVEIRA</v>
      </c>
      <c r="D178" t="str">
        <f ca="1">IFERROR(__xludf.DUMMYFUNCTION("""COMPUTED_VALUE"""),"00921537000194")</f>
        <v>00921537000194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IFERROR(__xludf.DUMMYFUNCTION("""COMPUTED_VALUE"""),"163821")</f>
        <v>163821</v>
      </c>
      <c r="H178" s="8">
        <f ca="1">IFERROR(__xludf.DUMMYFUNCTION("""COMPUTED_VALUE"""),504)</f>
        <v>504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IFERROR(__xludf.DUMMYFUNCTION("""COMPUTED_VALUE"""),"A.A.  ESCOLA EST. SAO JOSE OPERARIO")</f>
        <v>A.A.  ESCOLA EST. SAO JOSE OPERARIO</v>
      </c>
      <c r="D179" t="str">
        <f ca="1">IFERROR(__xludf.DUMMYFUNCTION("""COMPUTED_VALUE"""),"01186454000161")</f>
        <v>01186454000161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IFERROR(__xludf.DUMMYFUNCTION("""COMPUTED_VALUE"""),"285986")</f>
        <v>285986</v>
      </c>
      <c r="H179" s="8">
        <f ca="1">IFERROR(__xludf.DUMMYFUNCTION("""COMPUTED_VALUE"""),2499)</f>
        <v>2499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IFERROR(__xludf.DUMMYFUNCTION("""COMPUTED_VALUE"""),"A.A. DO COL. PRESB. VALE DO TOCANTINS")</f>
        <v>A.A. DO COL. PRESB. VALE DO TOCANTINS</v>
      </c>
      <c r="D180" t="str">
        <f ca="1">IFERROR(__xludf.DUMMYFUNCTION("""COMPUTED_VALUE"""),"01071426000107")</f>
        <v>01071426000107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IFERROR(__xludf.DUMMYFUNCTION("""COMPUTED_VALUE"""),"311618")</f>
        <v>311618</v>
      </c>
      <c r="H180" s="8">
        <f ca="1">IFERROR(__xludf.DUMMYFUNCTION("""COMPUTED_VALUE"""),8652)</f>
        <v>8652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IFERROR(__xludf.DUMMYFUNCTION("""COMPUTED_VALUE"""),"Pium")</f>
        <v>Pium</v>
      </c>
      <c r="C181" t="str">
        <f ca="1">IFERROR(__xludf.DUMMYFUNCTION("""COMPUTED_VALUE"""),"A.A. COLEGIO ESTADUAL BARTOLOMEU BUENO")</f>
        <v>A.A. COLEGIO ESTADUAL BARTOLOMEU BUENO</v>
      </c>
      <c r="D181" t="str">
        <f ca="1">IFERROR(__xludf.DUMMYFUNCTION("""COMPUTED_VALUE"""),"01071436000134")</f>
        <v>01071436000134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IFERROR(__xludf.DUMMYFUNCTION("""COMPUTED_VALUE"""),"286206")</f>
        <v>286206</v>
      </c>
      <c r="H181" s="8">
        <f ca="1">IFERROR(__xludf.DUMMYFUNCTION("""COMPUTED_VALUE"""),5544)</f>
        <v>5544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IFERROR(__xludf.DUMMYFUNCTION("""COMPUTED_VALUE"""),"Pugmil")</f>
        <v>Pugmil</v>
      </c>
      <c r="C182" t="str">
        <f ca="1">IFERROR(__xludf.DUMMYFUNCTION("""COMPUTED_VALUE"""),"A.A. DA ESC. EST. DARCY RIBEIRO")</f>
        <v>A.A. DA ESC. EST. DARCY RIBEIRO</v>
      </c>
      <c r="D182" t="str">
        <f ca="1">IFERROR(__xludf.DUMMYFUNCTION("""COMPUTED_VALUE"""),"02382845000114")</f>
        <v>02382845000114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IFERROR(__xludf.DUMMYFUNCTION("""COMPUTED_VALUE"""),"286648")</f>
        <v>286648</v>
      </c>
      <c r="H182" s="8">
        <f ca="1">IFERROR(__xludf.DUMMYFUNCTION("""COMPUTED_VALUE"""),2037)</f>
        <v>2037</v>
      </c>
      <c r="I182" t="str">
        <v>ENS MEDIO PARCIAL</v>
      </c>
    </row>
    <row r="183" spans="1:9" ht="12.75">
      <c r="A183" t="str">
        <f ca="1">IFERROR(__xludf.DUMMYFUNCTION("""COMPUTED_VALUE"""),"Pedro Afonso")</f>
        <v>Pedro Afonso</v>
      </c>
      <c r="B183" t="str">
        <f ca="1">IFERROR(__xludf.DUMMYFUNCTION("""COMPUTED_VALUE"""),"Bom Jesus do Tocantins")</f>
        <v>Bom Jesus do Tocantins</v>
      </c>
      <c r="C183" t="str">
        <f ca="1">IFERROR(__xludf.DUMMYFUNCTION("""COMPUTED_VALUE"""),"ASSOC. DE AP.A ESC. EST. ALFREDO NASSER")</f>
        <v>ASSOC. DE AP.A ESC. EST. ALFREDO NASSER</v>
      </c>
      <c r="D183" t="str">
        <f ca="1">IFERROR(__xludf.DUMMYFUNCTION("""COMPUTED_VALUE"""),"01138329000186")</f>
        <v>01138329000186</v>
      </c>
      <c r="E183" t="str">
        <f ca="1">IFERROR(__xludf.DUMMYFUNCTION("""COMPUTED_VALUE"""),"001")</f>
        <v>001</v>
      </c>
      <c r="F183" t="str">
        <f ca="1">IFERROR(__xludf.DUMMYFUNCTION("""COMPUTED_VALUE"""),"1595")</f>
        <v>1595</v>
      </c>
      <c r="G183" t="str">
        <f ca="1">IFERROR(__xludf.DUMMYFUNCTION("""COMPUTED_VALUE"""),"59277")</f>
        <v>59277</v>
      </c>
      <c r="H183" s="8">
        <f ca="1">IFERROR(__xludf.DUMMYFUNCTION("""COMPUTED_VALUE"""),4200)</f>
        <v>4200</v>
      </c>
      <c r="I183" t="str">
        <v>ENS MEDIO PARCIAL</v>
      </c>
    </row>
    <row r="184" spans="1:9" ht="12.75">
      <c r="A184" t="str">
        <f ca="1">IFERROR(__xludf.DUMMYFUNCTION("""COMPUTED_VALUE"""),"Pedro Afonso")</f>
        <v>Pedro Afonso</v>
      </c>
      <c r="B184" t="str">
        <f ca="1">IFERROR(__xludf.DUMMYFUNCTION("""COMPUTED_VALUE"""),"Centenario")</f>
        <v>Centenario</v>
      </c>
      <c r="C184" t="str">
        <f ca="1">IFERROR(__xludf.DUMMYFUNCTION("""COMPUTED_VALUE"""),"A. ESC. COM. DO COL. EST. OTONIEL C.DE JESUS")</f>
        <v>A. ESC. COM. DO COL. EST. OTONIEL C.DE JESUS</v>
      </c>
      <c r="D184" t="str">
        <f ca="1">IFERROR(__xludf.DUMMYFUNCTION("""COMPUTED_VALUE"""),"02008180000183")</f>
        <v>02008180000183</v>
      </c>
      <c r="E184" t="str">
        <f ca="1">IFERROR(__xludf.DUMMYFUNCTION("""COMPUTED_VALUE"""),"001")</f>
        <v>001</v>
      </c>
      <c r="F184" t="str">
        <f ca="1">IFERROR(__xludf.DUMMYFUNCTION("""COMPUTED_VALUE"""),"1595")</f>
        <v>1595</v>
      </c>
      <c r="G184" t="str">
        <f ca="1">IFERROR(__xludf.DUMMYFUNCTION("""COMPUTED_VALUE"""),"10081")</f>
        <v>10081</v>
      </c>
      <c r="H184" s="8">
        <f ca="1">IFERROR(__xludf.DUMMYFUNCTION("""COMPUTED_VALUE"""),2331)</f>
        <v>2331</v>
      </c>
      <c r="I184" t="str">
        <v>ENS MEDIO PARCIAL</v>
      </c>
    </row>
    <row r="185" spans="1:9" ht="12.75">
      <c r="A185" t="str">
        <f ca="1">IFERROR(__xludf.DUMMYFUNCTION("""COMPUTED_VALUE"""),"Pedro Afonso")</f>
        <v>Pedro Afonso</v>
      </c>
      <c r="B185" t="str">
        <f ca="1">IFERROR(__xludf.DUMMYFUNCTION("""COMPUTED_VALUE"""),"Itacaja")</f>
        <v>Itacaja</v>
      </c>
      <c r="C185" t="str">
        <f ca="1">IFERROR(__xludf.DUMMYFUNCTION("""COMPUTED_VALUE"""),"A.A. COLEGIO ESTADUAL DE ITACAJA")</f>
        <v>A.A. COLEGIO ESTADUAL DE ITACAJA</v>
      </c>
      <c r="D185" t="str">
        <f ca="1">IFERROR(__xludf.DUMMYFUNCTION("""COMPUTED_VALUE"""),"01138428000168")</f>
        <v>01138428000168</v>
      </c>
      <c r="E185" t="str">
        <f ca="1">IFERROR(__xludf.DUMMYFUNCTION("""COMPUTED_VALUE"""),"001")</f>
        <v>001</v>
      </c>
      <c r="F185" t="str">
        <f ca="1">IFERROR(__xludf.DUMMYFUNCTION("""COMPUTED_VALUE"""),"1595")</f>
        <v>1595</v>
      </c>
      <c r="G185" t="str">
        <f ca="1">IFERROR(__xludf.DUMMYFUNCTION("""COMPUTED_VALUE"""),"59773")</f>
        <v>59773</v>
      </c>
      <c r="H185" s="8">
        <f ca="1">IFERROR(__xludf.DUMMYFUNCTION("""COMPUTED_VALUE"""),4662)</f>
        <v>4662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IFERROR(__xludf.DUMMYFUNCTION("""COMPUTED_VALUE"""),"Itacaja")</f>
        <v>Itacaja</v>
      </c>
      <c r="C186" t="str">
        <f ca="1">IFERROR(__xludf.DUMMYFUNCTION("""COMPUTED_VALUE"""),"ASSOC. APOIO ESC. EST. ALMEIDA SARDINHA")</f>
        <v>ASSOC. APOIO ESC. EST. ALMEIDA SARDINHA</v>
      </c>
      <c r="D186" t="str">
        <f ca="1">IFERROR(__xludf.DUMMYFUNCTION("""COMPUTED_VALUE"""),"01138335000133")</f>
        <v>01138335000133</v>
      </c>
      <c r="E186" t="str">
        <f ca="1">IFERROR(__xludf.DUMMYFUNCTION("""COMPUTED_VALUE"""),"001")</f>
        <v>001</v>
      </c>
      <c r="F186" t="str">
        <f ca="1">IFERROR(__xludf.DUMMYFUNCTION("""COMPUTED_VALUE"""),"2094")</f>
        <v>2094</v>
      </c>
      <c r="G186" t="str">
        <f ca="1">IFERROR(__xludf.DUMMYFUNCTION("""COMPUTED_VALUE"""),"466484")</f>
        <v>466484</v>
      </c>
      <c r="H186" s="8">
        <f ca="1">IFERROR(__xludf.DUMMYFUNCTION("""COMPUTED_VALUE"""),1239)</f>
        <v>1239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IFERROR(__xludf.DUMMYFUNCTION("""COMPUTED_VALUE"""),"Pedro Afonso")</f>
        <v>Pedro Afonso</v>
      </c>
      <c r="C187" t="str">
        <f ca="1">IFERROR(__xludf.DUMMYFUNCTION("""COMPUTED_VALUE"""),"A.A. E. EST.IS.DA REG.DE ENS.DE GUARAI")</f>
        <v>A.A. E. EST.IS.DA REG.DE ENS.DE GUARAI</v>
      </c>
      <c r="D187" t="str">
        <f ca="1">IFERROR(__xludf.DUMMYFUNCTION("""COMPUTED_VALUE"""),"02508361000179")</f>
        <v>02508361000179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IFERROR(__xludf.DUMMYFUNCTION("""COMPUTED_VALUE"""),"110663")</f>
        <v>110663</v>
      </c>
      <c r="H187" s="8">
        <f ca="1">IFERROR(__xludf.DUMMYFUNCTION("""COMPUTED_VALUE"""),735)</f>
        <v>735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IFERROR(__xludf.DUMMYFUNCTION("""COMPUTED_VALUE"""),"Pedro Afonso")</f>
        <v>Pedro Afonso</v>
      </c>
      <c r="C188" t="str">
        <f ca="1">IFERROR(__xludf.DUMMYFUNCTION("""COMPUTED_VALUE"""),"A.A. ESCOLAR DO COLEGIO EST.CRISTO REI")</f>
        <v>A.A. ESCOLAR DO COLEGIO EST.CRISTO REI</v>
      </c>
      <c r="D188" t="str">
        <f ca="1">IFERROR(__xludf.DUMMYFUNCTION("""COMPUTED_VALUE"""),"02250658000187")</f>
        <v>02250658000187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IFERROR(__xludf.DUMMYFUNCTION("""COMPUTED_VALUE"""),"66141")</f>
        <v>66141</v>
      </c>
      <c r="H188" s="8">
        <f ca="1">IFERROR(__xludf.DUMMYFUNCTION("""COMPUTED_VALUE"""),11319)</f>
        <v>11319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IFERROR(__xludf.DUMMYFUNCTION("""COMPUTED_VALUE"""),"Pedro Afonso")</f>
        <v>Pedro Afonso</v>
      </c>
      <c r="C189" t="str">
        <f ca="1">IFERROR(__xludf.DUMMYFUNCTION("""COMPUTED_VALUE"""),"ASS. DE APOIO A ESCOLA ESTADUAL BOM TEMPO")</f>
        <v>ASS. DE APOIO A ESCOLA ESTADUAL BOM TEMPO</v>
      </c>
      <c r="D189" t="str">
        <f ca="1">IFERROR(__xludf.DUMMYFUNCTION("""COMPUTED_VALUE"""),"44776099000193")</f>
        <v>44776099000193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IFERROR(__xludf.DUMMYFUNCTION("""COMPUTED_VALUE"""),"324981")</f>
        <v>324981</v>
      </c>
      <c r="H189" s="8">
        <f ca="1">IFERROR(__xludf.DUMMYFUNCTION("""COMPUTED_VALUE"""),189)</f>
        <v>189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IFERROR(__xludf.DUMMYFUNCTION("""COMPUTED_VALUE"""),"Recursolandia")</f>
        <v>Recursolandia</v>
      </c>
      <c r="C190" t="str">
        <f ca="1">IFERROR(__xludf.DUMMYFUNCTION("""COMPUTED_VALUE"""),"ASS. DE A. A ESCOLA EST. RECURSO I")</f>
        <v>ASS. DE A. A ESCOLA EST. RECURSO I</v>
      </c>
      <c r="D190" t="str">
        <f ca="1">IFERROR(__xludf.DUMMYFUNCTION("""COMPUTED_VALUE"""),"02021097000144")</f>
        <v>02021097000144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IFERROR(__xludf.DUMMYFUNCTION("""COMPUTED_VALUE"""),"11029")</f>
        <v>11029</v>
      </c>
      <c r="H190" s="8">
        <f ca="1">IFERROR(__xludf.DUMMYFUNCTION("""COMPUTED_VALUE"""),4431)</f>
        <v>4431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IFERROR(__xludf.DUMMYFUNCTION("""COMPUTED_VALUE"""),"Santa Maria do Tocantins")</f>
        <v>Santa Maria do Tocantins</v>
      </c>
      <c r="C191" t="str">
        <f ca="1">IFERROR(__xludf.DUMMYFUNCTION("""COMPUTED_VALUE"""),"A. A.AS ESC.DO COL. EST. SANTA MARIA")</f>
        <v>A. A.AS ESC.DO COL. EST. SANTA MARIA</v>
      </c>
      <c r="D191" t="str">
        <f ca="1">IFERROR(__xludf.DUMMYFUNCTION("""COMPUTED_VALUE"""),"02087933000193")</f>
        <v>02087933000193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IFERROR(__xludf.DUMMYFUNCTION("""COMPUTED_VALUE"""),"83089")</f>
        <v>83089</v>
      </c>
      <c r="H191" s="8">
        <f ca="1">IFERROR(__xludf.DUMMYFUNCTION("""COMPUTED_VALUE"""),2646)</f>
        <v>2646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IFERROR(__xludf.DUMMYFUNCTION("""COMPUTED_VALUE"""),"Tupirama")</f>
        <v>Tupirama</v>
      </c>
      <c r="C192" t="str">
        <f ca="1">IFERROR(__xludf.DUMMYFUNCTION("""COMPUTED_VALUE"""),"A.A. A ESCOLA EST. MARIA DA GLORIA")</f>
        <v>A.A. A ESCOLA EST. MARIA DA GLORIA</v>
      </c>
      <c r="D192" t="str">
        <f ca="1">IFERROR(__xludf.DUMMYFUNCTION("""COMPUTED_VALUE"""),"02096555000104")</f>
        <v>02096555000104</v>
      </c>
      <c r="E192" t="str">
        <f ca="1">IFERROR(__xludf.DUMMYFUNCTION("""COMPUTED_VALUE"""),"001")</f>
        <v>001</v>
      </c>
      <c r="F192" t="str">
        <f ca="1">IFERROR(__xludf.DUMMYFUNCTION("""COMPUTED_VALUE"""),"2094")</f>
        <v>2094</v>
      </c>
      <c r="G192" t="str">
        <f ca="1">IFERROR(__xludf.DUMMYFUNCTION("""COMPUTED_VALUE"""),"50482")</f>
        <v>50482</v>
      </c>
      <c r="H192" s="8">
        <f ca="1">IFERROR(__xludf.DUMMYFUNCTION("""COMPUTED_VALUE"""),1281)</f>
        <v>1281</v>
      </c>
      <c r="I192" t="str">
        <v>ENS MEDIO PARCIAL</v>
      </c>
    </row>
    <row r="193" spans="1:9" ht="12.75">
      <c r="A193" t="str">
        <f ca="1">IFERROR(__xludf.DUMMYFUNCTION("""COMPUTED_VALUE"""),"Porto Nacional")</f>
        <v>Porto Nacional</v>
      </c>
      <c r="B193" t="str">
        <f ca="1">IFERROR(__xludf.DUMMYFUNCTION("""COMPUTED_VALUE"""),"Fatima")</f>
        <v>Fatima</v>
      </c>
      <c r="C193" t="str">
        <f ca="1">IFERROR(__xludf.DUMMYFUNCTION("""COMPUTED_VALUE"""),"A.A. ESCOLA ESTADUAL CONCEICAO BRITO")</f>
        <v>A.A. ESCOLA ESTADUAL CONCEICAO BRITO</v>
      </c>
      <c r="D193" t="str">
        <f ca="1">IFERROR(__xludf.DUMMYFUNCTION("""COMPUTED_VALUE"""),"01268285000109")</f>
        <v>01268285000109</v>
      </c>
      <c r="E193" t="str">
        <f ca="1">IFERROR(__xludf.DUMMYFUNCTION("""COMPUTED_VALUE"""),"001")</f>
        <v>001</v>
      </c>
      <c r="F193" t="str">
        <f ca="1">IFERROR(__xludf.DUMMYFUNCTION("""COMPUTED_VALUE"""),"4107")</f>
        <v>4107</v>
      </c>
      <c r="G193" t="str">
        <f ca="1">IFERROR(__xludf.DUMMYFUNCTION("""COMPUTED_VALUE"""),"50911")</f>
        <v>50911</v>
      </c>
      <c r="H193" s="8">
        <f ca="1">IFERROR(__xludf.DUMMYFUNCTION("""COMPUTED_VALUE"""),2898)</f>
        <v>2898</v>
      </c>
      <c r="I193" t="str">
        <v>ENS MEDIO PARCIAL</v>
      </c>
    </row>
    <row r="194" spans="1:9" ht="12.75">
      <c r="A194" t="str">
        <f ca="1">IFERROR(__xludf.DUMMYFUNCTION("""COMPUTED_VALUE"""),"Porto Nacional")</f>
        <v>Porto Nacional</v>
      </c>
      <c r="B194" t="str">
        <f ca="1">IFERROR(__xludf.DUMMYFUNCTION("""COMPUTED_VALUE"""),"Ipueiras")</f>
        <v>Ipueiras</v>
      </c>
      <c r="C194" t="str">
        <f ca="1">IFERROR(__xludf.DUMMYFUNCTION("""COMPUTED_VALUE"""),"ASSOC. DE APOIO DA ESC. EST. FELIX CAMOA")</f>
        <v>ASSOC. DE APOIO DA ESC. EST. FELIX CAMOA</v>
      </c>
      <c r="D194" t="str">
        <f ca="1">IFERROR(__xludf.DUMMYFUNCTION("""COMPUTED_VALUE"""),"01469443000199")</f>
        <v>01469443000199</v>
      </c>
      <c r="E194" t="str">
        <f ca="1">IFERROR(__xludf.DUMMYFUNCTION("""COMPUTED_VALUE"""),"001")</f>
        <v>001</v>
      </c>
      <c r="F194" t="str">
        <f ca="1">IFERROR(__xludf.DUMMYFUNCTION("""COMPUTED_VALUE"""),"1117")</f>
        <v>1117</v>
      </c>
      <c r="G194" t="str">
        <f ca="1">IFERROR(__xludf.DUMMYFUNCTION("""COMPUTED_VALUE"""),"315052")</f>
        <v>315052</v>
      </c>
      <c r="H194" s="8">
        <f ca="1">IFERROR(__xludf.DUMMYFUNCTION("""COMPUTED_VALUE"""),1617)</f>
        <v>1617</v>
      </c>
      <c r="I194" t="str">
        <v>ENS MEDIO PARCIAL</v>
      </c>
    </row>
    <row r="195" spans="1:9" ht="12.75">
      <c r="A195" t="str">
        <f ca="1">IFERROR(__xludf.DUMMYFUNCTION("""COMPUTED_VALUE"""),"Porto Nacional")</f>
        <v>Porto Nacional</v>
      </c>
      <c r="B195" t="str">
        <f ca="1">IFERROR(__xludf.DUMMYFUNCTION("""COMPUTED_VALUE"""),"Natividade")</f>
        <v>Natividade</v>
      </c>
      <c r="C195" t="str">
        <f ca="1">IFERROR(__xludf.DUMMYFUNCTION("""COMPUTED_VALUE"""),"ASS. APOIO ESC. EST. JOAQUIM LINO SUARTE")</f>
        <v>ASS. APOIO ESC. EST. JOAQUIM LINO SUARTE</v>
      </c>
      <c r="D195" t="str">
        <f ca="1">IFERROR(__xludf.DUMMYFUNCTION("""COMPUTED_VALUE"""),"01133708000183")</f>
        <v>01133708000183</v>
      </c>
      <c r="E195" t="str">
        <f ca="1">IFERROR(__xludf.DUMMYFUNCTION("""COMPUTED_VALUE"""),"003")</f>
        <v>003</v>
      </c>
      <c r="F195" t="str">
        <f ca="1">IFERROR(__xludf.DUMMYFUNCTION("""COMPUTED_VALUE"""),"0037")</f>
        <v>0037</v>
      </c>
      <c r="G195" t="str">
        <f ca="1">IFERROR(__xludf.DUMMYFUNCTION("""COMPUTED_VALUE"""),"0702670")</f>
        <v>0702670</v>
      </c>
      <c r="H195" s="8">
        <f ca="1">IFERROR(__xludf.DUMMYFUNCTION("""COMPUTED_VALUE"""),1008)</f>
        <v>1008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IFERROR(__xludf.DUMMYFUNCTION("""COMPUTED_VALUE"""),"Oliveira de Fatima")</f>
        <v>Oliveira de Fatima</v>
      </c>
      <c r="C196" t="str">
        <f ca="1">IFERROR(__xludf.DUMMYFUNCTION("""COMPUTED_VALUE"""),"ASS. DE APOIO DA ESC. EST.RIACHUELO")</f>
        <v>ASS. DE APOIO DA ESC. EST.RIACHUELO</v>
      </c>
      <c r="D196" t="str">
        <f ca="1">IFERROR(__xludf.DUMMYFUNCTION("""COMPUTED_VALUE"""),"01696068000110")</f>
        <v>01696068000110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IFERROR(__xludf.DUMMYFUNCTION("""COMPUTED_VALUE"""),"319511")</f>
        <v>319511</v>
      </c>
      <c r="H196" s="8">
        <f ca="1">IFERROR(__xludf.DUMMYFUNCTION("""COMPUTED_VALUE"""),1113)</f>
        <v>1113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IFERROR(__xludf.DUMMYFUNCTION("""COMPUTED_VALUE"""),"Pindorama do Tocantins")</f>
        <v>Pindorama do Tocantins</v>
      </c>
      <c r="C197" t="str">
        <f ca="1">IFERROR(__xludf.DUMMYFUNCTION("""COMPUTED_VALUE"""),"A.A. E. E. DEP.JOSE A. DE ASSIS")</f>
        <v>A.A. E. E. DEP.JOSE A. DE ASSIS</v>
      </c>
      <c r="D197" t="str">
        <f ca="1">IFERROR(__xludf.DUMMYFUNCTION("""COMPUTED_VALUE"""),"01066411000142")</f>
        <v>01066411000142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IFERROR(__xludf.DUMMYFUNCTION("""COMPUTED_VALUE"""),"312770")</f>
        <v>312770</v>
      </c>
      <c r="H197" s="8">
        <f ca="1">IFERROR(__xludf.DUMMYFUNCTION("""COMPUTED_VALUE"""),756)</f>
        <v>756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IFERROR(__xludf.DUMMYFUNCTION("""COMPUTED_VALUE"""),"Ponte Alta do Tocantins")</f>
        <v>Ponte Alta do Tocantins</v>
      </c>
      <c r="C198" t="str">
        <f ca="1">IFERROR(__xludf.DUMMYFUNCTION("""COMPUTED_VALUE"""),"ASS. A. AO COL. EST. ODOLFO SOARES")</f>
        <v>ASS. A. AO COL. EST. ODOLFO SOARES</v>
      </c>
      <c r="D198" t="str">
        <f ca="1">IFERROR(__xludf.DUMMYFUNCTION("""COMPUTED_VALUE"""),"01342866000143")</f>
        <v>01342866000143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IFERROR(__xludf.DUMMYFUNCTION("""COMPUTED_VALUE"""),"333921")</f>
        <v>333921</v>
      </c>
      <c r="H198" s="8">
        <f ca="1">IFERROR(__xludf.DUMMYFUNCTION("""COMPUTED_VALUE"""),7035)</f>
        <v>7035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IFERROR(__xludf.DUMMYFUNCTION("""COMPUTED_VALUE"""),"Porto Nacional")</f>
        <v>Porto Nacional</v>
      </c>
      <c r="C199" t="str">
        <f ca="1">IFERROR(__xludf.DUMMYFUNCTION("""COMPUTED_VALUE"""),"ASSOC. DE A.DO CEM PROFº. FLORÊNCIO AIRES DA SILVA")</f>
        <v>ASSOC. DE A.DO CEM PROFº. FLORÊNCIO AIRES DA SILVA</v>
      </c>
      <c r="D199" t="str">
        <f ca="1">IFERROR(__xludf.DUMMYFUNCTION("""COMPUTED_VALUE"""),"01138326000142")</f>
        <v>01138326000142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IFERROR(__xludf.DUMMYFUNCTION("""COMPUTED_VALUE"""),"5500X")</f>
        <v>5500X</v>
      </c>
      <c r="H199" s="8">
        <f ca="1">IFERROR(__xludf.DUMMYFUNCTION("""COMPUTED_VALUE"""),4851)</f>
        <v>4851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IFERROR(__xludf.DUMMYFUNCTION("""COMPUTED_VALUE"""),"Porto Nacional")</f>
        <v>Porto Nacional</v>
      </c>
      <c r="C200" t="str">
        <f ca="1">IFERROR(__xludf.DUMMYFUNCTION("""COMPUTED_VALUE"""),"A. E. COM. ESC. CONV. ANGELICA R. ARANHA")</f>
        <v>A. E. COM. ESC. CONV. ANGELICA R. ARANHA</v>
      </c>
      <c r="D200" t="str">
        <f ca="1">IFERROR(__xludf.DUMMYFUNCTION("""COMPUTED_VALUE"""),"01075455000139")</f>
        <v>01075455000139</v>
      </c>
      <c r="E200" t="str">
        <f ca="1">IFERROR(__xludf.DUMMYFUNCTION("""COMPUTED_VALUE"""),"104")</f>
        <v>104</v>
      </c>
      <c r="F200" t="str">
        <f ca="1">IFERROR(__xludf.DUMMYFUNCTION("""COMPUTED_VALUE"""),"1829")</f>
        <v>1829</v>
      </c>
      <c r="G200" t="str">
        <f ca="1">IFERROR(__xludf.DUMMYFUNCTION("""COMPUTED_VALUE"""),"307313")</f>
        <v>307313</v>
      </c>
      <c r="H200" s="8">
        <f ca="1">IFERROR(__xludf.DUMMYFUNCTION("""COMPUTED_VALUE"""),1491)</f>
        <v>1491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IFERROR(__xludf.DUMMYFUNCTION("""COMPUTED_VALUE"""),"Porto Nacional")</f>
        <v>Porto Nacional</v>
      </c>
      <c r="C201" t="str">
        <f ca="1">IFERROR(__xludf.DUMMYFUNCTION("""COMPUTED_VALUE"""),"A.A. ESC. EST. DR.PEDRO LUDOVICO TEIXEIRA")</f>
        <v>A.A. ESC. EST. DR.PEDRO LUDOVICO TEIXEIRA</v>
      </c>
      <c r="D201" t="str">
        <f ca="1">IFERROR(__xludf.DUMMYFUNCTION("""COMPUTED_VALUE"""),"01135997000150")</f>
        <v>01135997000150</v>
      </c>
      <c r="E201" t="str">
        <f ca="1">IFERROR(__xludf.DUMMYFUNCTION("""COMPUTED_VALUE"""),"104")</f>
        <v>104</v>
      </c>
      <c r="F201" t="str">
        <f ca="1">IFERROR(__xludf.DUMMYFUNCTION("""COMPUTED_VALUE"""),"1829")</f>
        <v>1829</v>
      </c>
      <c r="G201" t="str">
        <f ca="1">IFERROR(__xludf.DUMMYFUNCTION("""COMPUTED_VALUE"""),"305949")</f>
        <v>305949</v>
      </c>
      <c r="H201" s="8">
        <f ca="1">IFERROR(__xludf.DUMMYFUNCTION("""COMPUTED_VALUE"""),5418)</f>
        <v>5418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IFERROR(__xludf.DUMMYFUNCTION("""COMPUTED_VALUE"""),"Porto Nacional")</f>
        <v>Porto Nacional</v>
      </c>
      <c r="C202" t="str">
        <f ca="1">IFERROR(__xludf.DUMMYFUNCTION("""COMPUTED_VALUE"""),"A. ESCOL.COM. ESC. EST. MAL.ARTUR C.E SILVA")</f>
        <v>A. ESCOL.COM. ESC. EST. MAL.ARTUR C.E SILVA</v>
      </c>
      <c r="D202" t="str">
        <f ca="1">IFERROR(__xludf.DUMMYFUNCTION("""COMPUTED_VALUE"""),"01112763000197")</f>
        <v>01112763000197</v>
      </c>
      <c r="E202" t="str">
        <f ca="1">IFERROR(__xludf.DUMMYFUNCTION("""COMPUTED_VALUE"""),"104")</f>
        <v>104</v>
      </c>
      <c r="F202" t="str">
        <f ca="1">IFERROR(__xludf.DUMMYFUNCTION("""COMPUTED_VALUE"""),"1829")</f>
        <v>1829</v>
      </c>
      <c r="G202" t="str">
        <f ca="1">IFERROR(__xludf.DUMMYFUNCTION("""COMPUTED_VALUE"""),"307364")</f>
        <v>307364</v>
      </c>
      <c r="H202" s="8">
        <f ca="1">IFERROR(__xludf.DUMMYFUNCTION("""COMPUTED_VALUE"""),2919)</f>
        <v>2919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IFERROR(__xludf.DUMMYFUNCTION("""COMPUTED_VALUE"""),"Porto Nacional")</f>
        <v>Porto Nacional</v>
      </c>
      <c r="C203" t="str">
        <f ca="1">IFERROR(__xludf.DUMMYFUNCTION("""COMPUTED_VALUE"""),"A.A.  ESCOLA ESTADUAL ALFREDO NASSER")</f>
        <v>A.A.  ESCOLA ESTADUAL ALFREDO NASSER</v>
      </c>
      <c r="D203" t="str">
        <f ca="1">IFERROR(__xludf.DUMMYFUNCTION("""COMPUTED_VALUE"""),"01251862000150")</f>
        <v>01251862000150</v>
      </c>
      <c r="E203" t="str">
        <f ca="1">IFERROR(__xludf.DUMMYFUNCTION("""COMPUTED_VALUE"""),"104")</f>
        <v>104</v>
      </c>
      <c r="F203" t="str">
        <f ca="1">IFERROR(__xludf.DUMMYFUNCTION("""COMPUTED_VALUE"""),"1829")</f>
        <v>1829</v>
      </c>
      <c r="G203" t="str">
        <f ca="1">IFERROR(__xludf.DUMMYFUNCTION("""COMPUTED_VALUE"""),"307410")</f>
        <v>307410</v>
      </c>
      <c r="H203" s="8">
        <f ca="1">IFERROR(__xludf.DUMMYFUNCTION("""COMPUTED_VALUE"""),1155)</f>
        <v>1155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IFERROR(__xludf.DUMMYFUNCTION("""COMPUTED_VALUE"""),"A. ESCOLAR COMUN. DA ESC. CONV. BRASIL")</f>
        <v>A. ESCOLAR COMUN. DA ESC. CONV. BRASIL</v>
      </c>
      <c r="D204" t="str">
        <f ca="1">IFERROR(__xludf.DUMMYFUNCTION("""COMPUTED_VALUE"""),"01112471000154")</f>
        <v>01112471000154</v>
      </c>
      <c r="E204" t="str">
        <f ca="1">IFERROR(__xludf.DUMMYFUNCTION("""COMPUTED_VALUE"""),"104")</f>
        <v>104</v>
      </c>
      <c r="F204" t="str">
        <f ca="1">IFERROR(__xludf.DUMMYFUNCTION("""COMPUTED_VALUE"""),"1829")</f>
        <v>1829</v>
      </c>
      <c r="G204" t="str">
        <f ca="1">IFERROR(__xludf.DUMMYFUNCTION("""COMPUTED_VALUE"""),"307402")</f>
        <v>307402</v>
      </c>
      <c r="H204" s="8">
        <f ca="1">IFERROR(__xludf.DUMMYFUNCTION("""COMPUTED_VALUE"""),1113)</f>
        <v>1113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IFERROR(__xludf.DUMMYFUNCTION("""COMPUTED_VALUE"""),"A.A.  ESCOLA ESTADUAL CUSTÓDIA DA SILVA PEDREIRA")</f>
        <v>A.A.  ESCOLA ESTADUAL CUSTÓDIA DA SILVA PEDREIRA</v>
      </c>
      <c r="D205" t="str">
        <f ca="1">IFERROR(__xludf.DUMMYFUNCTION("""COMPUTED_VALUE"""),"01192932000146")</f>
        <v>01192932000146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IFERROR(__xludf.DUMMYFUNCTION("""COMPUTED_VALUE"""),"314080")</f>
        <v>314080</v>
      </c>
      <c r="H205" s="8">
        <f ca="1">IFERROR(__xludf.DUMMYFUNCTION("""COMPUTED_VALUE"""),6972)</f>
        <v>6972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ESCOLA ESTADUAL IRMA ASPASIA")</f>
        <v>A.A. ESCOLA ESTADUAL IRMA ASPASIA</v>
      </c>
      <c r="D206" t="str">
        <f ca="1">IFERROR(__xludf.DUMMYFUNCTION("""COMPUTED_VALUE"""),"01136022000146")</f>
        <v>01136022000146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IFERROR(__xludf.DUMMYFUNCTION("""COMPUTED_VALUE"""),"307453")</f>
        <v>307453</v>
      </c>
      <c r="H206" s="8">
        <f ca="1">IFERROR(__xludf.DUMMYFUNCTION("""COMPUTED_VALUE"""),4452)</f>
        <v>4452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E. E. PROFA. CARMENIA MATOS MAIA")</f>
        <v>A.A. E. E. PROFA. CARMENIA MATOS MAIA</v>
      </c>
      <c r="D207" t="str">
        <f ca="1">IFERROR(__xludf.DUMMYFUNCTION("""COMPUTED_VALUE"""),"01118897000115")</f>
        <v>01118897000115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IFERROR(__xludf.DUMMYFUNCTION("""COMPUTED_VALUE"""),"307399")</f>
        <v>307399</v>
      </c>
      <c r="H207" s="8">
        <f ca="1">IFERROR(__xludf.DUMMYFUNCTION("""COMPUTED_VALUE"""),1974)</f>
        <v>1974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IFERROR(__xludf.DUMMYFUNCTION("""COMPUTED_VALUE"""),"Santa Rita do Tocantins")</f>
        <v>Santa Rita do Tocantins</v>
      </c>
      <c r="C208" t="str">
        <f ca="1">IFERROR(__xludf.DUMMYFUNCTION("""COMPUTED_VALUE"""),"ASS. COM.DE AP.ESC. EST. DE 1 GRAU BOA NOVA")</f>
        <v>ASS. COM.DE AP.ESC. EST. DE 1 GRAU BOA NOVA</v>
      </c>
      <c r="D208" t="str">
        <f ca="1">IFERROR(__xludf.DUMMYFUNCTION("""COMPUTED_VALUE"""),"01856561000150")</f>
        <v>01856561000150</v>
      </c>
      <c r="E208" t="str">
        <f ca="1">IFERROR(__xludf.DUMMYFUNCTION("""COMPUTED_VALUE"""),"001")</f>
        <v>001</v>
      </c>
      <c r="F208" t="str">
        <f ca="1">IFERROR(__xludf.DUMMYFUNCTION("""COMPUTED_VALUE"""),"4107")</f>
        <v>4107</v>
      </c>
      <c r="G208" t="str">
        <f ca="1">IFERROR(__xludf.DUMMYFUNCTION("""COMPUTED_VALUE"""),"320722")</f>
        <v>320722</v>
      </c>
      <c r="H208" s="8">
        <f ca="1">IFERROR(__xludf.DUMMYFUNCTION("""COMPUTED_VALUE"""),1953)</f>
        <v>1953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IFERROR(__xludf.DUMMYFUNCTION("""COMPUTED_VALUE"""),"Santa Rosa do Tocantins")</f>
        <v>Santa Rosa do Tocantins</v>
      </c>
      <c r="C209" t="str">
        <f ca="1">IFERROR(__xludf.DUMMYFUNCTION("""COMPUTED_VALUE"""),"A.A. E. E. TENENTE SALVADOR RIBEIRO")</f>
        <v>A.A. E. E. TENENTE SALVADOR RIBEIRO</v>
      </c>
      <c r="D209" t="str">
        <f ca="1">IFERROR(__xludf.DUMMYFUNCTION("""COMPUTED_VALUE"""),"01066424000111")</f>
        <v>01066424000111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IFERROR(__xludf.DUMMYFUNCTION("""COMPUTED_VALUE"""),"332623")</f>
        <v>332623</v>
      </c>
      <c r="H209" s="8">
        <f ca="1">IFERROR(__xludf.DUMMYFUNCTION("""COMPUTED_VALUE"""),3990)</f>
        <v>3990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IFERROR(__xludf.DUMMYFUNCTION("""COMPUTED_VALUE"""),"Silvanopolis")</f>
        <v>Silvanopolis</v>
      </c>
      <c r="C210" t="str">
        <f ca="1">IFERROR(__xludf.DUMMYFUNCTION("""COMPUTED_VALUE"""),"A.A. DA ESC. EST. JOAO DA SILVA GUIMARAES")</f>
        <v>A.A. DA ESC. EST. JOAO DA SILVA GUIMARAES</v>
      </c>
      <c r="D210" t="str">
        <f ca="1">IFERROR(__xludf.DUMMYFUNCTION("""COMPUTED_VALUE"""),"01557779000103")</f>
        <v>01557779000103</v>
      </c>
      <c r="E210" t="str">
        <f ca="1">IFERROR(__xludf.DUMMYFUNCTION("""COMPUTED_VALUE"""),"001")</f>
        <v>001</v>
      </c>
      <c r="F210" t="str">
        <f ca="1">IFERROR(__xludf.DUMMYFUNCTION("""COMPUTED_VALUE"""),"3980")</f>
        <v>3980</v>
      </c>
      <c r="G210" t="str">
        <f ca="1">IFERROR(__xludf.DUMMYFUNCTION("""COMPUTED_VALUE"""),"51292")</f>
        <v>51292</v>
      </c>
      <c r="H210" s="8">
        <f ca="1">IFERROR(__xludf.DUMMYFUNCTION("""COMPUTED_VALUE"""),5187)</f>
        <v>5187</v>
      </c>
      <c r="I210" t="str">
        <v>ENS MEDIO PARCIAL</v>
      </c>
    </row>
    <row r="211" spans="1:9" ht="12.75">
      <c r="A211" t="str">
        <f ca="1">IFERROR(__xludf.DUMMYFUNCTION("""COMPUTED_VALUE"""),"Tocantinópolis")</f>
        <v>Tocantinópolis</v>
      </c>
      <c r="B211" t="str">
        <f ca="1">IFERROR(__xludf.DUMMYFUNCTION("""COMPUTED_VALUE"""),"Aguiarnopolis")</f>
        <v>Aguiarnopolis</v>
      </c>
      <c r="C211" t="str">
        <f ca="1">IFERROR(__xludf.DUMMYFUNCTION("""COMPUTED_VALUE"""),"A.A. DA ESC. EST. NAZARÉ NUNES DA SILVA (AGUIARNOPOLIS)")</f>
        <v>A.A. DA ESC. EST. NAZARÉ NUNES DA SILVA (AGUIARNOPOLIS)</v>
      </c>
      <c r="D211" t="str">
        <f ca="1">IFERROR(__xludf.DUMMYFUNCTION("""COMPUTED_VALUE"""),"01213519000110")</f>
        <v>01213519000110</v>
      </c>
      <c r="E211" t="str">
        <f ca="1">IFERROR(__xludf.DUMMYFUNCTION("""COMPUTED_VALUE"""),"001")</f>
        <v>001</v>
      </c>
      <c r="F211" t="str">
        <f ca="1">IFERROR(__xludf.DUMMYFUNCTION("""COMPUTED_VALUE"""),"0810")</f>
        <v>0810</v>
      </c>
      <c r="G211" t="str">
        <f ca="1">IFERROR(__xludf.DUMMYFUNCTION("""COMPUTED_VALUE"""),"217727")</f>
        <v>217727</v>
      </c>
      <c r="H211" s="8">
        <f ca="1">IFERROR(__xludf.DUMMYFUNCTION("""COMPUTED_VALUE"""),1449)</f>
        <v>1449</v>
      </c>
      <c r="I211" t="str">
        <v>ENS MEDIO PARCIAL</v>
      </c>
    </row>
    <row r="212" spans="1:9" ht="12.75">
      <c r="A212" t="str">
        <f ca="1">IFERROR(__xludf.DUMMYFUNCTION("""COMPUTED_VALUE"""),"Tocantinópolis")</f>
        <v>Tocantinópolis</v>
      </c>
      <c r="B212" t="str">
        <f ca="1">IFERROR(__xludf.DUMMYFUNCTION("""COMPUTED_VALUE"""),"Angico")</f>
        <v>Angico</v>
      </c>
      <c r="C212" t="str">
        <f ca="1">IFERROR(__xludf.DUMMYFUNCTION("""COMPUTED_VALUE"""),"ASSOCIAÇÃO DE APOIO DO COL. EST. DULCE COELHO DE SOUSA")</f>
        <v>ASSOCIAÇÃO DE APOIO DO COL. EST. DULCE COELHO DE SOUSA</v>
      </c>
      <c r="D212" t="str">
        <f ca="1">IFERROR(__xludf.DUMMYFUNCTION("""COMPUTED_VALUE"""),"10800992000195")</f>
        <v>10800992000195</v>
      </c>
      <c r="E212" t="str">
        <f ca="1">IFERROR(__xludf.DUMMYFUNCTION("""COMPUTED_VALUE"""),"001")</f>
        <v>001</v>
      </c>
      <c r="F212" t="str">
        <f ca="1">IFERROR(__xludf.DUMMYFUNCTION("""COMPUTED_VALUE"""),"3973")</f>
        <v>3973</v>
      </c>
      <c r="G212" t="str">
        <f ca="1">IFERROR(__xludf.DUMMYFUNCTION("""COMPUTED_VALUE"""),"212792")</f>
        <v>212792</v>
      </c>
      <c r="H212" s="8">
        <f ca="1">IFERROR(__xludf.DUMMYFUNCTION("""COMPUTED_VALUE"""),2919)</f>
        <v>2919</v>
      </c>
      <c r="I212" t="str">
        <v>ENS MEDIO PARCIAL</v>
      </c>
    </row>
    <row r="213" spans="1:9" ht="12.75">
      <c r="A213" t="str">
        <f ca="1">IFERROR(__xludf.DUMMYFUNCTION("""COMPUTED_VALUE"""),"Tocantinópolis")</f>
        <v>Tocantinópolis</v>
      </c>
      <c r="B213" t="str">
        <f ca="1">IFERROR(__xludf.DUMMYFUNCTION("""COMPUTED_VALUE"""),"Cachoeirinha")</f>
        <v>Cachoeirinha</v>
      </c>
      <c r="C213" t="str">
        <f ca="1">IFERROR(__xludf.DUMMYFUNCTION("""COMPUTED_VALUE"""),"A.A. E. EST. NOVA DA CACHOEIRINHA/RAIMUNDO NONATO TORRES")</f>
        <v>A.A. E. EST. NOVA DA CACHOEIRINHA/RAIMUNDO NONATO TORRES</v>
      </c>
      <c r="D213" t="str">
        <f ca="1">IFERROR(__xludf.DUMMYFUNCTION("""COMPUTED_VALUE"""),"01213535000103")</f>
        <v>01213535000103</v>
      </c>
      <c r="E213" t="str">
        <f ca="1">IFERROR(__xludf.DUMMYFUNCTION("""COMPUTED_VALUE"""),"001")</f>
        <v>001</v>
      </c>
      <c r="F213" t="str">
        <f ca="1">IFERROR(__xludf.DUMMYFUNCTION("""COMPUTED_VALUE"""),"0810")</f>
        <v>0810</v>
      </c>
      <c r="G213" t="str">
        <f ca="1">IFERROR(__xludf.DUMMYFUNCTION("""COMPUTED_VALUE"""),"0217689")</f>
        <v>0217689</v>
      </c>
      <c r="H213" s="8">
        <f ca="1">IFERROR(__xludf.DUMMYFUNCTION("""COMPUTED_VALUE"""),2016)</f>
        <v>2016</v>
      </c>
      <c r="I213" t="str">
        <v>ENS MEDIO PARCIAL</v>
      </c>
    </row>
    <row r="214" spans="1:9" ht="12.75">
      <c r="A214" t="str">
        <f ca="1">IFERROR(__xludf.DUMMYFUNCTION("""COMPUTED_VALUE"""),"Tocantinópolis")</f>
        <v>Tocantinópolis</v>
      </c>
      <c r="B214" t="str">
        <f ca="1">IFERROR(__xludf.DUMMYFUNCTION("""COMPUTED_VALUE"""),"darcinopolis")</f>
        <v>darcinopolis</v>
      </c>
      <c r="C214" t="str">
        <f ca="1">IFERROR(__xludf.DUMMYFUNCTION("""COMPUTED_VALUE"""),"A. APOIO COL. EST. JOSE DE SOUZA PORTO")</f>
        <v>A. APOIO COL. EST. JOSE DE SOUZA PORTO</v>
      </c>
      <c r="D214" t="str">
        <f ca="1">IFERROR(__xludf.DUMMYFUNCTION("""COMPUTED_VALUE"""),"01213532000170")</f>
        <v>01213532000170</v>
      </c>
      <c r="E214" t="str">
        <f ca="1">IFERROR(__xludf.DUMMYFUNCTION("""COMPUTED_VALUE"""),"001")</f>
        <v>001</v>
      </c>
      <c r="F214" t="str">
        <f ca="1">IFERROR(__xludf.DUMMYFUNCTION("""COMPUTED_VALUE"""),"0810")</f>
        <v>0810</v>
      </c>
      <c r="G214" t="str">
        <f ca="1">IFERROR(__xludf.DUMMYFUNCTION("""COMPUTED_VALUE"""),"25739")</f>
        <v>25739</v>
      </c>
      <c r="H214" s="8">
        <f ca="1">IFERROR(__xludf.DUMMYFUNCTION("""COMPUTED_VALUE"""),5859)</f>
        <v>5859</v>
      </c>
      <c r="I214" t="str">
        <v>ENS MEDIO PARCIAL</v>
      </c>
    </row>
    <row r="215" spans="1:9" ht="12.75">
      <c r="A215" t="str">
        <f ca="1">IFERROR(__xludf.DUMMYFUNCTION("""COMPUTED_VALUE"""),"Tocantinópolis")</f>
        <v>Tocantinópolis</v>
      </c>
      <c r="B215" t="str">
        <f ca="1">IFERROR(__xludf.DUMMYFUNCTION("""COMPUTED_VALUE"""),"Itaguatins")</f>
        <v>Itaguatins</v>
      </c>
      <c r="C215" t="str">
        <f ca="1">IFERROR(__xludf.DUMMYFUNCTION("""COMPUTED_VALUE"""),"ASS. DE APOIO ESC. EST. OLAVO BILAC")</f>
        <v>ASS. DE APOIO ESC. EST. OLAVO BILAC</v>
      </c>
      <c r="D215" t="str">
        <f ca="1">IFERROR(__xludf.DUMMYFUNCTION("""COMPUTED_VALUE"""),"01358337000138")</f>
        <v>01358337000138</v>
      </c>
      <c r="E215" t="str">
        <f ca="1">IFERROR(__xludf.DUMMYFUNCTION("""COMPUTED_VALUE"""),"001")</f>
        <v>001</v>
      </c>
      <c r="F215" t="str">
        <f ca="1">IFERROR(__xludf.DUMMYFUNCTION("""COMPUTED_VALUE"""),"0810")</f>
        <v>0810</v>
      </c>
      <c r="G215" t="str">
        <f ca="1">IFERROR(__xludf.DUMMYFUNCTION("""COMPUTED_VALUE"""),"218391")</f>
        <v>218391</v>
      </c>
      <c r="H215" s="8">
        <f ca="1">IFERROR(__xludf.DUMMYFUNCTION("""COMPUTED_VALUE"""),4452)</f>
        <v>4452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IFERROR(__xludf.DUMMYFUNCTION("""COMPUTED_VALUE"""),"Luzinopolis")</f>
        <v>Luzinopolis</v>
      </c>
      <c r="C216" t="str">
        <f ca="1">IFERROR(__xludf.DUMMYFUNCTION("""COMPUTED_VALUE"""),"ASS. AP.A ESC. EST. JUSCELINO K.DE OLIVEIRA")</f>
        <v>ASS. AP.A ESC. EST. JUSCELINO K.DE OLIVEIRA</v>
      </c>
      <c r="D216" t="str">
        <f ca="1">IFERROR(__xludf.DUMMYFUNCTION("""COMPUTED_VALUE"""),"01230232000107")</f>
        <v>01230232000107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IFERROR(__xludf.DUMMYFUNCTION("""COMPUTED_VALUE"""),"022135X")</f>
        <v>022135X</v>
      </c>
      <c r="H216" s="8">
        <f ca="1">IFERROR(__xludf.DUMMYFUNCTION("""COMPUTED_VALUE"""),3612)</f>
        <v>3612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IFERROR(__xludf.DUMMYFUNCTION("""COMPUTED_VALUE"""),"Maurilandia do Tocantins")</f>
        <v>Maurilandia do Tocantins</v>
      </c>
      <c r="C217" t="str">
        <f ca="1">IFERROR(__xludf.DUMMYFUNCTION("""COMPUTED_VALUE"""),"A.A.  DA ESC. EST.PEDRO LUDOVICO TEIXEIRA")</f>
        <v>A.A.  DA ESC. EST.PEDRO LUDOVICO TEIXEIRA</v>
      </c>
      <c r="D217" t="str">
        <f ca="1">IFERROR(__xludf.DUMMYFUNCTION("""COMPUTED_VALUE"""),"01213528000101")</f>
        <v>01213528000101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IFERROR(__xludf.DUMMYFUNCTION("""COMPUTED_VALUE"""),"0217670")</f>
        <v>0217670</v>
      </c>
      <c r="H217" s="8">
        <f ca="1">IFERROR(__xludf.DUMMYFUNCTION("""COMPUTED_VALUE"""),3276)</f>
        <v>3276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IFERROR(__xludf.DUMMYFUNCTION("""COMPUTED_VALUE"""),"Nazare")</f>
        <v>Nazare</v>
      </c>
      <c r="C218" t="str">
        <f ca="1">IFERROR(__xludf.DUMMYFUNCTION("""COMPUTED_VALUE"""),"A.DO COLEGIO EST.PRES.CASTELO BRANCO")</f>
        <v>A.DO COLEGIO EST.PRES.CASTELO BRANCO</v>
      </c>
      <c r="D218" t="str">
        <f ca="1">IFERROR(__xludf.DUMMYFUNCTION("""COMPUTED_VALUE"""),"01213522000134")</f>
        <v>01213522000134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IFERROR(__xludf.DUMMYFUNCTION("""COMPUTED_VALUE"""),"217859")</f>
        <v>217859</v>
      </c>
      <c r="H218" s="8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IFERROR(__xludf.DUMMYFUNCTION("""COMPUTED_VALUE"""),"Nazare")</f>
        <v>Nazare</v>
      </c>
      <c r="C219" t="str">
        <f ca="1">IFERROR(__xludf.DUMMYFUNCTION("""COMPUTED_VALUE"""),"A.A. ESC. EST. DOM CORNELIO CHIZZINI")</f>
        <v>A.A. ESC. EST. DOM CORNELIO CHIZZINI</v>
      </c>
      <c r="D219" t="str">
        <f ca="1">IFERROR(__xludf.DUMMYFUNCTION("""COMPUTED_VALUE"""),"01230233000143")</f>
        <v>01230233000143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IFERROR(__xludf.DUMMYFUNCTION("""COMPUTED_VALUE"""),"21776X")</f>
        <v>21776X</v>
      </c>
      <c r="H219" s="8">
        <f ca="1">IFERROR(__xludf.DUMMYFUNCTION("""COMPUTED_VALUE"""),1134)</f>
        <v>1134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IFERROR(__xludf.DUMMYFUNCTION("""COMPUTED_VALUE"""),"Nazare")</f>
        <v>Nazare</v>
      </c>
      <c r="C220" t="str">
        <f ca="1">IFERROR(__xludf.DUMMYFUNCTION("""COMPUTED_VALUE"""),"A.A.  DA ESCOLA ESTADUAL PIACAVA")</f>
        <v>A.A.  DA ESCOLA ESTADUAL PIACAVA</v>
      </c>
      <c r="D220" t="str">
        <f ca="1">IFERROR(__xludf.DUMMYFUNCTION("""COMPUTED_VALUE"""),"01230239000110")</f>
        <v>01230239000110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IFERROR(__xludf.DUMMYFUNCTION("""COMPUTED_VALUE"""),"217883")</f>
        <v>217883</v>
      </c>
      <c r="H220" s="8">
        <f ca="1">IFERROR(__xludf.DUMMYFUNCTION("""COMPUTED_VALUE"""),567)</f>
        <v>567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IFERROR(__xludf.DUMMYFUNCTION("""COMPUTED_VALUE"""),"Palmeiras do Tocantins")</f>
        <v>Palmeiras do Tocantins</v>
      </c>
      <c r="C221" t="str">
        <f ca="1">IFERROR(__xludf.DUMMYFUNCTION("""COMPUTED_VALUE"""),"A.A. ESC. EST. RAIMUNDO NEIVA DE CARVALHO")</f>
        <v>A.A. ESC. EST. RAIMUNDO NEIVA DE CARVALHO</v>
      </c>
      <c r="D221" t="str">
        <f ca="1">IFERROR(__xludf.DUMMYFUNCTION("""COMPUTED_VALUE"""),"01213533000114")</f>
        <v>01213533000114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IFERROR(__xludf.DUMMYFUNCTION("""COMPUTED_VALUE"""),"0027529")</f>
        <v>0027529</v>
      </c>
      <c r="H221" s="8">
        <f ca="1">IFERROR(__xludf.DUMMYFUNCTION("""COMPUTED_VALUE"""),5187)</f>
        <v>5187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IFERROR(__xludf.DUMMYFUNCTION("""COMPUTED_VALUE"""),"Santa Terezinha do Tocantins")</f>
        <v>Santa Terezinha do Tocantins</v>
      </c>
      <c r="C222" t="str">
        <f ca="1">IFERROR(__xludf.DUMMYFUNCTION("""COMPUTED_VALUE"""),"ASS. A. ESC. EST. DR JOSE FELICIANO FERREIRA")</f>
        <v>ASS. A. ESC. EST. DR JOSE FELICIANO FERREIRA</v>
      </c>
      <c r="D222" t="str">
        <f ca="1">IFERROR(__xludf.DUMMYFUNCTION("""COMPUTED_VALUE"""),"01077441000154")</f>
        <v>01077441000154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IFERROR(__xludf.DUMMYFUNCTION("""COMPUTED_VALUE"""),"0026085")</f>
        <v>0026085</v>
      </c>
      <c r="H222" s="8">
        <f ca="1">IFERROR(__xludf.DUMMYFUNCTION("""COMPUTED_VALUE"""),1932)</f>
        <v>1932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IFERROR(__xludf.DUMMYFUNCTION("""COMPUTED_VALUE"""),"Tocantinopolis")</f>
        <v>Tocantinopolis</v>
      </c>
      <c r="C223" t="str">
        <f ca="1">IFERROR(__xludf.DUMMYFUNCTION("""COMPUTED_VALUE"""),"ASSOC. APOIO AO COLÉGIODOM ORIONE")</f>
        <v>ASSOC. APOIO AO COLÉGIODOM ORIONE</v>
      </c>
      <c r="D223" t="str">
        <f ca="1">IFERROR(__xludf.DUMMYFUNCTION("""COMPUTED_VALUE"""),"13033002000129")</f>
        <v>13033002000129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IFERROR(__xludf.DUMMYFUNCTION("""COMPUTED_VALUE"""),"254193")</f>
        <v>254193</v>
      </c>
      <c r="H223" s="8">
        <f ca="1">IFERROR(__xludf.DUMMYFUNCTION("""COMPUTED_VALUE"""),8421)</f>
        <v>8421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IFERROR(__xludf.DUMMYFUNCTION("""COMPUTED_VALUE"""),"Tocantinopolis")</f>
        <v>Tocantinopolis</v>
      </c>
      <c r="C224" t="str">
        <f ca="1">IFERROR(__xludf.DUMMYFUNCTION("""COMPUTED_VALUE"""),"A.A. DO COL.PADRAO/JOSÉ CARNEIRO DE BRITO")</f>
        <v>A.A. DO COL.PADRAO/JOSÉ CARNEIRO DE BRITO</v>
      </c>
      <c r="D224" t="str">
        <f ca="1">IFERROR(__xludf.DUMMYFUNCTION("""COMPUTED_VALUE"""),"03880040000163")</f>
        <v>03880040000163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IFERROR(__xludf.DUMMYFUNCTION("""COMPUTED_VALUE"""),"81884")</f>
        <v>81884</v>
      </c>
      <c r="H224" s="8">
        <f ca="1">IFERROR(__xludf.DUMMYFUNCTION("""COMPUTED_VALUE"""),5124)</f>
        <v>5124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IFERROR(__xludf.DUMMYFUNCTION("""COMPUTED_VALUE"""),"Tocantinopolis")</f>
        <v>Tocantinopolis</v>
      </c>
      <c r="C225" t="str">
        <f ca="1">IFERROR(__xludf.DUMMYFUNCTION("""COMPUTED_VALUE"""),"A. DA ESCOLA PAROQUIAL CRISTO REI")</f>
        <v>A. DA ESCOLA PAROQUIAL CRISTO REI</v>
      </c>
      <c r="D225" t="str">
        <f ca="1">IFERROR(__xludf.DUMMYFUNCTION("""COMPUTED_VALUE"""),"02026329000157")</f>
        <v>02026329000157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IFERROR(__xludf.DUMMYFUNCTION("""COMPUTED_VALUE"""),"58149")</f>
        <v>58149</v>
      </c>
      <c r="H225" s="8">
        <f ca="1">IFERROR(__xludf.DUMMYFUNCTION("""COMPUTED_VALUE"""),1428)</f>
        <v>1428</v>
      </c>
      <c r="I225" t="str">
        <v>ENS MEDIO PARCIAL</v>
      </c>
    </row>
    <row r="226" spans="1:9" ht="12.75">
      <c r="I226" t="str">
        <v/>
      </c>
    </row>
    <row r="227" spans="1:9" ht="12.75">
      <c r="I227" t="str">
        <v/>
      </c>
    </row>
    <row r="228" spans="1:9" ht="12.75">
      <c r="I228" t="str">
        <v/>
      </c>
    </row>
    <row r="229" spans="1:9" ht="12.75">
      <c r="I229" t="str">
        <v/>
      </c>
    </row>
    <row r="230" spans="1:9" ht="12.75">
      <c r="I230" t="str">
        <v/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6" t="str">
        <f ca="1">IFERROR(__xludf.DUMMYFUNCTION("QUERY(REP_EST_PARC!A5:Z1000,""SELECT A,B,C,D,E,F,G,O WHERE O&gt;0 label O 'EJA'"")"),"Araguaina")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IFERROR(__xludf.DUMMYFUNCTION("""COMPUTED_VALUE"""),"EJA")</f>
        <v>EJA</v>
      </c>
      <c r="I1" s="22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IFERROR(__xludf.DUMMYFUNCTION("""COMPUTED_VALUE"""),"A.A. E. EST.NOSSA SENHORA DE FATIMA")</f>
        <v>A.A. E. EST.NOSSA SENHORA DE FATIMA</v>
      </c>
      <c r="D102" t="str">
        <f ca="1">IFERROR(__xludf.DUMMYFUNCTION("""COMPUTED_VALUE"""),"01064860000151")</f>
        <v>01064860000151</v>
      </c>
      <c r="E102" t="str">
        <f ca="1">IFERROR(__xludf.DUMMYFUNCTION("""COMPUTED_VALUE"""),"003")</f>
        <v>003</v>
      </c>
      <c r="F102" t="str">
        <f ca="1">IFERROR(__xludf.DUMMYFUNCTION("""COMPUTED_VALUE"""),"0037")</f>
        <v>0037</v>
      </c>
      <c r="G102" t="str">
        <f ca="1">IFERROR(__xludf.DUMMYFUNCTION("""COMPUTED_VALUE"""),"0702646")</f>
        <v>0702646</v>
      </c>
      <c r="H102" s="8">
        <f ca="1">IFERROR(__xludf.DUMMYFUNCTION("""COMPUTED_VALUE"""),294)</f>
        <v>294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IFERROR(__xludf.DUMMYFUNCTION("""COMPUTED_VALUE"""),"Oliveira de Fatima")</f>
        <v>Oliveira de Fatima</v>
      </c>
      <c r="C103" t="str">
        <f ca="1">IFERROR(__xludf.DUMMYFUNCTION("""COMPUTED_VALUE"""),"ASS. DE APOIO DA ESC. EST.RIACHUELO")</f>
        <v>ASS. DE APOIO DA ESC. EST.RIACHUELO</v>
      </c>
      <c r="D103" t="str">
        <f ca="1">IFERROR(__xludf.DUMMYFUNCTION("""COMPUTED_VALUE"""),"01696068000110")</f>
        <v>01696068000110</v>
      </c>
      <c r="E103" t="str">
        <f ca="1">IFERROR(__xludf.DUMMYFUNCTION("""COMPUTED_VALUE"""),"001")</f>
        <v>001</v>
      </c>
      <c r="F103" t="str">
        <f ca="1">IFERROR(__xludf.DUMMYFUNCTION("""COMPUTED_VALUE"""),"4107")</f>
        <v>4107</v>
      </c>
      <c r="G103" t="str">
        <f ca="1">IFERROR(__xludf.DUMMYFUNCTION("""COMPUTED_VALUE"""),"319511")</f>
        <v>319511</v>
      </c>
      <c r="H103" s="8">
        <f ca="1">IFERROR(__xludf.DUMMYFUNCTION("""COMPUTED_VALUE"""),336)</f>
        <v>336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IFERROR(__xludf.DUMMYFUNCTION("""COMPUTED_VALUE"""),"Ponte Alta do Tocantins")</f>
        <v>Ponte Alta do Tocantins</v>
      </c>
      <c r="C104" t="str">
        <f ca="1">IFERROR(__xludf.DUMMYFUNCTION("""COMPUTED_VALUE"""),"ASS. DE APOIO A ESCOLA EST. ESPECIAL AMILSON FRAZÃO DOS REIS")</f>
        <v>ASS. DE APOIO A ESCOLA EST. ESPECIAL AMILSON FRAZÃO DOS REIS</v>
      </c>
      <c r="D104" t="str">
        <f ca="1">IFERROR(__xludf.DUMMYFUNCTION("""COMPUTED_VALUE"""),"20309905000155")</f>
        <v>20309905000155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IFERROR(__xludf.DUMMYFUNCTION("""COMPUTED_VALUE"""),"567426")</f>
        <v>567426</v>
      </c>
      <c r="H104" s="8">
        <f ca="1">IFERROR(__xludf.DUMMYFUNCTION("""COMPUTED_VALUE"""),924)</f>
        <v>924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IFERROR(__xludf.DUMMYFUNCTION("""COMPUTED_VALUE"""),"ASSOC. DE A.DO CEM PROFº. FLORÊNCIO AIRES DA SILVA")</f>
        <v>ASSOC. DE A.DO CEM PROFº. FLORÊNCIO AIRES DA SILVA</v>
      </c>
      <c r="D105" t="str">
        <f ca="1">IFERROR(__xludf.DUMMYFUNCTION("""COMPUTED_VALUE"""),"01138326000142")</f>
        <v>01138326000142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IFERROR(__xludf.DUMMYFUNCTION("""COMPUTED_VALUE"""),"5500X")</f>
        <v>5500X</v>
      </c>
      <c r="H105" s="8">
        <f ca="1">IFERROR(__xludf.DUMMYFUNCTION("""COMPUTED_VALUE"""),1659)</f>
        <v>1659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IFERROR(__xludf.DUMMYFUNCTION("""COMPUTED_VALUE"""),"A. ESCOL.COM. ESC. EST. MAL.ARTUR C.E SILVA")</f>
        <v>A. ESCOL.COM. ESC. EST. MAL.ARTUR C.E SILVA</v>
      </c>
      <c r="D106" t="str">
        <f ca="1">IFERROR(__xludf.DUMMYFUNCTION("""COMPUTED_VALUE"""),"01112763000197")</f>
        <v>01112763000197</v>
      </c>
      <c r="E106" t="str">
        <f ca="1">IFERROR(__xludf.DUMMYFUNCTION("""COMPUTED_VALUE"""),"104")</f>
        <v>104</v>
      </c>
      <c r="F106" t="str">
        <f ca="1">IFERROR(__xludf.DUMMYFUNCTION("""COMPUTED_VALUE"""),"1829")</f>
        <v>1829</v>
      </c>
      <c r="G106" t="str">
        <f ca="1">IFERROR(__xludf.DUMMYFUNCTION("""COMPUTED_VALUE"""),"307364")</f>
        <v>307364</v>
      </c>
      <c r="H106" s="8">
        <f ca="1">IFERROR(__xludf.DUMMYFUNCTION("""COMPUTED_VALUE"""),2058)</f>
        <v>2058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IFERROR(__xludf.DUMMYFUNCTION("""COMPUTED_VALUE"""),1869)</f>
        <v>1869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IFERROR(__xludf.DUMMYFUNCTION("""COMPUTED_VALUE"""),483)</f>
        <v>483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IFERROR(__xludf.DUMMYFUNCTION("""COMPUTED_VALUE"""),336)</f>
        <v>336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IFERROR(__xludf.DUMMYFUNCTION("""COMPUTED_VALUE"""),1176)</f>
        <v>1176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IFERROR(__xludf.DUMMYFUNCTION("""COMPUTED_VALUE"""),588)</f>
        <v>588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IFERROR(__xludf.DUMMYFUNCTION("""COMPUTED_VALUE"""),1953)</f>
        <v>1953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IFERROR(__xludf.DUMMYFUNCTION("""COMPUTED_VALUE"""),1764)</f>
        <v>1764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IFERROR(__xludf.DUMMYFUNCTION("""COMPUTED_VALUE"""),1029)</f>
        <v>1029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1"/>
      <c r="B1" s="222"/>
      <c r="C1" s="223" t="s">
        <v>138</v>
      </c>
      <c r="D1" s="224"/>
      <c r="E1" s="162"/>
      <c r="F1" s="162"/>
      <c r="G1" s="225"/>
      <c r="H1" s="226" t="s">
        <v>139</v>
      </c>
      <c r="I1" s="227">
        <f ca="1">SUBTOTAL(9,I4:I1000)</f>
        <v>2714922</v>
      </c>
    </row>
    <row r="2" spans="1:26" ht="62.25" customHeight="1">
      <c r="A2" s="228" t="s">
        <v>4</v>
      </c>
      <c r="B2" s="228" t="s">
        <v>5</v>
      </c>
      <c r="C2" s="228" t="str">
        <f ca="1">"UNIDADES EXECUTORAS = " &amp; COUNTA(C6:C411)</f>
        <v>UNIDADES EXECUTORAS = 406</v>
      </c>
      <c r="D2" s="228" t="s">
        <v>8</v>
      </c>
      <c r="E2" s="229" t="s">
        <v>0</v>
      </c>
      <c r="F2" s="229" t="s">
        <v>1</v>
      </c>
      <c r="G2" s="230" t="s">
        <v>2</v>
      </c>
      <c r="H2" s="231" t="s">
        <v>128</v>
      </c>
      <c r="I2" s="232" t="s">
        <v>129</v>
      </c>
    </row>
    <row r="3" spans="1:26" ht="15" customHeight="1">
      <c r="A3" s="233"/>
      <c r="B3" s="233"/>
      <c r="C3" s="233"/>
      <c r="D3" s="234"/>
      <c r="E3" s="234"/>
      <c r="F3" s="234"/>
      <c r="G3" s="233"/>
      <c r="H3" s="233"/>
      <c r="I3" s="233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21" customHeight="1">
      <c r="A4" s="236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37" t="str">
        <f ca="1">IFERROR(__xludf.DUMMYFUNCTION("""COMPUTED_VALUE"""),"Ananas")</f>
        <v>Ananas</v>
      </c>
      <c r="C4" s="237" t="str">
        <f ca="1">IFERROR(__xludf.DUMMYFUNCTION("""COMPUTED_VALUE"""),"AS. DE A. A ESC.PAROQUIAL SAO MIGUEL")</f>
        <v>AS. DE A. A ESC.PAROQUIAL SAO MIGUEL</v>
      </c>
      <c r="D4" s="238" t="str">
        <f ca="1">IFERROR(__xludf.DUMMYFUNCTION("""COMPUTED_VALUE"""),"01133698000186")</f>
        <v>01133698000186</v>
      </c>
      <c r="E4" s="238" t="str">
        <f ca="1">IFERROR(__xludf.DUMMYFUNCTION("""COMPUTED_VALUE"""),"001")</f>
        <v>001</v>
      </c>
      <c r="F4" s="238" t="str">
        <f ca="1">IFERROR(__xludf.DUMMYFUNCTION("""COMPUTED_VALUE"""),"3773")</f>
        <v>3773</v>
      </c>
      <c r="G4" s="237" t="str">
        <f ca="1">IFERROR(__xludf.DUMMYFUNCTION("""COMPUTED_VALUE"""),"330035")</f>
        <v>330035</v>
      </c>
      <c r="H4" s="237" t="str">
        <f ca="1">IFERROR(__xludf.DUMMYFUNCTION("""COMPUTED_VALUE"""),"E.F. PARCIAL")</f>
        <v>E.F. PARCIAL</v>
      </c>
      <c r="I4" s="239">
        <f ca="1">IFERROR(__xludf.DUMMYFUNCTION("""COMPUTED_VALUE"""),5397)</f>
        <v>5397</v>
      </c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1" customHeight="1">
      <c r="A5" s="240" t="str">
        <f ca="1">IFERROR(__xludf.DUMMYFUNCTION("""COMPUTED_VALUE"""),"Araguaina")</f>
        <v>Araguaina</v>
      </c>
      <c r="B5" s="240" t="str">
        <f ca="1">IFERROR(__xludf.DUMMYFUNCTION("""COMPUTED_VALUE"""),"Ananas")</f>
        <v>Ananas</v>
      </c>
      <c r="C5" s="240" t="str">
        <f ca="1">IFERROR(__xludf.DUMMYFUNCTION("""COMPUTED_VALUE"""),"AS. DE A. A ESC.PAROQUIAL SAO MIGUEL")</f>
        <v>AS. DE A. A ESC.PAROQUIAL SAO MIGUEL</v>
      </c>
      <c r="D5" s="241" t="str">
        <f ca="1">IFERROR(__xludf.DUMMYFUNCTION("""COMPUTED_VALUE"""),"01133698000186")</f>
        <v>01133698000186</v>
      </c>
      <c r="E5" s="241" t="str">
        <f ca="1">IFERROR(__xludf.DUMMYFUNCTION("""COMPUTED_VALUE"""),"001")</f>
        <v>001</v>
      </c>
      <c r="F5" s="241" t="str">
        <f ca="1">IFERROR(__xludf.DUMMYFUNCTION("""COMPUTED_VALUE"""),"3773")</f>
        <v>3773</v>
      </c>
      <c r="G5" s="240" t="str">
        <f ca="1">IFERROR(__xludf.DUMMYFUNCTION("""COMPUTED_VALUE"""),"330035")</f>
        <v>330035</v>
      </c>
      <c r="H5" s="240" t="str">
        <f ca="1">IFERROR(__xludf.DUMMYFUNCTION("""COMPUTED_VALUE"""),"AEE")</f>
        <v>AEE</v>
      </c>
      <c r="I5" s="242">
        <f ca="1">IFERROR(__xludf.DUMMYFUNCTION("""COMPUTED_VALUE"""),231)</f>
        <v>231</v>
      </c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21" customHeight="1">
      <c r="A6" s="240" t="str">
        <f ca="1">IFERROR(__xludf.DUMMYFUNCTION("""COMPUTED_VALUE"""),"Araguaina")</f>
        <v>Araguaina</v>
      </c>
      <c r="B6" s="240" t="str">
        <f ca="1">IFERROR(__xludf.DUMMYFUNCTION("""COMPUTED_VALUE"""),"Ananas")</f>
        <v>Ananas</v>
      </c>
      <c r="C6" s="240" t="str">
        <f ca="1">IFERROR(__xludf.DUMMYFUNCTION("""COMPUTED_VALUE"""),"ASS. APOIO COL. EST. GETULIO VARGAS")</f>
        <v>ASS. APOIO COL. EST. GETULIO VARGAS</v>
      </c>
      <c r="D6" s="241" t="str">
        <f ca="1">IFERROR(__xludf.DUMMYFUNCTION("""COMPUTED_VALUE"""),"01296368000101")</f>
        <v>01296368000101</v>
      </c>
      <c r="E6" s="241" t="str">
        <f ca="1">IFERROR(__xludf.DUMMYFUNCTION("""COMPUTED_VALUE"""),"001")</f>
        <v>001</v>
      </c>
      <c r="F6" s="241" t="str">
        <f ca="1">IFERROR(__xludf.DUMMYFUNCTION("""COMPUTED_VALUE"""),"3973")</f>
        <v>3973</v>
      </c>
      <c r="G6" s="240" t="str">
        <f ca="1">IFERROR(__xludf.DUMMYFUNCTION("""COMPUTED_VALUE"""),"55778")</f>
        <v>55778</v>
      </c>
      <c r="H6" s="240" t="str">
        <f ca="1">IFERROR(__xludf.DUMMYFUNCTION("""COMPUTED_VALUE"""),"E.F. PARCIAL")</f>
        <v>E.F. PARCIAL</v>
      </c>
      <c r="I6" s="242">
        <f ca="1">IFERROR(__xludf.DUMMYFUNCTION("""COMPUTED_VALUE"""),7077)</f>
        <v>7077</v>
      </c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1" customHeight="1">
      <c r="A7" s="240" t="str">
        <f ca="1">IFERROR(__xludf.DUMMYFUNCTION("""COMPUTED_VALUE"""),"Araguaina")</f>
        <v>Araguaina</v>
      </c>
      <c r="B7" s="240" t="str">
        <f ca="1">IFERROR(__xludf.DUMMYFUNCTION("""COMPUTED_VALUE"""),"Ananas")</f>
        <v>Ananas</v>
      </c>
      <c r="C7" s="240" t="str">
        <f ca="1">IFERROR(__xludf.DUMMYFUNCTION("""COMPUTED_VALUE"""),"ASS. APOIO COL. EST. GETULIO VARGAS")</f>
        <v>ASS. APOIO COL. EST. GETULIO VARGAS</v>
      </c>
      <c r="D7" s="241" t="str">
        <f ca="1">IFERROR(__xludf.DUMMYFUNCTION("""COMPUTED_VALUE"""),"01296368000101")</f>
        <v>01296368000101</v>
      </c>
      <c r="E7" s="241" t="str">
        <f ca="1">IFERROR(__xludf.DUMMYFUNCTION("""COMPUTED_VALUE"""),"001")</f>
        <v>001</v>
      </c>
      <c r="F7" s="241" t="str">
        <f ca="1">IFERROR(__xludf.DUMMYFUNCTION("""COMPUTED_VALUE"""),"3973")</f>
        <v>3973</v>
      </c>
      <c r="G7" s="240" t="str">
        <f ca="1">IFERROR(__xludf.DUMMYFUNCTION("""COMPUTED_VALUE"""),"55778")</f>
        <v>55778</v>
      </c>
      <c r="H7" s="240" t="str">
        <f ca="1">IFERROR(__xludf.DUMMYFUNCTION("""COMPUTED_VALUE"""),"AEE")</f>
        <v>AEE</v>
      </c>
      <c r="I7" s="242">
        <f ca="1">IFERROR(__xludf.DUMMYFUNCTION("""COMPUTED_VALUE"""),294)</f>
        <v>294</v>
      </c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21" customHeight="1">
      <c r="A8" s="240" t="str">
        <f ca="1">IFERROR(__xludf.DUMMYFUNCTION("""COMPUTED_VALUE"""),"Araguaina")</f>
        <v>Araguaina</v>
      </c>
      <c r="B8" s="240" t="str">
        <f ca="1">IFERROR(__xludf.DUMMYFUNCTION("""COMPUTED_VALUE"""),"Ananas")</f>
        <v>Ananas</v>
      </c>
      <c r="C8" s="240" t="str">
        <f ca="1">IFERROR(__xludf.DUMMYFUNCTION("""COMPUTED_VALUE"""),"ASS. APOIO COL. EST. GETULIO VARGAS")</f>
        <v>ASS. APOIO COL. EST. GETULIO VARGAS</v>
      </c>
      <c r="D8" s="241" t="str">
        <f ca="1">IFERROR(__xludf.DUMMYFUNCTION("""COMPUTED_VALUE"""),"01296368000101")</f>
        <v>01296368000101</v>
      </c>
      <c r="E8" s="241" t="str">
        <f ca="1">IFERROR(__xludf.DUMMYFUNCTION("""COMPUTED_VALUE"""),"001")</f>
        <v>001</v>
      </c>
      <c r="F8" s="241" t="str">
        <f ca="1">IFERROR(__xludf.DUMMYFUNCTION("""COMPUTED_VALUE"""),"3973")</f>
        <v>3973</v>
      </c>
      <c r="G8" s="240" t="str">
        <f ca="1">IFERROR(__xludf.DUMMYFUNCTION("""COMPUTED_VALUE"""),"55778")</f>
        <v>55778</v>
      </c>
      <c r="H8" s="240" t="str">
        <f ca="1">IFERROR(__xludf.DUMMYFUNCTION("""COMPUTED_VALUE"""),"EJA")</f>
        <v>EJA</v>
      </c>
      <c r="I8" s="242">
        <f ca="1">IFERROR(__xludf.DUMMYFUNCTION("""COMPUTED_VALUE"""),525)</f>
        <v>525</v>
      </c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1" customHeight="1">
      <c r="A9" s="240" t="str">
        <f ca="1">IFERROR(__xludf.DUMMYFUNCTION("""COMPUTED_VALUE"""),"Araguaina")</f>
        <v>Araguaina</v>
      </c>
      <c r="B9" s="240" t="str">
        <f ca="1">IFERROR(__xludf.DUMMYFUNCTION("""COMPUTED_VALUE"""),"Ananas")</f>
        <v>Ananas</v>
      </c>
      <c r="C9" s="240" t="str">
        <f ca="1">IFERROR(__xludf.DUMMYFUNCTION("""COMPUTED_VALUE"""),"A.A. DA ESC.PAR.SAO PEDRO/CONVENIADA")</f>
        <v>A.A. DA ESC.PAR.SAO PEDRO/CONVENIADA</v>
      </c>
      <c r="D9" s="241" t="str">
        <f ca="1">IFERROR(__xludf.DUMMYFUNCTION("""COMPUTED_VALUE"""),"01911081000144")</f>
        <v>01911081000144</v>
      </c>
      <c r="E9" s="241" t="str">
        <f ca="1">IFERROR(__xludf.DUMMYFUNCTION("""COMPUTED_VALUE"""),"001")</f>
        <v>001</v>
      </c>
      <c r="F9" s="241" t="str">
        <f ca="1">IFERROR(__xludf.DUMMYFUNCTION("""COMPUTED_VALUE"""),"3973")</f>
        <v>3973</v>
      </c>
      <c r="G9" s="240" t="str">
        <f ca="1">IFERROR(__xludf.DUMMYFUNCTION("""COMPUTED_VALUE"""),"67350")</f>
        <v>67350</v>
      </c>
      <c r="H9" s="240" t="str">
        <f ca="1">IFERROR(__xludf.DUMMYFUNCTION("""COMPUTED_VALUE"""),"E.F. PARCIAL")</f>
        <v>E.F. PARCIAL</v>
      </c>
      <c r="I9" s="242">
        <f ca="1">IFERROR(__xludf.DUMMYFUNCTION("""COMPUTED_VALUE"""),7035)</f>
        <v>7035</v>
      </c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</row>
    <row r="10" spans="1:26" ht="21" customHeight="1">
      <c r="A10" s="240" t="str">
        <f ca="1">IFERROR(__xludf.DUMMYFUNCTION("""COMPUTED_VALUE"""),"Araguaina")</f>
        <v>Araguaina</v>
      </c>
      <c r="B10" s="240" t="str">
        <f ca="1">IFERROR(__xludf.DUMMYFUNCTION("""COMPUTED_VALUE"""),"Ananas")</f>
        <v>Ananas</v>
      </c>
      <c r="C10" s="240" t="str">
        <f ca="1">IFERROR(__xludf.DUMMYFUNCTION("""COMPUTED_VALUE"""),"A.A. DA ESC.PAR.SAO PEDRO/CONVENIADA")</f>
        <v>A.A. DA ESC.PAR.SAO PEDRO/CONVENIADA</v>
      </c>
      <c r="D10" s="241" t="str">
        <f ca="1">IFERROR(__xludf.DUMMYFUNCTION("""COMPUTED_VALUE"""),"01911081000144")</f>
        <v>01911081000144</v>
      </c>
      <c r="E10" s="241" t="str">
        <f ca="1">IFERROR(__xludf.DUMMYFUNCTION("""COMPUTED_VALUE"""),"001")</f>
        <v>001</v>
      </c>
      <c r="F10" s="241" t="str">
        <f ca="1">IFERROR(__xludf.DUMMYFUNCTION("""COMPUTED_VALUE"""),"3973")</f>
        <v>3973</v>
      </c>
      <c r="G10" s="240" t="str">
        <f ca="1">IFERROR(__xludf.DUMMYFUNCTION("""COMPUTED_VALUE"""),"67350")</f>
        <v>67350</v>
      </c>
      <c r="H10" s="240" t="str">
        <f ca="1">IFERROR(__xludf.DUMMYFUNCTION("""COMPUTED_VALUE"""),"AEE")</f>
        <v>AEE</v>
      </c>
      <c r="I10" s="242">
        <f ca="1">IFERROR(__xludf.DUMMYFUNCTION("""COMPUTED_VALUE"""),420)</f>
        <v>420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</row>
    <row r="11" spans="1:26" ht="21" customHeight="1">
      <c r="A11" s="240" t="str">
        <f ca="1">IFERROR(__xludf.DUMMYFUNCTION("""COMPUTED_VALUE"""),"Araguaina")</f>
        <v>Araguaina</v>
      </c>
      <c r="B11" s="240" t="str">
        <f ca="1">IFERROR(__xludf.DUMMYFUNCTION("""COMPUTED_VALUE"""),"Ananas")</f>
        <v>Ananas</v>
      </c>
      <c r="C11" s="240" t="str">
        <f ca="1">IFERROR(__xludf.DUMMYFUNCTION("""COMPUTED_VALUE"""),"A.A. ESC. EST. PRES. COSTA E SILVA")</f>
        <v>A.A. ESC. EST. PRES. COSTA E SILVA</v>
      </c>
      <c r="D11" s="241" t="str">
        <f ca="1">IFERROR(__xludf.DUMMYFUNCTION("""COMPUTED_VALUE"""),"02026325000179")</f>
        <v>02026325000179</v>
      </c>
      <c r="E11" s="241" t="str">
        <f ca="1">IFERROR(__xludf.DUMMYFUNCTION("""COMPUTED_VALUE"""),"001")</f>
        <v>001</v>
      </c>
      <c r="F11" s="241" t="str">
        <f ca="1">IFERROR(__xludf.DUMMYFUNCTION("""COMPUTED_VALUE"""),"3973")</f>
        <v>3973</v>
      </c>
      <c r="G11" s="240" t="str">
        <f ca="1">IFERROR(__xludf.DUMMYFUNCTION("""COMPUTED_VALUE"""),"55786")</f>
        <v>55786</v>
      </c>
      <c r="H11" s="240" t="str">
        <f ca="1">IFERROR(__xludf.DUMMYFUNCTION("""COMPUTED_VALUE"""),"E.F. PARCIAL")</f>
        <v>E.F. PARCIAL</v>
      </c>
      <c r="I11" s="242">
        <f ca="1">IFERROR(__xludf.DUMMYFUNCTION("""COMPUTED_VALUE"""),1071)</f>
        <v>1071</v>
      </c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</row>
    <row r="12" spans="1:26" ht="21" customHeight="1">
      <c r="A12" s="240" t="str">
        <f ca="1">IFERROR(__xludf.DUMMYFUNCTION("""COMPUTED_VALUE"""),"Araguaina")</f>
        <v>Araguaina</v>
      </c>
      <c r="B12" s="240" t="str">
        <f ca="1">IFERROR(__xludf.DUMMYFUNCTION("""COMPUTED_VALUE"""),"Ananas")</f>
        <v>Ananas</v>
      </c>
      <c r="C12" s="240" t="str">
        <f ca="1">IFERROR(__xludf.DUMMYFUNCTION("""COMPUTED_VALUE"""),"A.A. ESC. EST. PRES. COSTA E SILVA")</f>
        <v>A.A. ESC. EST. PRES. COSTA E SILVA</v>
      </c>
      <c r="D12" s="241" t="str">
        <f ca="1">IFERROR(__xludf.DUMMYFUNCTION("""COMPUTED_VALUE"""),"02026325000179")</f>
        <v>02026325000179</v>
      </c>
      <c r="E12" s="241" t="str">
        <f ca="1">IFERROR(__xludf.DUMMYFUNCTION("""COMPUTED_VALUE"""),"001")</f>
        <v>001</v>
      </c>
      <c r="F12" s="241" t="str">
        <f ca="1">IFERROR(__xludf.DUMMYFUNCTION("""COMPUTED_VALUE"""),"3973")</f>
        <v>3973</v>
      </c>
      <c r="G12" s="240" t="str">
        <f ca="1">IFERROR(__xludf.DUMMYFUNCTION("""COMPUTED_VALUE"""),"55786")</f>
        <v>55786</v>
      </c>
      <c r="H12" s="240" t="str">
        <f ca="1">IFERROR(__xludf.DUMMYFUNCTION("""COMPUTED_VALUE"""),"ENS MEDIO PARCIAL")</f>
        <v>ENS MEDIO PARCIAL</v>
      </c>
      <c r="I12" s="242">
        <f ca="1">IFERROR(__xludf.DUMMYFUNCTION("""COMPUTED_VALUE"""),735)</f>
        <v>735</v>
      </c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</row>
    <row r="13" spans="1:26" ht="21" customHeight="1">
      <c r="A13" s="240" t="str">
        <f ca="1">IFERROR(__xludf.DUMMYFUNCTION("""COMPUTED_VALUE"""),"Araguaina")</f>
        <v>Araguaina</v>
      </c>
      <c r="B13" s="240" t="str">
        <f ca="1">IFERROR(__xludf.DUMMYFUNCTION("""COMPUTED_VALUE"""),"Aragominas")</f>
        <v>Aragominas</v>
      </c>
      <c r="C13" s="240" t="str">
        <f ca="1">IFERROR(__xludf.DUMMYFUNCTION("""COMPUTED_VALUE"""),"ASSOCIAÇÃO DE APOIO DO COL. EST.GETULIO VARGAS")</f>
        <v>ASSOCIAÇÃO DE APOIO DO COL. EST.GETULIO VARGAS</v>
      </c>
      <c r="D13" s="241" t="str">
        <f ca="1">IFERROR(__xludf.DUMMYFUNCTION("""COMPUTED_VALUE"""),"01918914000107")</f>
        <v>01918914000107</v>
      </c>
      <c r="E13" s="241" t="str">
        <f ca="1">IFERROR(__xludf.DUMMYFUNCTION("""COMPUTED_VALUE"""),"001")</f>
        <v>001</v>
      </c>
      <c r="F13" s="241" t="str">
        <f ca="1">IFERROR(__xludf.DUMMYFUNCTION("""COMPUTED_VALUE"""),"0638")</f>
        <v>0638</v>
      </c>
      <c r="G13" s="240" t="str">
        <f ca="1">IFERROR(__xludf.DUMMYFUNCTION("""COMPUTED_VALUE"""),"83224")</f>
        <v>83224</v>
      </c>
      <c r="H13" s="240" t="str">
        <f ca="1">IFERROR(__xludf.DUMMYFUNCTION("""COMPUTED_VALUE"""),"E.F. PARCIAL")</f>
        <v>E.F. PARCIAL</v>
      </c>
      <c r="I13" s="242">
        <f ca="1">IFERROR(__xludf.DUMMYFUNCTION("""COMPUTED_VALUE"""),3276)</f>
        <v>3276</v>
      </c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</row>
    <row r="14" spans="1:26" ht="21" customHeight="1">
      <c r="A14" s="240" t="str">
        <f ca="1">IFERROR(__xludf.DUMMYFUNCTION("""COMPUTED_VALUE"""),"Araguaina")</f>
        <v>Araguaina</v>
      </c>
      <c r="B14" s="240" t="str">
        <f ca="1">IFERROR(__xludf.DUMMYFUNCTION("""COMPUTED_VALUE"""),"Aragominas")</f>
        <v>Aragominas</v>
      </c>
      <c r="C14" s="240" t="str">
        <f ca="1">IFERROR(__xludf.DUMMYFUNCTION("""COMPUTED_VALUE"""),"ASSOCIAÇÃO DE APOIO DO COL. EST.GETULIO VARGAS")</f>
        <v>ASSOCIAÇÃO DE APOIO DO COL. EST.GETULIO VARGAS</v>
      </c>
      <c r="D14" s="241" t="str">
        <f ca="1">IFERROR(__xludf.DUMMYFUNCTION("""COMPUTED_VALUE"""),"01918914000107")</f>
        <v>01918914000107</v>
      </c>
      <c r="E14" s="241" t="str">
        <f ca="1">IFERROR(__xludf.DUMMYFUNCTION("""COMPUTED_VALUE"""),"001")</f>
        <v>001</v>
      </c>
      <c r="F14" s="241" t="str">
        <f ca="1">IFERROR(__xludf.DUMMYFUNCTION("""COMPUTED_VALUE"""),"0638")</f>
        <v>0638</v>
      </c>
      <c r="G14" s="240" t="str">
        <f ca="1">IFERROR(__xludf.DUMMYFUNCTION("""COMPUTED_VALUE"""),"83224")</f>
        <v>83224</v>
      </c>
      <c r="H14" s="240" t="str">
        <f ca="1">IFERROR(__xludf.DUMMYFUNCTION("""COMPUTED_VALUE"""),"AEE")</f>
        <v>AEE</v>
      </c>
      <c r="I14" s="242">
        <f ca="1">IFERROR(__xludf.DUMMYFUNCTION("""COMPUTED_VALUE"""),231)</f>
        <v>231</v>
      </c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</row>
    <row r="15" spans="1:26" ht="21" customHeight="1">
      <c r="A15" s="240" t="str">
        <f ca="1">IFERROR(__xludf.DUMMYFUNCTION("""COMPUTED_VALUE"""),"Araguaina")</f>
        <v>Araguaina</v>
      </c>
      <c r="B15" s="240" t="str">
        <f ca="1">IFERROR(__xludf.DUMMYFUNCTION("""COMPUTED_VALUE"""),"Aragominas")</f>
        <v>Aragominas</v>
      </c>
      <c r="C15" s="240" t="str">
        <f ca="1">IFERROR(__xludf.DUMMYFUNCTION("""COMPUTED_VALUE"""),"ASSOCIAÇÃO DE APOIO DO COL. EST.GETULIO VARGAS")</f>
        <v>ASSOCIAÇÃO DE APOIO DO COL. EST.GETULIO VARGAS</v>
      </c>
      <c r="D15" s="241" t="str">
        <f ca="1">IFERROR(__xludf.DUMMYFUNCTION("""COMPUTED_VALUE"""),"01918914000107")</f>
        <v>01918914000107</v>
      </c>
      <c r="E15" s="241" t="str">
        <f ca="1">IFERROR(__xludf.DUMMYFUNCTION("""COMPUTED_VALUE"""),"001")</f>
        <v>001</v>
      </c>
      <c r="F15" s="241" t="str">
        <f ca="1">IFERROR(__xludf.DUMMYFUNCTION("""COMPUTED_VALUE"""),"0638")</f>
        <v>0638</v>
      </c>
      <c r="G15" s="240" t="str">
        <f ca="1">IFERROR(__xludf.DUMMYFUNCTION("""COMPUTED_VALUE"""),"83224")</f>
        <v>83224</v>
      </c>
      <c r="H15" s="240" t="str">
        <f ca="1">IFERROR(__xludf.DUMMYFUNCTION("""COMPUTED_VALUE"""),"ENS MEDIO PARCIAL")</f>
        <v>ENS MEDIO PARCIAL</v>
      </c>
      <c r="I15" s="242">
        <f ca="1">IFERROR(__xludf.DUMMYFUNCTION("""COMPUTED_VALUE"""),2310)</f>
        <v>2310</v>
      </c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</row>
    <row r="16" spans="1:26" ht="21" customHeight="1">
      <c r="A16" s="240" t="str">
        <f ca="1">IFERROR(__xludf.DUMMYFUNCTION("""COMPUTED_VALUE"""),"Araguaina")</f>
        <v>Araguaina</v>
      </c>
      <c r="B16" s="240" t="str">
        <f ca="1">IFERROR(__xludf.DUMMYFUNCTION("""COMPUTED_VALUE"""),"Araguaina")</f>
        <v>Araguaina</v>
      </c>
      <c r="C16" s="240" t="str">
        <f ca="1">IFERROR(__xludf.DUMMYFUNCTION("""COMPUTED_VALUE"""),"ASSOC. DE PAIS, ALUNOS E MESTRES COL. EST. POLIVALENTE CASTELO BRANCO")</f>
        <v>ASSOC. DE PAIS, ALUNOS E MESTRES COL. EST. POLIVALENTE CASTELO BRANCO</v>
      </c>
      <c r="D16" s="241" t="str">
        <f ca="1">IFERROR(__xludf.DUMMYFUNCTION("""COMPUTED_VALUE"""),"00918900000112")</f>
        <v>00918900000112</v>
      </c>
      <c r="E16" s="241" t="str">
        <f ca="1">IFERROR(__xludf.DUMMYFUNCTION("""COMPUTED_VALUE"""),"001")</f>
        <v>001</v>
      </c>
      <c r="F16" s="241" t="str">
        <f ca="1">IFERROR(__xludf.DUMMYFUNCTION("""COMPUTED_VALUE"""),"0638")</f>
        <v>0638</v>
      </c>
      <c r="G16" s="240" t="str">
        <f ca="1">IFERROR(__xludf.DUMMYFUNCTION("""COMPUTED_VALUE"""),"12599")</f>
        <v>12599</v>
      </c>
      <c r="H16" s="240" t="str">
        <f ca="1">IFERROR(__xludf.DUMMYFUNCTION("""COMPUTED_VALUE"""),"AEE")</f>
        <v>AEE</v>
      </c>
      <c r="I16" s="242">
        <f ca="1">IFERROR(__xludf.DUMMYFUNCTION("""COMPUTED_VALUE"""),273)</f>
        <v>273</v>
      </c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</row>
    <row r="17" spans="1:26" ht="21" customHeight="1">
      <c r="A17" s="240" t="str">
        <f ca="1">IFERROR(__xludf.DUMMYFUNCTION("""COMPUTED_VALUE"""),"Araguaina")</f>
        <v>Araguaina</v>
      </c>
      <c r="B17" s="240" t="str">
        <f ca="1">IFERROR(__xludf.DUMMYFUNCTION("""COMPUTED_VALUE"""),"Araguaina")</f>
        <v>Araguaina</v>
      </c>
      <c r="C17" s="240" t="str">
        <f ca="1">IFERROR(__xludf.DUMMYFUNCTION("""COMPUTED_VALUE"""),"A.A.  ESCOLA ESPIRITA ANDRE LUIZ")</f>
        <v>A.A.  ESCOLA ESPIRITA ANDRE LUIZ</v>
      </c>
      <c r="D17" s="241" t="str">
        <f ca="1">IFERROR(__xludf.DUMMYFUNCTION("""COMPUTED_VALUE"""),"01066416000175")</f>
        <v>01066416000175</v>
      </c>
      <c r="E17" s="241" t="str">
        <f ca="1">IFERROR(__xludf.DUMMYFUNCTION("""COMPUTED_VALUE"""),"001")</f>
        <v>001</v>
      </c>
      <c r="F17" s="241" t="str">
        <f ca="1">IFERROR(__xludf.DUMMYFUNCTION("""COMPUTED_VALUE"""),"0638")</f>
        <v>0638</v>
      </c>
      <c r="G17" s="240" t="str">
        <f ca="1">IFERROR(__xludf.DUMMYFUNCTION("""COMPUTED_VALUE"""),"463582")</f>
        <v>463582</v>
      </c>
      <c r="H17" s="240" t="str">
        <f ca="1">IFERROR(__xludf.DUMMYFUNCTION("""COMPUTED_VALUE"""),"AEE")</f>
        <v>AEE</v>
      </c>
      <c r="I17" s="242">
        <f ca="1">IFERROR(__xludf.DUMMYFUNCTION("""COMPUTED_VALUE"""),378)</f>
        <v>378</v>
      </c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</row>
    <row r="18" spans="1:26" ht="21" customHeight="1">
      <c r="A18" s="240" t="str">
        <f ca="1">IFERROR(__xludf.DUMMYFUNCTION("""COMPUTED_VALUE"""),"Araguaina")</f>
        <v>Araguaina</v>
      </c>
      <c r="B18" s="240" t="str">
        <f ca="1">IFERROR(__xludf.DUMMYFUNCTION("""COMPUTED_VALUE"""),"Araguaina")</f>
        <v>Araguaina</v>
      </c>
      <c r="C18" s="240" t="str">
        <f ca="1">IFERROR(__xludf.DUMMYFUNCTION("""COMPUTED_VALUE"""),"A.A. ESCOLA ESTADUAL MAL. RONDON")</f>
        <v>A.A. ESCOLA ESTADUAL MAL. RONDON</v>
      </c>
      <c r="D18" s="241" t="str">
        <f ca="1">IFERROR(__xludf.DUMMYFUNCTION("""COMPUTED_VALUE"""),"01068349000128")</f>
        <v>01068349000128</v>
      </c>
      <c r="E18" s="241" t="str">
        <f ca="1">IFERROR(__xludf.DUMMYFUNCTION("""COMPUTED_VALUE"""),"001")</f>
        <v>001</v>
      </c>
      <c r="F18" s="241" t="str">
        <f ca="1">IFERROR(__xludf.DUMMYFUNCTION("""COMPUTED_VALUE"""),"0638")</f>
        <v>0638</v>
      </c>
      <c r="G18" s="240" t="str">
        <f ca="1">IFERROR(__xludf.DUMMYFUNCTION("""COMPUTED_VALUE"""),"046368X")</f>
        <v>046368X</v>
      </c>
      <c r="H18" s="240" t="str">
        <f ca="1">IFERROR(__xludf.DUMMYFUNCTION("""COMPUTED_VALUE"""),"E.F. PARCIAL")</f>
        <v>E.F. PARCIAL</v>
      </c>
      <c r="I18" s="242">
        <f ca="1">IFERROR(__xludf.DUMMYFUNCTION("""COMPUTED_VALUE"""),10521)</f>
        <v>10521</v>
      </c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</row>
    <row r="19" spans="1:26" ht="21" customHeight="1">
      <c r="A19" s="240" t="str">
        <f ca="1">IFERROR(__xludf.DUMMYFUNCTION("""COMPUTED_VALUE"""),"Araguaina")</f>
        <v>Araguaina</v>
      </c>
      <c r="B19" s="240" t="str">
        <f ca="1">IFERROR(__xludf.DUMMYFUNCTION("""COMPUTED_VALUE"""),"Araguaina")</f>
        <v>Araguaina</v>
      </c>
      <c r="C19" s="240" t="str">
        <f ca="1">IFERROR(__xludf.DUMMYFUNCTION("""COMPUTED_VALUE"""),"A.A. ESCOLA ESTADUAL MAL. RONDON")</f>
        <v>A.A. ESCOLA ESTADUAL MAL. RONDON</v>
      </c>
      <c r="D19" s="241" t="str">
        <f ca="1">IFERROR(__xludf.DUMMYFUNCTION("""COMPUTED_VALUE"""),"01068349000128")</f>
        <v>01068349000128</v>
      </c>
      <c r="E19" s="241" t="str">
        <f ca="1">IFERROR(__xludf.DUMMYFUNCTION("""COMPUTED_VALUE"""),"001")</f>
        <v>001</v>
      </c>
      <c r="F19" s="241" t="str">
        <f ca="1">IFERROR(__xludf.DUMMYFUNCTION("""COMPUTED_VALUE"""),"0638")</f>
        <v>0638</v>
      </c>
      <c r="G19" s="240" t="str">
        <f ca="1">IFERROR(__xludf.DUMMYFUNCTION("""COMPUTED_VALUE"""),"046368X")</f>
        <v>046368X</v>
      </c>
      <c r="H19" s="240" t="str">
        <f ca="1">IFERROR(__xludf.DUMMYFUNCTION("""COMPUTED_VALUE"""),"AEE")</f>
        <v>AEE</v>
      </c>
      <c r="I19" s="242">
        <f ca="1">IFERROR(__xludf.DUMMYFUNCTION("""COMPUTED_VALUE"""),336)</f>
        <v>336</v>
      </c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</row>
    <row r="20" spans="1:26" ht="21" customHeight="1">
      <c r="A20" s="240" t="str">
        <f ca="1">IFERROR(__xludf.DUMMYFUNCTION("""COMPUTED_VALUE"""),"Araguaina")</f>
        <v>Araguaina</v>
      </c>
      <c r="B20" s="240" t="str">
        <f ca="1">IFERROR(__xludf.DUMMYFUNCTION("""COMPUTED_VALUE"""),"Araguaina")</f>
        <v>Araguaina</v>
      </c>
      <c r="C20" s="240" t="str">
        <f ca="1">IFERROR(__xludf.DUMMYFUNCTION("""COMPUTED_VALUE"""),"A.A. ESCOLA ESTADUAL MAL. RONDON")</f>
        <v>A.A. ESCOLA ESTADUAL MAL. RONDON</v>
      </c>
      <c r="D20" s="241" t="str">
        <f ca="1">IFERROR(__xludf.DUMMYFUNCTION("""COMPUTED_VALUE"""),"01068349000128")</f>
        <v>01068349000128</v>
      </c>
      <c r="E20" s="241" t="str">
        <f ca="1">IFERROR(__xludf.DUMMYFUNCTION("""COMPUTED_VALUE"""),"001")</f>
        <v>001</v>
      </c>
      <c r="F20" s="241" t="str">
        <f ca="1">IFERROR(__xludf.DUMMYFUNCTION("""COMPUTED_VALUE"""),"0638")</f>
        <v>0638</v>
      </c>
      <c r="G20" s="240" t="str">
        <f ca="1">IFERROR(__xludf.DUMMYFUNCTION("""COMPUTED_VALUE"""),"046368X")</f>
        <v>046368X</v>
      </c>
      <c r="H20" s="240" t="str">
        <f ca="1">IFERROR(__xludf.DUMMYFUNCTION("""COMPUTED_VALUE"""),"EJA")</f>
        <v>EJA</v>
      </c>
      <c r="I20" s="242">
        <f ca="1">IFERROR(__xludf.DUMMYFUNCTION("""COMPUTED_VALUE"""),3738)</f>
        <v>3738</v>
      </c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spans="1:26" ht="21" customHeight="1">
      <c r="A21" s="240" t="str">
        <f ca="1">IFERROR(__xludf.DUMMYFUNCTION("""COMPUTED_VALUE"""),"Araguaina")</f>
        <v>Araguaina</v>
      </c>
      <c r="B21" s="240" t="str">
        <f ca="1">IFERROR(__xludf.DUMMYFUNCTION("""COMPUTED_VALUE"""),"Araguaina")</f>
        <v>Araguaina</v>
      </c>
      <c r="C21" s="240" t="str">
        <f ca="1">IFERROR(__xludf.DUMMYFUNCTION("""COMPUTED_VALUE"""),"A.A. DO CAIC JORGE HUMBERTO CAMARGO")</f>
        <v>A.A. DO CAIC JORGE HUMBERTO CAMARGO</v>
      </c>
      <c r="D21" s="241" t="str">
        <f ca="1">IFERROR(__xludf.DUMMYFUNCTION("""COMPUTED_VALUE"""),"01071395000186")</f>
        <v>01071395000186</v>
      </c>
      <c r="E21" s="241" t="str">
        <f ca="1">IFERROR(__xludf.DUMMYFUNCTION("""COMPUTED_VALUE"""),"001")</f>
        <v>001</v>
      </c>
      <c r="F21" s="241" t="str">
        <f ca="1">IFERROR(__xludf.DUMMYFUNCTION("""COMPUTED_VALUE"""),"0638")</f>
        <v>0638</v>
      </c>
      <c r="G21" s="240" t="str">
        <f ca="1">IFERROR(__xludf.DUMMYFUNCTION("""COMPUTED_VALUE"""),"55099X")</f>
        <v>55099X</v>
      </c>
      <c r="H21" s="240" t="str">
        <f ca="1">IFERROR(__xludf.DUMMYFUNCTION("""COMPUTED_VALUE"""),"AEE")</f>
        <v>AEE</v>
      </c>
      <c r="I21" s="242">
        <f ca="1">IFERROR(__xludf.DUMMYFUNCTION("""COMPUTED_VALUE"""),441)</f>
        <v>441</v>
      </c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</row>
    <row r="22" spans="1:26" ht="21" customHeight="1">
      <c r="A22" s="240" t="str">
        <f ca="1">IFERROR(__xludf.DUMMYFUNCTION("""COMPUTED_VALUE"""),"Araguaina")</f>
        <v>Araguaina</v>
      </c>
      <c r="B22" s="240" t="str">
        <f ca="1">IFERROR(__xludf.DUMMYFUNCTION("""COMPUTED_VALUE"""),"Araguaina")</f>
        <v>Araguaina</v>
      </c>
      <c r="C22" s="240" t="str">
        <f ca="1">IFERROR(__xludf.DUMMYFUNCTION("""COMPUTED_VALUE"""),"A.A. ESC. EST. JOAO GUILHERME L. KUNZE")</f>
        <v>A.A. ESC. EST. JOAO GUILHERME L. KUNZE</v>
      </c>
      <c r="D22" s="241" t="str">
        <f ca="1">IFERROR(__xludf.DUMMYFUNCTION("""COMPUTED_VALUE"""),"01071400000150")</f>
        <v>01071400000150</v>
      </c>
      <c r="E22" s="241" t="str">
        <f ca="1">IFERROR(__xludf.DUMMYFUNCTION("""COMPUTED_VALUE"""),"001")</f>
        <v>001</v>
      </c>
      <c r="F22" s="241" t="str">
        <f ca="1">IFERROR(__xludf.DUMMYFUNCTION("""COMPUTED_VALUE"""),"0638")</f>
        <v>0638</v>
      </c>
      <c r="G22" s="240" t="str">
        <f ca="1">IFERROR(__xludf.DUMMYFUNCTION("""COMPUTED_VALUE"""),"0463639")</f>
        <v>0463639</v>
      </c>
      <c r="H22" s="240" t="str">
        <f ca="1">IFERROR(__xludf.DUMMYFUNCTION("""COMPUTED_VALUE"""),"E.F. PARCIAL")</f>
        <v>E.F. PARCIAL</v>
      </c>
      <c r="I22" s="242">
        <f ca="1">IFERROR(__xludf.DUMMYFUNCTION("""COMPUTED_VALUE"""),6321)</f>
        <v>6321</v>
      </c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</row>
    <row r="23" spans="1:26" ht="21" customHeight="1">
      <c r="A23" s="240" t="str">
        <f ca="1">IFERROR(__xludf.DUMMYFUNCTION("""COMPUTED_VALUE"""),"Araguaina")</f>
        <v>Araguaina</v>
      </c>
      <c r="B23" s="240" t="str">
        <f ca="1">IFERROR(__xludf.DUMMYFUNCTION("""COMPUTED_VALUE"""),"Araguaina")</f>
        <v>Araguaina</v>
      </c>
      <c r="C23" s="240" t="str">
        <f ca="1">IFERROR(__xludf.DUMMYFUNCTION("""COMPUTED_VALUE"""),"A.A. ESC. EST. JOAO GUILHERME L. KUNZE")</f>
        <v>A.A. ESC. EST. JOAO GUILHERME L. KUNZE</v>
      </c>
      <c r="D23" s="241" t="str">
        <f ca="1">IFERROR(__xludf.DUMMYFUNCTION("""COMPUTED_VALUE"""),"01071400000150")</f>
        <v>01071400000150</v>
      </c>
      <c r="E23" s="241" t="str">
        <f ca="1">IFERROR(__xludf.DUMMYFUNCTION("""COMPUTED_VALUE"""),"001")</f>
        <v>001</v>
      </c>
      <c r="F23" s="241" t="str">
        <f ca="1">IFERROR(__xludf.DUMMYFUNCTION("""COMPUTED_VALUE"""),"0638")</f>
        <v>0638</v>
      </c>
      <c r="G23" s="240" t="str">
        <f ca="1">IFERROR(__xludf.DUMMYFUNCTION("""COMPUTED_VALUE"""),"0463639")</f>
        <v>0463639</v>
      </c>
      <c r="H23" s="240" t="str">
        <f ca="1">IFERROR(__xludf.DUMMYFUNCTION("""COMPUTED_VALUE"""),"AEE")</f>
        <v>AEE</v>
      </c>
      <c r="I23" s="242">
        <f ca="1">IFERROR(__xludf.DUMMYFUNCTION("""COMPUTED_VALUE"""),252)</f>
        <v>252</v>
      </c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spans="1:26" ht="21" customHeight="1">
      <c r="A24" s="240" t="str">
        <f ca="1">IFERROR(__xludf.DUMMYFUNCTION("""COMPUTED_VALUE"""),"Araguaina")</f>
        <v>Araguaina</v>
      </c>
      <c r="B24" s="240" t="str">
        <f ca="1">IFERROR(__xludf.DUMMYFUNCTION("""COMPUTED_VALUE"""),"Araguaina")</f>
        <v>Araguaina</v>
      </c>
      <c r="C24" s="240" t="str">
        <f ca="1">IFERROR(__xludf.DUMMYFUNCTION("""COMPUTED_VALUE"""),"A.A. C.E.  PROF. SILVANDIRA SOUSA LIMA")</f>
        <v>A.A. C.E.  PROF. SILVANDIRA SOUSA LIMA</v>
      </c>
      <c r="D24" s="241" t="str">
        <f ca="1">IFERROR(__xludf.DUMMYFUNCTION("""COMPUTED_VALUE"""),"01071403000194")</f>
        <v>01071403000194</v>
      </c>
      <c r="E24" s="241" t="str">
        <f ca="1">IFERROR(__xludf.DUMMYFUNCTION("""COMPUTED_VALUE"""),"001")</f>
        <v>001</v>
      </c>
      <c r="F24" s="241" t="str">
        <f ca="1">IFERROR(__xludf.DUMMYFUNCTION("""COMPUTED_VALUE"""),"0638")</f>
        <v>0638</v>
      </c>
      <c r="G24" s="240" t="str">
        <f ca="1">IFERROR(__xludf.DUMMYFUNCTION("""COMPUTED_VALUE"""),"0463922")</f>
        <v>0463922</v>
      </c>
      <c r="H24" s="240" t="str">
        <f ca="1">IFERROR(__xludf.DUMMYFUNCTION("""COMPUTED_VALUE"""),"E.F. PARCIAL")</f>
        <v>E.F. PARCIAL</v>
      </c>
      <c r="I24" s="242">
        <f ca="1">IFERROR(__xludf.DUMMYFUNCTION("""COMPUTED_VALUE"""),5880)</f>
        <v>5880</v>
      </c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</row>
    <row r="25" spans="1:26" ht="21" customHeight="1">
      <c r="A25" s="240" t="str">
        <f ca="1">IFERROR(__xludf.DUMMYFUNCTION("""COMPUTED_VALUE"""),"Araguaina")</f>
        <v>Araguaina</v>
      </c>
      <c r="B25" s="240" t="str">
        <f ca="1">IFERROR(__xludf.DUMMYFUNCTION("""COMPUTED_VALUE"""),"Araguaina")</f>
        <v>Araguaina</v>
      </c>
      <c r="C25" s="240" t="str">
        <f ca="1">IFERROR(__xludf.DUMMYFUNCTION("""COMPUTED_VALUE"""),"A.A. C.E.  PROF. SILVANDIRA SOUSA LIMA")</f>
        <v>A.A. C.E.  PROF. SILVANDIRA SOUSA LIMA</v>
      </c>
      <c r="D25" s="241" t="str">
        <f ca="1">IFERROR(__xludf.DUMMYFUNCTION("""COMPUTED_VALUE"""),"01071403000194")</f>
        <v>01071403000194</v>
      </c>
      <c r="E25" s="241" t="str">
        <f ca="1">IFERROR(__xludf.DUMMYFUNCTION("""COMPUTED_VALUE"""),"001")</f>
        <v>001</v>
      </c>
      <c r="F25" s="241" t="str">
        <f ca="1">IFERROR(__xludf.DUMMYFUNCTION("""COMPUTED_VALUE"""),"0638")</f>
        <v>0638</v>
      </c>
      <c r="G25" s="240" t="str">
        <f ca="1">IFERROR(__xludf.DUMMYFUNCTION("""COMPUTED_VALUE"""),"0463922")</f>
        <v>0463922</v>
      </c>
      <c r="H25" s="240" t="str">
        <f ca="1">IFERROR(__xludf.DUMMYFUNCTION("""COMPUTED_VALUE"""),"AEE")</f>
        <v>AEE</v>
      </c>
      <c r="I25" s="242">
        <f ca="1">IFERROR(__xludf.DUMMYFUNCTION("""COMPUTED_VALUE"""),105)</f>
        <v>105</v>
      </c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</row>
    <row r="26" spans="1:26" ht="21" customHeight="1">
      <c r="A26" s="240" t="str">
        <f ca="1">IFERROR(__xludf.DUMMYFUNCTION("""COMPUTED_VALUE"""),"Araguaina")</f>
        <v>Araguaina</v>
      </c>
      <c r="B26" s="240" t="str">
        <f ca="1">IFERROR(__xludf.DUMMYFUNCTION("""COMPUTED_VALUE"""),"Araguaina")</f>
        <v>Araguaina</v>
      </c>
      <c r="C26" s="240" t="str">
        <f ca="1">IFERROR(__xludf.DUMMYFUNCTION("""COMPUTED_VALUE"""),"A.A. C.E.  PROF. SILVANDIRA SOUSA LIMA")</f>
        <v>A.A. C.E.  PROF. SILVANDIRA SOUSA LIMA</v>
      </c>
      <c r="D26" s="241" t="str">
        <f ca="1">IFERROR(__xludf.DUMMYFUNCTION("""COMPUTED_VALUE"""),"01071403000194")</f>
        <v>01071403000194</v>
      </c>
      <c r="E26" s="241" t="str">
        <f ca="1">IFERROR(__xludf.DUMMYFUNCTION("""COMPUTED_VALUE"""),"001")</f>
        <v>001</v>
      </c>
      <c r="F26" s="241" t="str">
        <f ca="1">IFERROR(__xludf.DUMMYFUNCTION("""COMPUTED_VALUE"""),"0638")</f>
        <v>0638</v>
      </c>
      <c r="G26" s="240" t="str">
        <f ca="1">IFERROR(__xludf.DUMMYFUNCTION("""COMPUTED_VALUE"""),"0463922")</f>
        <v>0463922</v>
      </c>
      <c r="H26" s="240" t="str">
        <f ca="1">IFERROR(__xludf.DUMMYFUNCTION("""COMPUTED_VALUE"""),"ENS MEDIO PARCIAL")</f>
        <v>ENS MEDIO PARCIAL</v>
      </c>
      <c r="I26" s="242">
        <f ca="1">IFERROR(__xludf.DUMMYFUNCTION("""COMPUTED_VALUE"""),9156)</f>
        <v>9156</v>
      </c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spans="1:26" ht="21" customHeight="1">
      <c r="A27" s="240" t="str">
        <f ca="1">IFERROR(__xludf.DUMMYFUNCTION("""COMPUTED_VALUE"""),"Araguaina")</f>
        <v>Araguaina</v>
      </c>
      <c r="B27" s="240" t="str">
        <f ca="1">IFERROR(__xludf.DUMMYFUNCTION("""COMPUTED_VALUE"""),"Araguaina")</f>
        <v>Araguaina</v>
      </c>
      <c r="C27" s="240" t="str">
        <f ca="1">IFERROR(__xludf.DUMMYFUNCTION("""COMPUTED_VALUE"""),"A.A. ESCOLA ESTADUAL VILA NOVA")</f>
        <v>A.A. ESCOLA ESTADUAL VILA NOVA</v>
      </c>
      <c r="D27" s="241" t="str">
        <f ca="1">IFERROR(__xludf.DUMMYFUNCTION("""COMPUTED_VALUE"""),"01071404000139")</f>
        <v>01071404000139</v>
      </c>
      <c r="E27" s="241" t="str">
        <f ca="1">IFERROR(__xludf.DUMMYFUNCTION("""COMPUTED_VALUE"""),"001")</f>
        <v>001</v>
      </c>
      <c r="F27" s="241" t="str">
        <f ca="1">IFERROR(__xludf.DUMMYFUNCTION("""COMPUTED_VALUE"""),"0638")</f>
        <v>0638</v>
      </c>
      <c r="G27" s="240" t="str">
        <f ca="1">IFERROR(__xludf.DUMMYFUNCTION("""COMPUTED_VALUE"""),"0463744")</f>
        <v>0463744</v>
      </c>
      <c r="H27" s="240" t="str">
        <f ca="1">IFERROR(__xludf.DUMMYFUNCTION("""COMPUTED_VALUE"""),"EJA")</f>
        <v>EJA</v>
      </c>
      <c r="I27" s="242">
        <f ca="1">IFERROR(__xludf.DUMMYFUNCTION("""COMPUTED_VALUE"""),3003)</f>
        <v>3003</v>
      </c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</row>
    <row r="28" spans="1:26" ht="21" customHeight="1">
      <c r="A28" s="240" t="str">
        <f ca="1">IFERROR(__xludf.DUMMYFUNCTION("""COMPUTED_VALUE"""),"Araguaina")</f>
        <v>Araguaina</v>
      </c>
      <c r="B28" s="240" t="str">
        <f ca="1">IFERROR(__xludf.DUMMYFUNCTION("""COMPUTED_VALUE"""),"Araguaina")</f>
        <v>Araguaina</v>
      </c>
      <c r="C28" s="240" t="str">
        <f ca="1">IFERROR(__xludf.DUMMYFUNCTION("""COMPUTED_VALUE"""),"A.A. C.E.  ADOLFO BEZERRA DE MENEZES")</f>
        <v>A.A. C.E.  ADOLFO BEZERRA DE MENEZES</v>
      </c>
      <c r="D28" s="241" t="str">
        <f ca="1">IFERROR(__xludf.DUMMYFUNCTION("""COMPUTED_VALUE"""),"01071435000190")</f>
        <v>01071435000190</v>
      </c>
      <c r="E28" s="241" t="str">
        <f ca="1">IFERROR(__xludf.DUMMYFUNCTION("""COMPUTED_VALUE"""),"001")</f>
        <v>001</v>
      </c>
      <c r="F28" s="241" t="str">
        <f ca="1">IFERROR(__xludf.DUMMYFUNCTION("""COMPUTED_VALUE"""),"0638")</f>
        <v>0638</v>
      </c>
      <c r="G28" s="240" t="str">
        <f ca="1">IFERROR(__xludf.DUMMYFUNCTION("""COMPUTED_VALUE"""),"463426")</f>
        <v>463426</v>
      </c>
      <c r="H28" s="240" t="str">
        <f ca="1">IFERROR(__xludf.DUMMYFUNCTION("""COMPUTED_VALUE"""),"E.F. PARCIAL")</f>
        <v>E.F. PARCIAL</v>
      </c>
      <c r="I28" s="242">
        <f ca="1">IFERROR(__xludf.DUMMYFUNCTION("""COMPUTED_VALUE"""),11172)</f>
        <v>11172</v>
      </c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</row>
    <row r="29" spans="1:26" ht="21" customHeight="1">
      <c r="A29" s="240" t="str">
        <f ca="1">IFERROR(__xludf.DUMMYFUNCTION("""COMPUTED_VALUE"""),"Araguaina")</f>
        <v>Araguaina</v>
      </c>
      <c r="B29" s="240" t="str">
        <f ca="1">IFERROR(__xludf.DUMMYFUNCTION("""COMPUTED_VALUE"""),"Araguaina")</f>
        <v>Araguaina</v>
      </c>
      <c r="C29" s="240" t="str">
        <f ca="1">IFERROR(__xludf.DUMMYFUNCTION("""COMPUTED_VALUE"""),"A.A. C.E.  ADOLFO BEZERRA DE MENEZES")</f>
        <v>A.A. C.E.  ADOLFO BEZERRA DE MENEZES</v>
      </c>
      <c r="D29" s="241" t="str">
        <f ca="1">IFERROR(__xludf.DUMMYFUNCTION("""COMPUTED_VALUE"""),"01071435000190")</f>
        <v>01071435000190</v>
      </c>
      <c r="E29" s="241" t="str">
        <f ca="1">IFERROR(__xludf.DUMMYFUNCTION("""COMPUTED_VALUE"""),"001")</f>
        <v>001</v>
      </c>
      <c r="F29" s="241" t="str">
        <f ca="1">IFERROR(__xludf.DUMMYFUNCTION("""COMPUTED_VALUE"""),"0638")</f>
        <v>0638</v>
      </c>
      <c r="G29" s="240" t="str">
        <f ca="1">IFERROR(__xludf.DUMMYFUNCTION("""COMPUTED_VALUE"""),"463426")</f>
        <v>463426</v>
      </c>
      <c r="H29" s="240" t="str">
        <f ca="1">IFERROR(__xludf.DUMMYFUNCTION("""COMPUTED_VALUE"""),"ENS MEDIO PARCIAL")</f>
        <v>ENS MEDIO PARCIAL</v>
      </c>
      <c r="I29" s="242">
        <f ca="1">IFERROR(__xludf.DUMMYFUNCTION("""COMPUTED_VALUE"""),10542)</f>
        <v>10542</v>
      </c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spans="1:26" ht="21" customHeight="1">
      <c r="A30" s="240" t="str">
        <f ca="1">IFERROR(__xludf.DUMMYFUNCTION("""COMPUTED_VALUE"""),"Araguaina")</f>
        <v>Araguaina</v>
      </c>
      <c r="B30" s="240" t="str">
        <f ca="1">IFERROR(__xludf.DUMMYFUNCTION("""COMPUTED_VALUE"""),"Araguaina")</f>
        <v>Araguaina</v>
      </c>
      <c r="C30" s="240" t="str">
        <f ca="1">IFERROR(__xludf.DUMMYFUNCTION("""COMPUTED_VALUE"""),"A.A. C.E.  ADOLFO BEZERRA DE MENEZES")</f>
        <v>A.A. C.E.  ADOLFO BEZERRA DE MENEZES</v>
      </c>
      <c r="D30" s="241" t="str">
        <f ca="1">IFERROR(__xludf.DUMMYFUNCTION("""COMPUTED_VALUE"""),"01071435000190")</f>
        <v>01071435000190</v>
      </c>
      <c r="E30" s="241" t="str">
        <f ca="1">IFERROR(__xludf.DUMMYFUNCTION("""COMPUTED_VALUE"""),"001")</f>
        <v>001</v>
      </c>
      <c r="F30" s="241" t="str">
        <f ca="1">IFERROR(__xludf.DUMMYFUNCTION("""COMPUTED_VALUE"""),"0638")</f>
        <v>0638</v>
      </c>
      <c r="G30" s="240" t="str">
        <f ca="1">IFERROR(__xludf.DUMMYFUNCTION("""COMPUTED_VALUE"""),"463426")</f>
        <v>463426</v>
      </c>
      <c r="H30" s="240" t="str">
        <f ca="1">IFERROR(__xludf.DUMMYFUNCTION("""COMPUTED_VALUE"""),"EJA")</f>
        <v>EJA</v>
      </c>
      <c r="I30" s="242">
        <f ca="1">IFERROR(__xludf.DUMMYFUNCTION("""COMPUTED_VALUE"""),4158)</f>
        <v>4158</v>
      </c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</row>
    <row r="31" spans="1:26" ht="21" customHeight="1">
      <c r="A31" s="240" t="str">
        <f ca="1">IFERROR(__xludf.DUMMYFUNCTION("""COMPUTED_VALUE"""),"Araguaina")</f>
        <v>Araguaina</v>
      </c>
      <c r="B31" s="240" t="str">
        <f ca="1">IFERROR(__xludf.DUMMYFUNCTION("""COMPUTED_VALUE"""),"Araguaina")</f>
        <v>Araguaina</v>
      </c>
      <c r="C31" s="240" t="str">
        <f ca="1">IFERROR(__xludf.DUMMYFUNCTION("""COMPUTED_VALUE"""),"A.A. COLEGIO ESTADUAL RUI BARBOSA")</f>
        <v>A.A. COLEGIO ESTADUAL RUI BARBOSA</v>
      </c>
      <c r="D31" s="241" t="str">
        <f ca="1">IFERROR(__xludf.DUMMYFUNCTION("""COMPUTED_VALUE"""),"01071440000100")</f>
        <v>01071440000100</v>
      </c>
      <c r="E31" s="241" t="str">
        <f ca="1">IFERROR(__xludf.DUMMYFUNCTION("""COMPUTED_VALUE"""),"001")</f>
        <v>001</v>
      </c>
      <c r="F31" s="241" t="str">
        <f ca="1">IFERROR(__xludf.DUMMYFUNCTION("""COMPUTED_VALUE"""),"0638")</f>
        <v>0638</v>
      </c>
      <c r="G31" s="240" t="str">
        <f ca="1">IFERROR(__xludf.DUMMYFUNCTION("""COMPUTED_VALUE"""),"0463787")</f>
        <v>0463787</v>
      </c>
      <c r="H31" s="240" t="str">
        <f ca="1">IFERROR(__xludf.DUMMYFUNCTION("""COMPUTED_VALUE"""),"AEE")</f>
        <v>AEE</v>
      </c>
      <c r="I31" s="242">
        <f ca="1">IFERROR(__xludf.DUMMYFUNCTION("""COMPUTED_VALUE"""),294)</f>
        <v>294</v>
      </c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spans="1:26" ht="21" customHeight="1">
      <c r="A32" s="240" t="str">
        <f ca="1">IFERROR(__xludf.DUMMYFUNCTION("""COMPUTED_VALUE"""),"Araguaina")</f>
        <v>Araguaina</v>
      </c>
      <c r="B32" s="240" t="str">
        <f ca="1">IFERROR(__xludf.DUMMYFUNCTION("""COMPUTED_VALUE"""),"Araguaina")</f>
        <v>Araguaina</v>
      </c>
      <c r="C32" s="240" t="str">
        <f ca="1">IFERROR(__xludf.DUMMYFUNCTION("""COMPUTED_VALUE"""),"A. APOIO DO COLEGIO DE APLICACAO")</f>
        <v>A. APOIO DO COLEGIO DE APLICACAO</v>
      </c>
      <c r="D32" s="241" t="str">
        <f ca="1">IFERROR(__xludf.DUMMYFUNCTION("""COMPUTED_VALUE"""),"01086986000127")</f>
        <v>01086986000127</v>
      </c>
      <c r="E32" s="241" t="str">
        <f ca="1">IFERROR(__xludf.DUMMYFUNCTION("""COMPUTED_VALUE"""),"001")</f>
        <v>001</v>
      </c>
      <c r="F32" s="241" t="str">
        <f ca="1">IFERROR(__xludf.DUMMYFUNCTION("""COMPUTED_VALUE"""),"0638")</f>
        <v>0638</v>
      </c>
      <c r="G32" s="240" t="str">
        <f ca="1">IFERROR(__xludf.DUMMYFUNCTION("""COMPUTED_VALUE"""),"0465275")</f>
        <v>0465275</v>
      </c>
      <c r="H32" s="240" t="str">
        <f ca="1">IFERROR(__xludf.DUMMYFUNCTION("""COMPUTED_VALUE"""),"E.F. PARCIAL")</f>
        <v>E.F. PARCIAL</v>
      </c>
      <c r="I32" s="242">
        <f ca="1">IFERROR(__xludf.DUMMYFUNCTION("""COMPUTED_VALUE"""),5649)</f>
        <v>5649</v>
      </c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</row>
    <row r="33" spans="1:26" ht="21" customHeight="1">
      <c r="A33" s="240" t="str">
        <f ca="1">IFERROR(__xludf.DUMMYFUNCTION("""COMPUTED_VALUE"""),"Araguaina")</f>
        <v>Araguaina</v>
      </c>
      <c r="B33" s="240" t="str">
        <f ca="1">IFERROR(__xludf.DUMMYFUNCTION("""COMPUTED_VALUE"""),"Araguaina")</f>
        <v>Araguaina</v>
      </c>
      <c r="C33" s="240" t="str">
        <f ca="1">IFERROR(__xludf.DUMMYFUNCTION("""COMPUTED_VALUE"""),"A. APOIO DO COLEGIO DE APLICACAO")</f>
        <v>A. APOIO DO COLEGIO DE APLICACAO</v>
      </c>
      <c r="D33" s="241" t="str">
        <f ca="1">IFERROR(__xludf.DUMMYFUNCTION("""COMPUTED_VALUE"""),"01086986000127")</f>
        <v>01086986000127</v>
      </c>
      <c r="E33" s="241" t="str">
        <f ca="1">IFERROR(__xludf.DUMMYFUNCTION("""COMPUTED_VALUE"""),"001")</f>
        <v>001</v>
      </c>
      <c r="F33" s="241" t="str">
        <f ca="1">IFERROR(__xludf.DUMMYFUNCTION("""COMPUTED_VALUE"""),"0638")</f>
        <v>0638</v>
      </c>
      <c r="G33" s="240" t="str">
        <f ca="1">IFERROR(__xludf.DUMMYFUNCTION("""COMPUTED_VALUE"""),"0465275")</f>
        <v>0465275</v>
      </c>
      <c r="H33" s="240" t="str">
        <f ca="1">IFERROR(__xludf.DUMMYFUNCTION("""COMPUTED_VALUE"""),"AEE")</f>
        <v>AEE</v>
      </c>
      <c r="I33" s="242">
        <f ca="1">IFERROR(__xludf.DUMMYFUNCTION("""COMPUTED_VALUE"""),252)</f>
        <v>252</v>
      </c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</row>
    <row r="34" spans="1:26" ht="21" customHeight="1">
      <c r="A34" s="240" t="str">
        <f ca="1">IFERROR(__xludf.DUMMYFUNCTION("""COMPUTED_VALUE"""),"Araguaina")</f>
        <v>Araguaina</v>
      </c>
      <c r="B34" s="240" t="str">
        <f ca="1">IFERROR(__xludf.DUMMYFUNCTION("""COMPUTED_VALUE"""),"Araguaina")</f>
        <v>Araguaina</v>
      </c>
      <c r="C34" s="240" t="str">
        <f ca="1">IFERROR(__xludf.DUMMYFUNCTION("""COMPUTED_VALUE"""),"A. APOIO DO COLEGIO DE APLICACAO")</f>
        <v>A. APOIO DO COLEGIO DE APLICACAO</v>
      </c>
      <c r="D34" s="241" t="str">
        <f ca="1">IFERROR(__xludf.DUMMYFUNCTION("""COMPUTED_VALUE"""),"01086986000127")</f>
        <v>01086986000127</v>
      </c>
      <c r="E34" s="241" t="str">
        <f ca="1">IFERROR(__xludf.DUMMYFUNCTION("""COMPUTED_VALUE"""),"001")</f>
        <v>001</v>
      </c>
      <c r="F34" s="241" t="str">
        <f ca="1">IFERROR(__xludf.DUMMYFUNCTION("""COMPUTED_VALUE"""),"0638")</f>
        <v>0638</v>
      </c>
      <c r="G34" s="240" t="str">
        <f ca="1">IFERROR(__xludf.DUMMYFUNCTION("""COMPUTED_VALUE"""),"0465275")</f>
        <v>0465275</v>
      </c>
      <c r="H34" s="240" t="str">
        <f ca="1">IFERROR(__xludf.DUMMYFUNCTION("""COMPUTED_VALUE"""),"ENS MEDIO PARCIAL")</f>
        <v>ENS MEDIO PARCIAL</v>
      </c>
      <c r="I34" s="242">
        <f ca="1">IFERROR(__xludf.DUMMYFUNCTION("""COMPUTED_VALUE"""),5607)</f>
        <v>5607</v>
      </c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spans="1:26" ht="21" customHeight="1">
      <c r="A35" s="240" t="str">
        <f ca="1">IFERROR(__xludf.DUMMYFUNCTION("""COMPUTED_VALUE"""),"Araguaina")</f>
        <v>Araguaina</v>
      </c>
      <c r="B35" s="240" t="str">
        <f ca="1">IFERROR(__xludf.DUMMYFUNCTION("""COMPUTED_VALUE"""),"Araguaina")</f>
        <v>Araguaina</v>
      </c>
      <c r="C35" s="240" t="str">
        <f ca="1">IFERROR(__xludf.DUMMYFUNCTION("""COMPUTED_VALUE"""),"A.A. ESC. HENRIQUE CIRQUEIRA AMORIM")</f>
        <v>A.A. ESC. HENRIQUE CIRQUEIRA AMORIM</v>
      </c>
      <c r="D35" s="241" t="str">
        <f ca="1">IFERROR(__xludf.DUMMYFUNCTION("""COMPUTED_VALUE"""),"01088234000103")</f>
        <v>01088234000103</v>
      </c>
      <c r="E35" s="241" t="str">
        <f ca="1">IFERROR(__xludf.DUMMYFUNCTION("""COMPUTED_VALUE"""),"001")</f>
        <v>001</v>
      </c>
      <c r="F35" s="241" t="str">
        <f ca="1">IFERROR(__xludf.DUMMYFUNCTION("""COMPUTED_VALUE"""),"0638")</f>
        <v>0638</v>
      </c>
      <c r="G35" s="240" t="str">
        <f ca="1">IFERROR(__xludf.DUMMYFUNCTION("""COMPUTED_VALUE"""),"0465194")</f>
        <v>0465194</v>
      </c>
      <c r="H35" s="240" t="str">
        <f ca="1">IFERROR(__xludf.DUMMYFUNCTION("""COMPUTED_VALUE"""),"E.F. PARCIAL")</f>
        <v>E.F. PARCIAL</v>
      </c>
      <c r="I35" s="242">
        <f ca="1">IFERROR(__xludf.DUMMYFUNCTION("""COMPUTED_VALUE"""),6489)</f>
        <v>6489</v>
      </c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</row>
    <row r="36" spans="1:26" ht="21" customHeight="1">
      <c r="A36" s="240" t="str">
        <f ca="1">IFERROR(__xludf.DUMMYFUNCTION("""COMPUTED_VALUE"""),"Araguaina")</f>
        <v>Araguaina</v>
      </c>
      <c r="B36" s="240" t="str">
        <f ca="1">IFERROR(__xludf.DUMMYFUNCTION("""COMPUTED_VALUE"""),"Araguaina")</f>
        <v>Araguaina</v>
      </c>
      <c r="C36" s="240" t="str">
        <f ca="1">IFERROR(__xludf.DUMMYFUNCTION("""COMPUTED_VALUE"""),"A.A. ESC. HENRIQUE CIRQUEIRA AMORIM")</f>
        <v>A.A. ESC. HENRIQUE CIRQUEIRA AMORIM</v>
      </c>
      <c r="D36" s="241" t="str">
        <f ca="1">IFERROR(__xludf.DUMMYFUNCTION("""COMPUTED_VALUE"""),"01088234000103")</f>
        <v>01088234000103</v>
      </c>
      <c r="E36" s="241" t="str">
        <f ca="1">IFERROR(__xludf.DUMMYFUNCTION("""COMPUTED_VALUE"""),"001")</f>
        <v>001</v>
      </c>
      <c r="F36" s="241" t="str">
        <f ca="1">IFERROR(__xludf.DUMMYFUNCTION("""COMPUTED_VALUE"""),"0638")</f>
        <v>0638</v>
      </c>
      <c r="G36" s="240" t="str">
        <f ca="1">IFERROR(__xludf.DUMMYFUNCTION("""COMPUTED_VALUE"""),"0465194")</f>
        <v>0465194</v>
      </c>
      <c r="H36" s="240" t="str">
        <f ca="1">IFERROR(__xludf.DUMMYFUNCTION("""COMPUTED_VALUE"""),"ENS MEDIO PARCIAL")</f>
        <v>ENS MEDIO PARCIAL</v>
      </c>
      <c r="I36" s="242">
        <f ca="1">IFERROR(__xludf.DUMMYFUNCTION("""COMPUTED_VALUE"""),4893)</f>
        <v>4893</v>
      </c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</row>
    <row r="37" spans="1:26" ht="21" customHeight="1">
      <c r="A37" s="240" t="str">
        <f ca="1">IFERROR(__xludf.DUMMYFUNCTION("""COMPUTED_VALUE"""),"Araguaina")</f>
        <v>Araguaina</v>
      </c>
      <c r="B37" s="240" t="str">
        <f ca="1">IFERROR(__xludf.DUMMYFUNCTION("""COMPUTED_VALUE"""),"Araguaina")</f>
        <v>Araguaina</v>
      </c>
      <c r="C37" s="240" t="str">
        <f ca="1">IFERROR(__xludf.DUMMYFUNCTION("""COMPUTED_VALUE"""),"A. DE A.DA ESCOLA ESTADUAL MODELO")</f>
        <v>A. DE A.DA ESCOLA ESTADUAL MODELO</v>
      </c>
      <c r="D37" s="241" t="str">
        <f ca="1">IFERROR(__xludf.DUMMYFUNCTION("""COMPUTED_VALUE"""),"01133696000197")</f>
        <v>01133696000197</v>
      </c>
      <c r="E37" s="241" t="str">
        <f ca="1">IFERROR(__xludf.DUMMYFUNCTION("""COMPUTED_VALUE"""),"001")</f>
        <v>001</v>
      </c>
      <c r="F37" s="241" t="str">
        <f ca="1">IFERROR(__xludf.DUMMYFUNCTION("""COMPUTED_VALUE"""),"0638")</f>
        <v>0638</v>
      </c>
      <c r="G37" s="240" t="str">
        <f ca="1">IFERROR(__xludf.DUMMYFUNCTION("""COMPUTED_VALUE"""),"484520")</f>
        <v>484520</v>
      </c>
      <c r="H37" s="240" t="str">
        <f ca="1">IFERROR(__xludf.DUMMYFUNCTION("""COMPUTED_VALUE"""),"E.F. PARCIAL")</f>
        <v>E.F. PARCIAL</v>
      </c>
      <c r="I37" s="242">
        <f ca="1">IFERROR(__xludf.DUMMYFUNCTION("""COMPUTED_VALUE"""),10017)</f>
        <v>10017</v>
      </c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</row>
    <row r="38" spans="1:26" ht="21" customHeight="1">
      <c r="A38" s="240" t="str">
        <f ca="1">IFERROR(__xludf.DUMMYFUNCTION("""COMPUTED_VALUE"""),"Araguaina")</f>
        <v>Araguaina</v>
      </c>
      <c r="B38" s="240" t="str">
        <f ca="1">IFERROR(__xludf.DUMMYFUNCTION("""COMPUTED_VALUE"""),"Araguaina")</f>
        <v>Araguaina</v>
      </c>
      <c r="C38" s="240" t="str">
        <f ca="1">IFERROR(__xludf.DUMMYFUNCTION("""COMPUTED_VALUE"""),"A. DE A.DA ESCOLA ESTADUAL MODELO")</f>
        <v>A. DE A.DA ESCOLA ESTADUAL MODELO</v>
      </c>
      <c r="D38" s="241" t="str">
        <f ca="1">IFERROR(__xludf.DUMMYFUNCTION("""COMPUTED_VALUE"""),"01133696000197")</f>
        <v>01133696000197</v>
      </c>
      <c r="E38" s="241" t="str">
        <f ca="1">IFERROR(__xludf.DUMMYFUNCTION("""COMPUTED_VALUE"""),"001")</f>
        <v>001</v>
      </c>
      <c r="F38" s="241" t="str">
        <f ca="1">IFERROR(__xludf.DUMMYFUNCTION("""COMPUTED_VALUE"""),"0638")</f>
        <v>0638</v>
      </c>
      <c r="G38" s="240" t="str">
        <f ca="1">IFERROR(__xludf.DUMMYFUNCTION("""COMPUTED_VALUE"""),"484520")</f>
        <v>484520</v>
      </c>
      <c r="H38" s="240" t="str">
        <f ca="1">IFERROR(__xludf.DUMMYFUNCTION("""COMPUTED_VALUE"""),"AEE")</f>
        <v>AEE</v>
      </c>
      <c r="I38" s="242">
        <f ca="1">IFERROR(__xludf.DUMMYFUNCTION("""COMPUTED_VALUE"""),483)</f>
        <v>483</v>
      </c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spans="1:26" ht="21" customHeight="1">
      <c r="A39" s="240" t="str">
        <f ca="1">IFERROR(__xludf.DUMMYFUNCTION("""COMPUTED_VALUE"""),"Araguaina")</f>
        <v>Araguaina</v>
      </c>
      <c r="B39" s="240" t="str">
        <f ca="1">IFERROR(__xludf.DUMMYFUNCTION("""COMPUTED_VALUE"""),"Araguaina")</f>
        <v>Araguaina</v>
      </c>
      <c r="C39" s="240" t="str">
        <f ca="1">IFERROR(__xludf.DUMMYFUNCTION("""COMPUTED_VALUE"""),"ASSOC. A. COL. EST. BENJAMIM JOSÉ DE ALMEIDA")</f>
        <v>ASSOC. A. COL. EST. BENJAMIM JOSÉ DE ALMEIDA</v>
      </c>
      <c r="D39" s="241" t="str">
        <f ca="1">IFERROR(__xludf.DUMMYFUNCTION("""COMPUTED_VALUE"""),"01136023000190")</f>
        <v>01136023000190</v>
      </c>
      <c r="E39" s="241" t="str">
        <f ca="1">IFERROR(__xludf.DUMMYFUNCTION("""COMPUTED_VALUE"""),"001")</f>
        <v>001</v>
      </c>
      <c r="F39" s="241" t="str">
        <f ca="1">IFERROR(__xludf.DUMMYFUNCTION("""COMPUTED_VALUE"""),"0638")</f>
        <v>0638</v>
      </c>
      <c r="G39" s="240" t="str">
        <f ca="1">IFERROR(__xludf.DUMMYFUNCTION("""COMPUTED_VALUE"""),"55149X")</f>
        <v>55149X</v>
      </c>
      <c r="H39" s="240" t="str">
        <f ca="1">IFERROR(__xludf.DUMMYFUNCTION("""COMPUTED_VALUE"""),"AEE")</f>
        <v>AEE</v>
      </c>
      <c r="I39" s="242">
        <f ca="1">IFERROR(__xludf.DUMMYFUNCTION("""COMPUTED_VALUE"""),252)</f>
        <v>252</v>
      </c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</row>
    <row r="40" spans="1:26" ht="21" customHeight="1">
      <c r="A40" s="240" t="str">
        <f ca="1">IFERROR(__xludf.DUMMYFUNCTION("""COMPUTED_VALUE"""),"Araguaina")</f>
        <v>Araguaina</v>
      </c>
      <c r="B40" s="240" t="str">
        <f ca="1">IFERROR(__xludf.DUMMYFUNCTION("""COMPUTED_VALUE"""),"Araguaina")</f>
        <v>Araguaina</v>
      </c>
      <c r="C40" s="240" t="str">
        <f ca="1">IFERROR(__xludf.DUMMYFUNCTION("""COMPUTED_VALUE"""),"A.A. C.E. ADEMAR V. FERREIRA SOBRINHO")</f>
        <v>A.A. C.E. ADEMAR V. FERREIRA SOBRINHO</v>
      </c>
      <c r="D40" s="241" t="str">
        <f ca="1">IFERROR(__xludf.DUMMYFUNCTION("""COMPUTED_VALUE"""),"01143808000190")</f>
        <v>01143808000190</v>
      </c>
      <c r="E40" s="241" t="str">
        <f ca="1">IFERROR(__xludf.DUMMYFUNCTION("""COMPUTED_VALUE"""),"001")</f>
        <v>001</v>
      </c>
      <c r="F40" s="241" t="str">
        <f ca="1">IFERROR(__xludf.DUMMYFUNCTION("""COMPUTED_VALUE"""),"0638")</f>
        <v>0638</v>
      </c>
      <c r="G40" s="240" t="str">
        <f ca="1">IFERROR(__xludf.DUMMYFUNCTION("""COMPUTED_VALUE"""),"0464244")</f>
        <v>0464244</v>
      </c>
      <c r="H40" s="240" t="str">
        <f ca="1">IFERROR(__xludf.DUMMYFUNCTION("""COMPUTED_VALUE"""),"E.F. PARCIAL")</f>
        <v>E.F. PARCIAL</v>
      </c>
      <c r="I40" s="242">
        <f ca="1">IFERROR(__xludf.DUMMYFUNCTION("""COMPUTED_VALUE"""),8967)</f>
        <v>8967</v>
      </c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</row>
    <row r="41" spans="1:26" ht="21" customHeight="1">
      <c r="A41" s="240" t="str">
        <f ca="1">IFERROR(__xludf.DUMMYFUNCTION("""COMPUTED_VALUE"""),"Araguaina")</f>
        <v>Araguaina</v>
      </c>
      <c r="B41" s="240" t="str">
        <f ca="1">IFERROR(__xludf.DUMMYFUNCTION("""COMPUTED_VALUE"""),"Araguaina")</f>
        <v>Araguaina</v>
      </c>
      <c r="C41" s="240" t="str">
        <f ca="1">IFERROR(__xludf.DUMMYFUNCTION("""COMPUTED_VALUE"""),"A.A. C.E. ADEMAR V. FERREIRA SOBRINHO")</f>
        <v>A.A. C.E. ADEMAR V. FERREIRA SOBRINHO</v>
      </c>
      <c r="D41" s="241" t="str">
        <f ca="1">IFERROR(__xludf.DUMMYFUNCTION("""COMPUTED_VALUE"""),"01143808000190")</f>
        <v>01143808000190</v>
      </c>
      <c r="E41" s="241" t="str">
        <f ca="1">IFERROR(__xludf.DUMMYFUNCTION("""COMPUTED_VALUE"""),"001")</f>
        <v>001</v>
      </c>
      <c r="F41" s="241" t="str">
        <f ca="1">IFERROR(__xludf.DUMMYFUNCTION("""COMPUTED_VALUE"""),"0638")</f>
        <v>0638</v>
      </c>
      <c r="G41" s="240" t="str">
        <f ca="1">IFERROR(__xludf.DUMMYFUNCTION("""COMPUTED_VALUE"""),"0464244")</f>
        <v>0464244</v>
      </c>
      <c r="H41" s="240" t="str">
        <f ca="1">IFERROR(__xludf.DUMMYFUNCTION("""COMPUTED_VALUE"""),"AEE")</f>
        <v>AEE</v>
      </c>
      <c r="I41" s="242">
        <f ca="1">IFERROR(__xludf.DUMMYFUNCTION("""COMPUTED_VALUE"""),420)</f>
        <v>420</v>
      </c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</row>
    <row r="42" spans="1:26" ht="21" customHeight="1">
      <c r="A42" s="240" t="str">
        <f ca="1">IFERROR(__xludf.DUMMYFUNCTION("""COMPUTED_VALUE"""),"Araguaina")</f>
        <v>Araguaina</v>
      </c>
      <c r="B42" s="240" t="str">
        <f ca="1">IFERROR(__xludf.DUMMYFUNCTION("""COMPUTED_VALUE"""),"Araguaina")</f>
        <v>Araguaina</v>
      </c>
      <c r="C42" s="240" t="str">
        <f ca="1">IFERROR(__xludf.DUMMYFUNCTION("""COMPUTED_VALUE"""),"A.A. ESC. EST. DEP.FED.JOSE A. DE ASSIS")</f>
        <v>A.A. ESC. EST. DEP.FED.JOSE A. DE ASSIS</v>
      </c>
      <c r="D42" s="241" t="str">
        <f ca="1">IFERROR(__xludf.DUMMYFUNCTION("""COMPUTED_VALUE"""),"01186464000105")</f>
        <v>01186464000105</v>
      </c>
      <c r="E42" s="241" t="str">
        <f ca="1">IFERROR(__xludf.DUMMYFUNCTION("""COMPUTED_VALUE"""),"001")</f>
        <v>001</v>
      </c>
      <c r="F42" s="241" t="str">
        <f ca="1">IFERROR(__xludf.DUMMYFUNCTION("""COMPUTED_VALUE"""),"0638")</f>
        <v>0638</v>
      </c>
      <c r="G42" s="240" t="str">
        <f ca="1">IFERROR(__xludf.DUMMYFUNCTION("""COMPUTED_VALUE"""),"465089")</f>
        <v>465089</v>
      </c>
      <c r="H42" s="240" t="str">
        <f ca="1">IFERROR(__xludf.DUMMYFUNCTION("""COMPUTED_VALUE"""),"E.F. PARCIAL")</f>
        <v>E.F. PARCIAL</v>
      </c>
      <c r="I42" s="242">
        <f ca="1">IFERROR(__xludf.DUMMYFUNCTION("""COMPUTED_VALUE"""),3738)</f>
        <v>3738</v>
      </c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spans="1:26" ht="21" customHeight="1">
      <c r="A43" s="240" t="str">
        <f ca="1">IFERROR(__xludf.DUMMYFUNCTION("""COMPUTED_VALUE"""),"Araguaina")</f>
        <v>Araguaina</v>
      </c>
      <c r="B43" s="240" t="str">
        <f ca="1">IFERROR(__xludf.DUMMYFUNCTION("""COMPUTED_VALUE"""),"Araguaina")</f>
        <v>Araguaina</v>
      </c>
      <c r="C43" s="240" t="str">
        <f ca="1">IFERROR(__xludf.DUMMYFUNCTION("""COMPUTED_VALUE"""),"A.A. ESC. EST. DEP.FED.JOSE A. DE ASSIS")</f>
        <v>A.A. ESC. EST. DEP.FED.JOSE A. DE ASSIS</v>
      </c>
      <c r="D43" s="241" t="str">
        <f ca="1">IFERROR(__xludf.DUMMYFUNCTION("""COMPUTED_VALUE"""),"01186464000105")</f>
        <v>01186464000105</v>
      </c>
      <c r="E43" s="241" t="str">
        <f ca="1">IFERROR(__xludf.DUMMYFUNCTION("""COMPUTED_VALUE"""),"001")</f>
        <v>001</v>
      </c>
      <c r="F43" s="241" t="str">
        <f ca="1">IFERROR(__xludf.DUMMYFUNCTION("""COMPUTED_VALUE"""),"0638")</f>
        <v>0638</v>
      </c>
      <c r="G43" s="240" t="str">
        <f ca="1">IFERROR(__xludf.DUMMYFUNCTION("""COMPUTED_VALUE"""),"465089")</f>
        <v>465089</v>
      </c>
      <c r="H43" s="240" t="str">
        <f ca="1">IFERROR(__xludf.DUMMYFUNCTION("""COMPUTED_VALUE"""),"AEE")</f>
        <v>AEE</v>
      </c>
      <c r="I43" s="242">
        <f ca="1">IFERROR(__xludf.DUMMYFUNCTION("""COMPUTED_VALUE"""),315)</f>
        <v>315</v>
      </c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</row>
    <row r="44" spans="1:26" ht="21" customHeight="1">
      <c r="A44" s="240" t="str">
        <f ca="1">IFERROR(__xludf.DUMMYFUNCTION("""COMPUTED_VALUE"""),"Araguaina")</f>
        <v>Araguaina</v>
      </c>
      <c r="B44" s="240" t="str">
        <f ca="1">IFERROR(__xludf.DUMMYFUNCTION("""COMPUTED_VALUE"""),"Araguaina")</f>
        <v>Araguaina</v>
      </c>
      <c r="C44" s="240" t="str">
        <f ca="1">IFERROR(__xludf.DUMMYFUNCTION("""COMPUTED_VALUE"""),"A.A. ESC. EST. DEP.FED.JOSE A. DE ASSIS")</f>
        <v>A.A. ESC. EST. DEP.FED.JOSE A. DE ASSIS</v>
      </c>
      <c r="D44" s="241" t="str">
        <f ca="1">IFERROR(__xludf.DUMMYFUNCTION("""COMPUTED_VALUE"""),"01186464000105")</f>
        <v>01186464000105</v>
      </c>
      <c r="E44" s="241" t="str">
        <f ca="1">IFERROR(__xludf.DUMMYFUNCTION("""COMPUTED_VALUE"""),"001")</f>
        <v>001</v>
      </c>
      <c r="F44" s="241" t="str">
        <f ca="1">IFERROR(__xludf.DUMMYFUNCTION("""COMPUTED_VALUE"""),"0638")</f>
        <v>0638</v>
      </c>
      <c r="G44" s="240" t="str">
        <f ca="1">IFERROR(__xludf.DUMMYFUNCTION("""COMPUTED_VALUE"""),"465089")</f>
        <v>465089</v>
      </c>
      <c r="H44" s="240" t="str">
        <f ca="1">IFERROR(__xludf.DUMMYFUNCTION("""COMPUTED_VALUE"""),"ENS MEDIO PARCIAL")</f>
        <v>ENS MEDIO PARCIAL</v>
      </c>
      <c r="I44" s="242">
        <f ca="1">IFERROR(__xludf.DUMMYFUNCTION("""COMPUTED_VALUE"""),9198)</f>
        <v>9198</v>
      </c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</row>
    <row r="45" spans="1:26" ht="21" customHeight="1">
      <c r="A45" s="240" t="str">
        <f ca="1">IFERROR(__xludf.DUMMYFUNCTION("""COMPUTED_VALUE"""),"Araguaina")</f>
        <v>Araguaina</v>
      </c>
      <c r="B45" s="240" t="str">
        <f ca="1">IFERROR(__xludf.DUMMYFUNCTION("""COMPUTED_VALUE"""),"Araguaina")</f>
        <v>Araguaina</v>
      </c>
      <c r="C45" s="240" t="str">
        <f ca="1">IFERROR(__xludf.DUMMYFUNCTION("""COMPUTED_VALUE"""),"A.A. ESC. EST.WELDER M.ABREU SALES")</f>
        <v>A.A. ESC. EST.WELDER M.ABREU SALES</v>
      </c>
      <c r="D45" s="241" t="str">
        <f ca="1">IFERROR(__xludf.DUMMYFUNCTION("""COMPUTED_VALUE"""),"01190182000173")</f>
        <v>01190182000173</v>
      </c>
      <c r="E45" s="241" t="str">
        <f ca="1">IFERROR(__xludf.DUMMYFUNCTION("""COMPUTED_VALUE"""),"001")</f>
        <v>001</v>
      </c>
      <c r="F45" s="241" t="str">
        <f ca="1">IFERROR(__xludf.DUMMYFUNCTION("""COMPUTED_VALUE"""),"0638")</f>
        <v>0638</v>
      </c>
      <c r="G45" s="240" t="str">
        <f ca="1">IFERROR(__xludf.DUMMYFUNCTION("""COMPUTED_VALUE"""),"0465054")</f>
        <v>0465054</v>
      </c>
      <c r="H45" s="240" t="str">
        <f ca="1">IFERROR(__xludf.DUMMYFUNCTION("""COMPUTED_VALUE"""),"E.F. PARCIAL")</f>
        <v>E.F. PARCIAL</v>
      </c>
      <c r="I45" s="242">
        <f ca="1">IFERROR(__xludf.DUMMYFUNCTION("""COMPUTED_VALUE"""),11193)</f>
        <v>11193</v>
      </c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</row>
    <row r="46" spans="1:26" ht="21" customHeight="1">
      <c r="A46" s="240" t="str">
        <f ca="1">IFERROR(__xludf.DUMMYFUNCTION("""COMPUTED_VALUE"""),"Araguaina")</f>
        <v>Araguaina</v>
      </c>
      <c r="B46" s="240" t="str">
        <f ca="1">IFERROR(__xludf.DUMMYFUNCTION("""COMPUTED_VALUE"""),"Araguaina")</f>
        <v>Araguaina</v>
      </c>
      <c r="C46" s="240" t="str">
        <f ca="1">IFERROR(__xludf.DUMMYFUNCTION("""COMPUTED_VALUE"""),"A.A. ESC. EST.WELDER M.ABREU SALES")</f>
        <v>A.A. ESC. EST.WELDER M.ABREU SALES</v>
      </c>
      <c r="D46" s="241" t="str">
        <f ca="1">IFERROR(__xludf.DUMMYFUNCTION("""COMPUTED_VALUE"""),"01190182000173")</f>
        <v>01190182000173</v>
      </c>
      <c r="E46" s="241" t="str">
        <f ca="1">IFERROR(__xludf.DUMMYFUNCTION("""COMPUTED_VALUE"""),"001")</f>
        <v>001</v>
      </c>
      <c r="F46" s="241" t="str">
        <f ca="1">IFERROR(__xludf.DUMMYFUNCTION("""COMPUTED_VALUE"""),"0638")</f>
        <v>0638</v>
      </c>
      <c r="G46" s="240" t="str">
        <f ca="1">IFERROR(__xludf.DUMMYFUNCTION("""COMPUTED_VALUE"""),"0465054")</f>
        <v>0465054</v>
      </c>
      <c r="H46" s="240" t="str">
        <f ca="1">IFERROR(__xludf.DUMMYFUNCTION("""COMPUTED_VALUE"""),"AEE")</f>
        <v>AEE</v>
      </c>
      <c r="I46" s="242">
        <f ca="1">IFERROR(__xludf.DUMMYFUNCTION("""COMPUTED_VALUE"""),357)</f>
        <v>357</v>
      </c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</row>
    <row r="47" spans="1:26" ht="21" customHeight="1">
      <c r="A47" s="240" t="str">
        <f ca="1">IFERROR(__xludf.DUMMYFUNCTION("""COMPUTED_VALUE"""),"Araguaina")</f>
        <v>Araguaina</v>
      </c>
      <c r="B47" s="240" t="str">
        <f ca="1">IFERROR(__xludf.DUMMYFUNCTION("""COMPUTED_VALUE"""),"Araguaina")</f>
        <v>Araguaina</v>
      </c>
      <c r="C47" s="240" t="str">
        <f ca="1">IFERROR(__xludf.DUMMYFUNCTION("""COMPUTED_VALUE"""),"A.A. ESC. E.NORTE GOIANO DE ARAGUAINA")</f>
        <v>A.A. ESC. E.NORTE GOIANO DE ARAGUAINA</v>
      </c>
      <c r="D47" s="241" t="str">
        <f ca="1">IFERROR(__xludf.DUMMYFUNCTION("""COMPUTED_VALUE"""),"01195483000190")</f>
        <v>01195483000190</v>
      </c>
      <c r="E47" s="241" t="str">
        <f ca="1">IFERROR(__xludf.DUMMYFUNCTION("""COMPUTED_VALUE"""),"001")</f>
        <v>001</v>
      </c>
      <c r="F47" s="241" t="str">
        <f ca="1">IFERROR(__xludf.DUMMYFUNCTION("""COMPUTED_VALUE"""),"0638")</f>
        <v>0638</v>
      </c>
      <c r="G47" s="240" t="str">
        <f ca="1">IFERROR(__xludf.DUMMYFUNCTION("""COMPUTED_VALUE"""),"0464724")</f>
        <v>0464724</v>
      </c>
      <c r="H47" s="240" t="str">
        <f ca="1">IFERROR(__xludf.DUMMYFUNCTION("""COMPUTED_VALUE"""),"E.F. PARCIAL")</f>
        <v>E.F. PARCIAL</v>
      </c>
      <c r="I47" s="242">
        <f ca="1">IFERROR(__xludf.DUMMYFUNCTION("""COMPUTED_VALUE"""),5649)</f>
        <v>5649</v>
      </c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</row>
    <row r="48" spans="1:26" ht="21" customHeight="1">
      <c r="A48" s="240" t="str">
        <f ca="1">IFERROR(__xludf.DUMMYFUNCTION("""COMPUTED_VALUE"""),"Araguaina")</f>
        <v>Araguaina</v>
      </c>
      <c r="B48" s="240" t="str">
        <f ca="1">IFERROR(__xludf.DUMMYFUNCTION("""COMPUTED_VALUE"""),"Araguaina")</f>
        <v>Araguaina</v>
      </c>
      <c r="C48" s="240" t="str">
        <f ca="1">IFERROR(__xludf.DUMMYFUNCTION("""COMPUTED_VALUE"""),"A.A. ESC. E.NORTE GOIANO DE ARAGUAINA")</f>
        <v>A.A. ESC. E.NORTE GOIANO DE ARAGUAINA</v>
      </c>
      <c r="D48" s="241" t="str">
        <f ca="1">IFERROR(__xludf.DUMMYFUNCTION("""COMPUTED_VALUE"""),"01195483000190")</f>
        <v>01195483000190</v>
      </c>
      <c r="E48" s="241" t="str">
        <f ca="1">IFERROR(__xludf.DUMMYFUNCTION("""COMPUTED_VALUE"""),"001")</f>
        <v>001</v>
      </c>
      <c r="F48" s="241" t="str">
        <f ca="1">IFERROR(__xludf.DUMMYFUNCTION("""COMPUTED_VALUE"""),"0638")</f>
        <v>0638</v>
      </c>
      <c r="G48" s="240" t="str">
        <f ca="1">IFERROR(__xludf.DUMMYFUNCTION("""COMPUTED_VALUE"""),"0464724")</f>
        <v>0464724</v>
      </c>
      <c r="H48" s="240" t="str">
        <f ca="1">IFERROR(__xludf.DUMMYFUNCTION("""COMPUTED_VALUE"""),"AEE")</f>
        <v>AEE</v>
      </c>
      <c r="I48" s="242">
        <f ca="1">IFERROR(__xludf.DUMMYFUNCTION("""COMPUTED_VALUE"""),336)</f>
        <v>336</v>
      </c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</row>
    <row r="49" spans="1:26" ht="21" customHeight="1">
      <c r="A49" s="240" t="str">
        <f ca="1">IFERROR(__xludf.DUMMYFUNCTION("""COMPUTED_VALUE"""),"Araguaina")</f>
        <v>Araguaina</v>
      </c>
      <c r="B49" s="240" t="str">
        <f ca="1">IFERROR(__xludf.DUMMYFUNCTION("""COMPUTED_VALUE"""),"Araguaina")</f>
        <v>Araguaina</v>
      </c>
      <c r="C49" s="240" t="str">
        <f ca="1">IFERROR(__xludf.DUMMYFUNCTION("""COMPUTED_VALUE"""),"A.A. ESCOLA EST.PROF.ALFREDO NASSER")</f>
        <v>A.A. ESCOLA EST.PROF.ALFREDO NASSER</v>
      </c>
      <c r="D49" s="241" t="str">
        <f ca="1">IFERROR(__xludf.DUMMYFUNCTION("""COMPUTED_VALUE"""),"01223632000187")</f>
        <v>01223632000187</v>
      </c>
      <c r="E49" s="241" t="str">
        <f ca="1">IFERROR(__xludf.DUMMYFUNCTION("""COMPUTED_VALUE"""),"001")</f>
        <v>001</v>
      </c>
      <c r="F49" s="241" t="str">
        <f ca="1">IFERROR(__xludf.DUMMYFUNCTION("""COMPUTED_VALUE"""),"0638")</f>
        <v>0638</v>
      </c>
      <c r="G49" s="240" t="str">
        <f ca="1">IFERROR(__xludf.DUMMYFUNCTION("""COMPUTED_VALUE"""),"0465135")</f>
        <v>0465135</v>
      </c>
      <c r="H49" s="240" t="str">
        <f ca="1">IFERROR(__xludf.DUMMYFUNCTION("""COMPUTED_VALUE"""),"E.F. PARCIAL")</f>
        <v>E.F. PARCIAL</v>
      </c>
      <c r="I49" s="242">
        <f ca="1">IFERROR(__xludf.DUMMYFUNCTION("""COMPUTED_VALUE"""),15582)</f>
        <v>15582</v>
      </c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</row>
    <row r="50" spans="1:26" ht="21" customHeight="1">
      <c r="A50" s="240" t="str">
        <f ca="1">IFERROR(__xludf.DUMMYFUNCTION("""COMPUTED_VALUE"""),"Araguaina")</f>
        <v>Araguaina</v>
      </c>
      <c r="B50" s="240" t="str">
        <f ca="1">IFERROR(__xludf.DUMMYFUNCTION("""COMPUTED_VALUE"""),"Araguaina")</f>
        <v>Araguaina</v>
      </c>
      <c r="C50" s="240" t="str">
        <f ca="1">IFERROR(__xludf.DUMMYFUNCTION("""COMPUTED_VALUE"""),"A.A. COL. ESTADUAL GUILHERME DOURADO")</f>
        <v>A.A. COL. ESTADUAL GUILHERME DOURADO</v>
      </c>
      <c r="D50" s="241" t="str">
        <f ca="1">IFERROR(__xludf.DUMMYFUNCTION("""COMPUTED_VALUE"""),"01257074000170")</f>
        <v>01257074000170</v>
      </c>
      <c r="E50" s="241" t="str">
        <f ca="1">IFERROR(__xludf.DUMMYFUNCTION("""COMPUTED_VALUE"""),"001")</f>
        <v>001</v>
      </c>
      <c r="F50" s="241" t="str">
        <f ca="1">IFERROR(__xludf.DUMMYFUNCTION("""COMPUTED_VALUE"""),"0638")</f>
        <v>0638</v>
      </c>
      <c r="G50" s="240" t="str">
        <f ca="1">IFERROR(__xludf.DUMMYFUNCTION("""COMPUTED_VALUE"""),"0068659")</f>
        <v>0068659</v>
      </c>
      <c r="H50" s="240" t="str">
        <f ca="1">IFERROR(__xludf.DUMMYFUNCTION("""COMPUTED_VALUE"""),"AEE")</f>
        <v>AEE</v>
      </c>
      <c r="I50" s="242">
        <f ca="1">IFERROR(__xludf.DUMMYFUNCTION("""COMPUTED_VALUE"""),210)</f>
        <v>210</v>
      </c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</row>
    <row r="51" spans="1:26" ht="21" customHeight="1">
      <c r="A51" s="240" t="str">
        <f ca="1">IFERROR(__xludf.DUMMYFUNCTION("""COMPUTED_VALUE"""),"Araguaina")</f>
        <v>Araguaina</v>
      </c>
      <c r="B51" s="240" t="str">
        <f ca="1">IFERROR(__xludf.DUMMYFUNCTION("""COMPUTED_VALUE"""),"Araguaina")</f>
        <v>Araguaina</v>
      </c>
      <c r="C51" s="240" t="str">
        <f ca="1">IFERROR(__xludf.DUMMYFUNCTION("""COMPUTED_VALUE"""),"A.A. COL. ESTADUAL GUILHERME DOURADO")</f>
        <v>A.A. COL. ESTADUAL GUILHERME DOURADO</v>
      </c>
      <c r="D51" s="241" t="str">
        <f ca="1">IFERROR(__xludf.DUMMYFUNCTION("""COMPUTED_VALUE"""),"01257074000170")</f>
        <v>01257074000170</v>
      </c>
      <c r="E51" s="241" t="str">
        <f ca="1">IFERROR(__xludf.DUMMYFUNCTION("""COMPUTED_VALUE"""),"001")</f>
        <v>001</v>
      </c>
      <c r="F51" s="241" t="str">
        <f ca="1">IFERROR(__xludf.DUMMYFUNCTION("""COMPUTED_VALUE"""),"0638")</f>
        <v>0638</v>
      </c>
      <c r="G51" s="240" t="str">
        <f ca="1">IFERROR(__xludf.DUMMYFUNCTION("""COMPUTED_VALUE"""),"0068659")</f>
        <v>0068659</v>
      </c>
      <c r="H51" s="240" t="str">
        <f ca="1">IFERROR(__xludf.DUMMYFUNCTION("""COMPUTED_VALUE"""),"ENS MEDIO PARCIAL")</f>
        <v>ENS MEDIO PARCIAL</v>
      </c>
      <c r="I51" s="242">
        <f ca="1">IFERROR(__xludf.DUMMYFUNCTION("""COMPUTED_VALUE"""),31857)</f>
        <v>31857</v>
      </c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</row>
    <row r="52" spans="1:26" ht="21" customHeight="1">
      <c r="A52" s="240" t="str">
        <f ca="1">IFERROR(__xludf.DUMMYFUNCTION("""COMPUTED_VALUE"""),"Araguaina")</f>
        <v>Araguaina</v>
      </c>
      <c r="B52" s="240" t="str">
        <f ca="1">IFERROR(__xludf.DUMMYFUNCTION("""COMPUTED_VALUE"""),"Araguaina")</f>
        <v>Araguaina</v>
      </c>
      <c r="C52" s="240" t="str">
        <f ca="1">IFERROR(__xludf.DUMMYFUNCTION("""COMPUTED_VALUE"""),"A. APOIO ESCOLA EST. CAMPOS BRASIL")</f>
        <v>A. APOIO ESCOLA EST. CAMPOS BRASIL</v>
      </c>
      <c r="D52" s="241" t="str">
        <f ca="1">IFERROR(__xludf.DUMMYFUNCTION("""COMPUTED_VALUE"""),"01291177000157")</f>
        <v>01291177000157</v>
      </c>
      <c r="E52" s="241" t="str">
        <f ca="1">IFERROR(__xludf.DUMMYFUNCTION("""COMPUTED_VALUE"""),"001")</f>
        <v>001</v>
      </c>
      <c r="F52" s="241" t="str">
        <f ca="1">IFERROR(__xludf.DUMMYFUNCTION("""COMPUTED_VALUE"""),"0638")</f>
        <v>0638</v>
      </c>
      <c r="G52" s="240" t="str">
        <f ca="1">IFERROR(__xludf.DUMMYFUNCTION("""COMPUTED_VALUE"""),"466093")</f>
        <v>466093</v>
      </c>
      <c r="H52" s="240" t="str">
        <f ca="1">IFERROR(__xludf.DUMMYFUNCTION("""COMPUTED_VALUE"""),"E.F. PARCIAL")</f>
        <v>E.F. PARCIAL</v>
      </c>
      <c r="I52" s="242">
        <f ca="1">IFERROR(__xludf.DUMMYFUNCTION("""COMPUTED_VALUE"""),11571)</f>
        <v>11571</v>
      </c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</row>
    <row r="53" spans="1:26" ht="21" customHeight="1">
      <c r="A53" s="240" t="str">
        <f ca="1">IFERROR(__xludf.DUMMYFUNCTION("""COMPUTED_VALUE"""),"Araguaina")</f>
        <v>Araguaina</v>
      </c>
      <c r="B53" s="240" t="str">
        <f ca="1">IFERROR(__xludf.DUMMYFUNCTION("""COMPUTED_VALUE"""),"Araguaina")</f>
        <v>Araguaina</v>
      </c>
      <c r="C53" s="240" t="str">
        <f ca="1">IFERROR(__xludf.DUMMYFUNCTION("""COMPUTED_VALUE"""),"A. APOIO ESCOLA EST. CAMPOS BRASIL")</f>
        <v>A. APOIO ESCOLA EST. CAMPOS BRASIL</v>
      </c>
      <c r="D53" s="241" t="str">
        <f ca="1">IFERROR(__xludf.DUMMYFUNCTION("""COMPUTED_VALUE"""),"01291177000157")</f>
        <v>01291177000157</v>
      </c>
      <c r="E53" s="241" t="str">
        <f ca="1">IFERROR(__xludf.DUMMYFUNCTION("""COMPUTED_VALUE"""),"001")</f>
        <v>001</v>
      </c>
      <c r="F53" s="241" t="str">
        <f ca="1">IFERROR(__xludf.DUMMYFUNCTION("""COMPUTED_VALUE"""),"0638")</f>
        <v>0638</v>
      </c>
      <c r="G53" s="240" t="str">
        <f ca="1">IFERROR(__xludf.DUMMYFUNCTION("""COMPUTED_VALUE"""),"466093")</f>
        <v>466093</v>
      </c>
      <c r="H53" s="240" t="str">
        <f ca="1">IFERROR(__xludf.DUMMYFUNCTION("""COMPUTED_VALUE"""),"AEE")</f>
        <v>AEE</v>
      </c>
      <c r="I53" s="242">
        <f ca="1">IFERROR(__xludf.DUMMYFUNCTION("""COMPUTED_VALUE"""),714)</f>
        <v>714</v>
      </c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</row>
    <row r="54" spans="1:26" ht="21" customHeight="1">
      <c r="A54" s="240" t="str">
        <f ca="1">IFERROR(__xludf.DUMMYFUNCTION("""COMPUTED_VALUE"""),"Araguaina")</f>
        <v>Araguaina</v>
      </c>
      <c r="B54" s="240" t="str">
        <f ca="1">IFERROR(__xludf.DUMMYFUNCTION("""COMPUTED_VALUE"""),"Araguaina")</f>
        <v>Araguaina</v>
      </c>
      <c r="C54" s="240" t="str">
        <f ca="1">IFERROR(__xludf.DUMMYFUNCTION("""COMPUTED_VALUE"""),"A. APOIO ESCOLA EST. CAMPOS BRASIL")</f>
        <v>A. APOIO ESCOLA EST. CAMPOS BRASIL</v>
      </c>
      <c r="D54" s="241" t="str">
        <f ca="1">IFERROR(__xludf.DUMMYFUNCTION("""COMPUTED_VALUE"""),"01291177000157")</f>
        <v>01291177000157</v>
      </c>
      <c r="E54" s="241" t="str">
        <f ca="1">IFERROR(__xludf.DUMMYFUNCTION("""COMPUTED_VALUE"""),"001")</f>
        <v>001</v>
      </c>
      <c r="F54" s="241" t="str">
        <f ca="1">IFERROR(__xludf.DUMMYFUNCTION("""COMPUTED_VALUE"""),"0638")</f>
        <v>0638</v>
      </c>
      <c r="G54" s="240" t="str">
        <f ca="1">IFERROR(__xludf.DUMMYFUNCTION("""COMPUTED_VALUE"""),"466093")</f>
        <v>466093</v>
      </c>
      <c r="H54" s="240" t="str">
        <f ca="1">IFERROR(__xludf.DUMMYFUNCTION("""COMPUTED_VALUE"""),"ENS MEDIO PARCIAL")</f>
        <v>ENS MEDIO PARCIAL</v>
      </c>
      <c r="I54" s="242">
        <f ca="1">IFERROR(__xludf.DUMMYFUNCTION("""COMPUTED_VALUE"""),12789)</f>
        <v>12789</v>
      </c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</row>
    <row r="55" spans="1:26" ht="21" customHeight="1">
      <c r="A55" s="240" t="str">
        <f ca="1">IFERROR(__xludf.DUMMYFUNCTION("""COMPUTED_VALUE"""),"Araguaina")</f>
        <v>Araguaina</v>
      </c>
      <c r="B55" s="240" t="str">
        <f ca="1">IFERROR(__xludf.DUMMYFUNCTION("""COMPUTED_VALUE"""),"Araguaina")</f>
        <v>Araguaina</v>
      </c>
      <c r="C55" s="240" t="str">
        <f ca="1">IFERROR(__xludf.DUMMYFUNCTION("""COMPUTED_VALUE"""),"A.APOIO COL. ESTADUAL JORGE AMADO")</f>
        <v>A.APOIO COL. ESTADUAL JORGE AMADO</v>
      </c>
      <c r="D55" s="241" t="str">
        <f ca="1">IFERROR(__xludf.DUMMYFUNCTION("""COMPUTED_VALUE"""),"01291218000105")</f>
        <v>01291218000105</v>
      </c>
      <c r="E55" s="241" t="str">
        <f ca="1">IFERROR(__xludf.DUMMYFUNCTION("""COMPUTED_VALUE"""),"001")</f>
        <v>001</v>
      </c>
      <c r="F55" s="241" t="str">
        <f ca="1">IFERROR(__xludf.DUMMYFUNCTION("""COMPUTED_VALUE"""),"0638")</f>
        <v>0638</v>
      </c>
      <c r="G55" s="240" t="str">
        <f ca="1">IFERROR(__xludf.DUMMYFUNCTION("""COMPUTED_VALUE"""),"0467006")</f>
        <v>0467006</v>
      </c>
      <c r="H55" s="240" t="str">
        <f ca="1">IFERROR(__xludf.DUMMYFUNCTION("""COMPUTED_VALUE"""),"E.F. PARCIAL")</f>
        <v>E.F. PARCIAL</v>
      </c>
      <c r="I55" s="242">
        <f ca="1">IFERROR(__xludf.DUMMYFUNCTION("""COMPUTED_VALUE"""),4641)</f>
        <v>4641</v>
      </c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</row>
    <row r="56" spans="1:26" ht="21" customHeight="1">
      <c r="A56" s="240" t="str">
        <f ca="1">IFERROR(__xludf.DUMMYFUNCTION("""COMPUTED_VALUE"""),"Araguaina")</f>
        <v>Araguaina</v>
      </c>
      <c r="B56" s="240" t="str">
        <f ca="1">IFERROR(__xludf.DUMMYFUNCTION("""COMPUTED_VALUE"""),"Araguaina")</f>
        <v>Araguaina</v>
      </c>
      <c r="C56" s="240" t="str">
        <f ca="1">IFERROR(__xludf.DUMMYFUNCTION("""COMPUTED_VALUE"""),"A.APOIO COL. ESTADUAL JORGE AMADO")</f>
        <v>A.APOIO COL. ESTADUAL JORGE AMADO</v>
      </c>
      <c r="D56" s="241" t="str">
        <f ca="1">IFERROR(__xludf.DUMMYFUNCTION("""COMPUTED_VALUE"""),"01291218000105")</f>
        <v>01291218000105</v>
      </c>
      <c r="E56" s="241" t="str">
        <f ca="1">IFERROR(__xludf.DUMMYFUNCTION("""COMPUTED_VALUE"""),"001")</f>
        <v>001</v>
      </c>
      <c r="F56" s="241" t="str">
        <f ca="1">IFERROR(__xludf.DUMMYFUNCTION("""COMPUTED_VALUE"""),"0638")</f>
        <v>0638</v>
      </c>
      <c r="G56" s="240" t="str">
        <f ca="1">IFERROR(__xludf.DUMMYFUNCTION("""COMPUTED_VALUE"""),"0467006")</f>
        <v>0467006</v>
      </c>
      <c r="H56" s="240" t="str">
        <f ca="1">IFERROR(__xludf.DUMMYFUNCTION("""COMPUTED_VALUE"""),"AEE")</f>
        <v>AEE</v>
      </c>
      <c r="I56" s="242">
        <f ca="1">IFERROR(__xludf.DUMMYFUNCTION("""COMPUTED_VALUE"""),357)</f>
        <v>357</v>
      </c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21" customHeight="1">
      <c r="A57" s="240" t="str">
        <f ca="1">IFERROR(__xludf.DUMMYFUNCTION("""COMPUTED_VALUE"""),"Araguaina")</f>
        <v>Araguaina</v>
      </c>
      <c r="B57" s="240" t="str">
        <f ca="1">IFERROR(__xludf.DUMMYFUNCTION("""COMPUTED_VALUE"""),"Araguaina")</f>
        <v>Araguaina</v>
      </c>
      <c r="C57" s="240" t="str">
        <f ca="1">IFERROR(__xludf.DUMMYFUNCTION("""COMPUTED_VALUE"""),"A.APOIO COL. ESTADUAL JORGE AMADO")</f>
        <v>A.APOIO COL. ESTADUAL JORGE AMADO</v>
      </c>
      <c r="D57" s="241" t="str">
        <f ca="1">IFERROR(__xludf.DUMMYFUNCTION("""COMPUTED_VALUE"""),"01291218000105")</f>
        <v>01291218000105</v>
      </c>
      <c r="E57" s="241" t="str">
        <f ca="1">IFERROR(__xludf.DUMMYFUNCTION("""COMPUTED_VALUE"""),"001")</f>
        <v>001</v>
      </c>
      <c r="F57" s="241" t="str">
        <f ca="1">IFERROR(__xludf.DUMMYFUNCTION("""COMPUTED_VALUE"""),"0638")</f>
        <v>0638</v>
      </c>
      <c r="G57" s="240" t="str">
        <f ca="1">IFERROR(__xludf.DUMMYFUNCTION("""COMPUTED_VALUE"""),"0467006")</f>
        <v>0467006</v>
      </c>
      <c r="H57" s="240" t="str">
        <f ca="1">IFERROR(__xludf.DUMMYFUNCTION("""COMPUTED_VALUE"""),"ENS MEDIO PARCIAL")</f>
        <v>ENS MEDIO PARCIAL</v>
      </c>
      <c r="I57" s="242">
        <f ca="1">IFERROR(__xludf.DUMMYFUNCTION("""COMPUTED_VALUE"""),6279)</f>
        <v>6279</v>
      </c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21" customHeight="1">
      <c r="A58" s="240" t="str">
        <f ca="1">IFERROR(__xludf.DUMMYFUNCTION("""COMPUTED_VALUE"""),"Araguaina")</f>
        <v>Araguaina</v>
      </c>
      <c r="B58" s="240" t="str">
        <f ca="1">IFERROR(__xludf.DUMMYFUNCTION("""COMPUTED_VALUE"""),"Araguaina")</f>
        <v>Araguaina</v>
      </c>
      <c r="C58" s="240" t="str">
        <f ca="1">IFERROR(__xludf.DUMMYFUNCTION("""COMPUTED_VALUE"""),"ASS. COM. COL EST. SANCHA FERREIRA")</f>
        <v>ASS. COM. COL EST. SANCHA FERREIRA</v>
      </c>
      <c r="D58" s="241" t="str">
        <f ca="1">IFERROR(__xludf.DUMMYFUNCTION("""COMPUTED_VALUE"""),"01338702000142")</f>
        <v>01338702000142</v>
      </c>
      <c r="E58" s="241" t="str">
        <f ca="1">IFERROR(__xludf.DUMMYFUNCTION("""COMPUTED_VALUE"""),"001")</f>
        <v>001</v>
      </c>
      <c r="F58" s="241" t="str">
        <f ca="1">IFERROR(__xludf.DUMMYFUNCTION("""COMPUTED_VALUE"""),"0638")</f>
        <v>0638</v>
      </c>
      <c r="G58" s="240" t="str">
        <f ca="1">IFERROR(__xludf.DUMMYFUNCTION("""COMPUTED_VALUE"""),"0466913")</f>
        <v>0466913</v>
      </c>
      <c r="H58" s="240" t="str">
        <f ca="1">IFERROR(__xludf.DUMMYFUNCTION("""COMPUTED_VALUE"""),"AEE")</f>
        <v>AEE</v>
      </c>
      <c r="I58" s="242">
        <f ca="1">IFERROR(__xludf.DUMMYFUNCTION("""COMPUTED_VALUE"""),189)</f>
        <v>189</v>
      </c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21" customHeight="1">
      <c r="A59" s="240" t="str">
        <f ca="1">IFERROR(__xludf.DUMMYFUNCTION("""COMPUTED_VALUE"""),"Araguaina")</f>
        <v>Araguaina</v>
      </c>
      <c r="B59" s="240" t="str">
        <f ca="1">IFERROR(__xludf.DUMMYFUNCTION("""COMPUTED_VALUE"""),"Araguaina")</f>
        <v>Araguaina</v>
      </c>
      <c r="C59" s="240" t="str">
        <f ca="1">IFERROR(__xludf.DUMMYFUNCTION("""COMPUTED_VALUE"""),"A.A. ESC. E.FRANCISCO MAXIMO DE SOUZA")</f>
        <v>A.A. ESC. E.FRANCISCO MAXIMO DE SOUZA</v>
      </c>
      <c r="D59" s="241" t="str">
        <f ca="1">IFERROR(__xludf.DUMMYFUNCTION("""COMPUTED_VALUE"""),"01345127000105")</f>
        <v>01345127000105</v>
      </c>
      <c r="E59" s="241" t="str">
        <f ca="1">IFERROR(__xludf.DUMMYFUNCTION("""COMPUTED_VALUE"""),"001")</f>
        <v>001</v>
      </c>
      <c r="F59" s="241" t="str">
        <f ca="1">IFERROR(__xludf.DUMMYFUNCTION("""COMPUTED_VALUE"""),"0638")</f>
        <v>0638</v>
      </c>
      <c r="G59" s="240" t="str">
        <f ca="1">IFERROR(__xludf.DUMMYFUNCTION("""COMPUTED_VALUE"""),"0463167")</f>
        <v>0463167</v>
      </c>
      <c r="H59" s="240" t="str">
        <f ca="1">IFERROR(__xludf.DUMMYFUNCTION("""COMPUTED_VALUE"""),"E.F. PARCIAL")</f>
        <v>E.F. PARCIAL</v>
      </c>
      <c r="I59" s="242">
        <f ca="1">IFERROR(__xludf.DUMMYFUNCTION("""COMPUTED_VALUE"""),7245)</f>
        <v>7245</v>
      </c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21" customHeight="1">
      <c r="A60" s="240" t="str">
        <f ca="1">IFERROR(__xludf.DUMMYFUNCTION("""COMPUTED_VALUE"""),"Araguaina")</f>
        <v>Araguaina</v>
      </c>
      <c r="B60" s="240" t="str">
        <f ca="1">IFERROR(__xludf.DUMMYFUNCTION("""COMPUTED_VALUE"""),"Araguaina")</f>
        <v>Araguaina</v>
      </c>
      <c r="C60" s="240" t="str">
        <f ca="1">IFERROR(__xludf.DUMMYFUNCTION("""COMPUTED_VALUE"""),"A.A. ESC. E.FRANCISCO MAXIMO DE SOUZA")</f>
        <v>A.A. ESC. E.FRANCISCO MAXIMO DE SOUZA</v>
      </c>
      <c r="D60" s="241" t="str">
        <f ca="1">IFERROR(__xludf.DUMMYFUNCTION("""COMPUTED_VALUE"""),"01345127000105")</f>
        <v>01345127000105</v>
      </c>
      <c r="E60" s="241" t="str">
        <f ca="1">IFERROR(__xludf.DUMMYFUNCTION("""COMPUTED_VALUE"""),"001")</f>
        <v>001</v>
      </c>
      <c r="F60" s="241" t="str">
        <f ca="1">IFERROR(__xludf.DUMMYFUNCTION("""COMPUTED_VALUE"""),"0638")</f>
        <v>0638</v>
      </c>
      <c r="G60" s="240" t="str">
        <f ca="1">IFERROR(__xludf.DUMMYFUNCTION("""COMPUTED_VALUE"""),"0463167")</f>
        <v>0463167</v>
      </c>
      <c r="H60" s="240" t="str">
        <f ca="1">IFERROR(__xludf.DUMMYFUNCTION("""COMPUTED_VALUE"""),"AEE")</f>
        <v>AEE</v>
      </c>
      <c r="I60" s="242">
        <f ca="1">IFERROR(__xludf.DUMMYFUNCTION("""COMPUTED_VALUE"""),1029)</f>
        <v>1029</v>
      </c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</row>
    <row r="61" spans="1:26" ht="21" customHeight="1">
      <c r="A61" s="240" t="str">
        <f ca="1">IFERROR(__xludf.DUMMYFUNCTION("""COMPUTED_VALUE"""),"Araguaina")</f>
        <v>Araguaina</v>
      </c>
      <c r="B61" s="240" t="str">
        <f ca="1">IFERROR(__xludf.DUMMYFUNCTION("""COMPUTED_VALUE"""),"Araguaina")</f>
        <v>Araguaina</v>
      </c>
      <c r="C61" s="240" t="str">
        <f ca="1">IFERROR(__xludf.DUMMYFUNCTION("""COMPUTED_VALUE"""),"A.A. ESC. E.FRANCISCO MAXIMO DE SOUZA")</f>
        <v>A.A. ESC. E.FRANCISCO MAXIMO DE SOUZA</v>
      </c>
      <c r="D61" s="241" t="str">
        <f ca="1">IFERROR(__xludf.DUMMYFUNCTION("""COMPUTED_VALUE"""),"01345127000105")</f>
        <v>01345127000105</v>
      </c>
      <c r="E61" s="241" t="str">
        <f ca="1">IFERROR(__xludf.DUMMYFUNCTION("""COMPUTED_VALUE"""),"001")</f>
        <v>001</v>
      </c>
      <c r="F61" s="241" t="str">
        <f ca="1">IFERROR(__xludf.DUMMYFUNCTION("""COMPUTED_VALUE"""),"0638")</f>
        <v>0638</v>
      </c>
      <c r="G61" s="240" t="str">
        <f ca="1">IFERROR(__xludf.DUMMYFUNCTION("""COMPUTED_VALUE"""),"0463167")</f>
        <v>0463167</v>
      </c>
      <c r="H61" s="240" t="str">
        <f ca="1">IFERROR(__xludf.DUMMYFUNCTION("""COMPUTED_VALUE"""),"ENS MEDIO PARCIAL")</f>
        <v>ENS MEDIO PARCIAL</v>
      </c>
      <c r="I61" s="242">
        <f ca="1">IFERROR(__xludf.DUMMYFUNCTION("""COMPUTED_VALUE"""),6657)</f>
        <v>6657</v>
      </c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</row>
    <row r="62" spans="1:26" ht="21" customHeight="1">
      <c r="A62" s="240" t="str">
        <f ca="1">IFERROR(__xludf.DUMMYFUNCTION("""COMPUTED_VALUE"""),"Araguaina")</f>
        <v>Araguaina</v>
      </c>
      <c r="B62" s="240" t="str">
        <f ca="1">IFERROR(__xludf.DUMMYFUNCTION("""COMPUTED_VALUE"""),"Araguaina")</f>
        <v>Araguaina</v>
      </c>
      <c r="C62" s="240" t="str">
        <f ca="1">IFERROR(__xludf.DUMMYFUNCTION("""COMPUTED_VALUE"""),"A.A. ESC. E.FRANCISCO MAXIMO DE SOUZA")</f>
        <v>A.A. ESC. E.FRANCISCO MAXIMO DE SOUZA</v>
      </c>
      <c r="D62" s="241" t="str">
        <f ca="1">IFERROR(__xludf.DUMMYFUNCTION("""COMPUTED_VALUE"""),"01345127000105")</f>
        <v>01345127000105</v>
      </c>
      <c r="E62" s="241" t="str">
        <f ca="1">IFERROR(__xludf.DUMMYFUNCTION("""COMPUTED_VALUE"""),"001")</f>
        <v>001</v>
      </c>
      <c r="F62" s="241" t="str">
        <f ca="1">IFERROR(__xludf.DUMMYFUNCTION("""COMPUTED_VALUE"""),"0638")</f>
        <v>0638</v>
      </c>
      <c r="G62" s="240" t="str">
        <f ca="1">IFERROR(__xludf.DUMMYFUNCTION("""COMPUTED_VALUE"""),"0463167")</f>
        <v>0463167</v>
      </c>
      <c r="H62" s="240" t="str">
        <f ca="1">IFERROR(__xludf.DUMMYFUNCTION("""COMPUTED_VALUE"""),"EJA")</f>
        <v>EJA</v>
      </c>
      <c r="I62" s="242">
        <f ca="1">IFERROR(__xludf.DUMMYFUNCTION("""COMPUTED_VALUE"""),4326)</f>
        <v>4326</v>
      </c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</row>
    <row r="63" spans="1:26" ht="21" customHeight="1">
      <c r="A63" s="240" t="str">
        <f ca="1">IFERROR(__xludf.DUMMYFUNCTION("""COMPUTED_VALUE"""),"Araguaina")</f>
        <v>Araguaina</v>
      </c>
      <c r="B63" s="240" t="str">
        <f ca="1">IFERROR(__xludf.DUMMYFUNCTION("""COMPUTED_VALUE"""),"Araguaina")</f>
        <v>Araguaina</v>
      </c>
      <c r="C63" s="240" t="str">
        <f ca="1">IFERROR(__xludf.DUMMYFUNCTION("""COMPUTED_VALUE"""),"A.A. ESC. EST. MANOEL GOMES DA CUNHA")</f>
        <v>A.A. ESC. EST. MANOEL GOMES DA CUNHA</v>
      </c>
      <c r="D63" s="241" t="str">
        <f ca="1">IFERROR(__xludf.DUMMYFUNCTION("""COMPUTED_VALUE"""),"01443216000194")</f>
        <v>01443216000194</v>
      </c>
      <c r="E63" s="241" t="str">
        <f ca="1">IFERROR(__xludf.DUMMYFUNCTION("""COMPUTED_VALUE"""),"001")</f>
        <v>001</v>
      </c>
      <c r="F63" s="241" t="str">
        <f ca="1">IFERROR(__xludf.DUMMYFUNCTION("""COMPUTED_VALUE"""),"0638")</f>
        <v>0638</v>
      </c>
      <c r="G63" s="240" t="str">
        <f ca="1">IFERROR(__xludf.DUMMYFUNCTION("""COMPUTED_VALUE"""),"0468355")</f>
        <v>0468355</v>
      </c>
      <c r="H63" s="240" t="str">
        <f ca="1">IFERROR(__xludf.DUMMYFUNCTION("""COMPUTED_VALUE"""),"E.F. PARCIAL")</f>
        <v>E.F. PARCIAL</v>
      </c>
      <c r="I63" s="242">
        <f ca="1">IFERROR(__xludf.DUMMYFUNCTION("""COMPUTED_VALUE"""),3990)</f>
        <v>3990</v>
      </c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</row>
    <row r="64" spans="1:26" ht="21" customHeight="1">
      <c r="A64" s="240" t="str">
        <f ca="1">IFERROR(__xludf.DUMMYFUNCTION("""COMPUTED_VALUE"""),"Araguaina")</f>
        <v>Araguaina</v>
      </c>
      <c r="B64" s="240" t="str">
        <f ca="1">IFERROR(__xludf.DUMMYFUNCTION("""COMPUTED_VALUE"""),"Araguaina")</f>
        <v>Araguaina</v>
      </c>
      <c r="C64" s="240" t="str">
        <f ca="1">IFERROR(__xludf.DUMMYFUNCTION("""COMPUTED_VALUE"""),"A.A. ESC. EST. MANOEL GOMES DA CUNHA")</f>
        <v>A.A. ESC. EST. MANOEL GOMES DA CUNHA</v>
      </c>
      <c r="D64" s="241" t="str">
        <f ca="1">IFERROR(__xludf.DUMMYFUNCTION("""COMPUTED_VALUE"""),"01443216000194")</f>
        <v>01443216000194</v>
      </c>
      <c r="E64" s="241" t="str">
        <f ca="1">IFERROR(__xludf.DUMMYFUNCTION("""COMPUTED_VALUE"""),"001")</f>
        <v>001</v>
      </c>
      <c r="F64" s="241" t="str">
        <f ca="1">IFERROR(__xludf.DUMMYFUNCTION("""COMPUTED_VALUE"""),"0638")</f>
        <v>0638</v>
      </c>
      <c r="G64" s="240" t="str">
        <f ca="1">IFERROR(__xludf.DUMMYFUNCTION("""COMPUTED_VALUE"""),"0468355")</f>
        <v>0468355</v>
      </c>
      <c r="H64" s="240" t="str">
        <f ca="1">IFERROR(__xludf.DUMMYFUNCTION("""COMPUTED_VALUE"""),"AEE")</f>
        <v>AEE</v>
      </c>
      <c r="I64" s="242">
        <f ca="1">IFERROR(__xludf.DUMMYFUNCTION("""COMPUTED_VALUE"""),252)</f>
        <v>252</v>
      </c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</row>
    <row r="65" spans="1:26" ht="21" customHeight="1">
      <c r="A65" s="240" t="str">
        <f ca="1">IFERROR(__xludf.DUMMYFUNCTION("""COMPUTED_VALUE"""),"Araguaina")</f>
        <v>Araguaina</v>
      </c>
      <c r="B65" s="240" t="str">
        <f ca="1">IFERROR(__xludf.DUMMYFUNCTION("""COMPUTED_VALUE"""),"Araguaina")</f>
        <v>Araguaina</v>
      </c>
      <c r="C65" s="240" t="str">
        <f ca="1">IFERROR(__xludf.DUMMYFUNCTION("""COMPUTED_VALUE"""),"A.A. ESC. EST. MANOEL GOMES DA CUNHA")</f>
        <v>A.A. ESC. EST. MANOEL GOMES DA CUNHA</v>
      </c>
      <c r="D65" s="241" t="str">
        <f ca="1">IFERROR(__xludf.DUMMYFUNCTION("""COMPUTED_VALUE"""),"01443216000194")</f>
        <v>01443216000194</v>
      </c>
      <c r="E65" s="241" t="str">
        <f ca="1">IFERROR(__xludf.DUMMYFUNCTION("""COMPUTED_VALUE"""),"001")</f>
        <v>001</v>
      </c>
      <c r="F65" s="241" t="str">
        <f ca="1">IFERROR(__xludf.DUMMYFUNCTION("""COMPUTED_VALUE"""),"0638")</f>
        <v>0638</v>
      </c>
      <c r="G65" s="240" t="str">
        <f ca="1">IFERROR(__xludf.DUMMYFUNCTION("""COMPUTED_VALUE"""),"0468355")</f>
        <v>0468355</v>
      </c>
      <c r="H65" s="240" t="str">
        <f ca="1">IFERROR(__xludf.DUMMYFUNCTION("""COMPUTED_VALUE"""),"ENS MEDIO PARCIAL")</f>
        <v>ENS MEDIO PARCIAL</v>
      </c>
      <c r="I65" s="242">
        <f ca="1">IFERROR(__xludf.DUMMYFUNCTION("""COMPUTED_VALUE"""),3507)</f>
        <v>3507</v>
      </c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</row>
    <row r="66" spans="1:26" ht="21" customHeight="1">
      <c r="A66" s="240" t="str">
        <f ca="1">IFERROR(__xludf.DUMMYFUNCTION("""COMPUTED_VALUE"""),"Araguaina")</f>
        <v>Araguaina</v>
      </c>
      <c r="B66" s="240" t="str">
        <f ca="1">IFERROR(__xludf.DUMMYFUNCTION("""COMPUTED_VALUE"""),"Araguaina")</f>
        <v>Araguaina</v>
      </c>
      <c r="C66" s="240" t="str">
        <f ca="1">IFERROR(__xludf.DUMMYFUNCTION("""COMPUTED_VALUE"""),"ASSOC. APOIO COL. EST. CEM PAULO FREIRE")</f>
        <v>ASSOC. APOIO COL. EST. CEM PAULO FREIRE</v>
      </c>
      <c r="D66" s="241" t="str">
        <f ca="1">IFERROR(__xludf.DUMMYFUNCTION("""COMPUTED_VALUE"""),"01738420000132")</f>
        <v>01738420000132</v>
      </c>
      <c r="E66" s="241" t="str">
        <f ca="1">IFERROR(__xludf.DUMMYFUNCTION("""COMPUTED_VALUE"""),"001")</f>
        <v>001</v>
      </c>
      <c r="F66" s="241" t="str">
        <f ca="1">IFERROR(__xludf.DUMMYFUNCTION("""COMPUTED_VALUE"""),"0638")</f>
        <v>0638</v>
      </c>
      <c r="G66" s="240" t="str">
        <f ca="1">IFERROR(__xludf.DUMMYFUNCTION("""COMPUTED_VALUE"""),"551589")</f>
        <v>551589</v>
      </c>
      <c r="H66" s="240" t="str">
        <f ca="1">IFERROR(__xludf.DUMMYFUNCTION("""COMPUTED_VALUE"""),"AEE")</f>
        <v>AEE</v>
      </c>
      <c r="I66" s="242">
        <f ca="1">IFERROR(__xludf.DUMMYFUNCTION("""COMPUTED_VALUE"""),189)</f>
        <v>189</v>
      </c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</row>
    <row r="67" spans="1:26" ht="21" customHeight="1">
      <c r="A67" s="240" t="str">
        <f ca="1">IFERROR(__xludf.DUMMYFUNCTION("""COMPUTED_VALUE"""),"Araguaina")</f>
        <v>Araguaina</v>
      </c>
      <c r="B67" s="240" t="str">
        <f ca="1">IFERROR(__xludf.DUMMYFUNCTION("""COMPUTED_VALUE"""),"Araguaina")</f>
        <v>Araguaina</v>
      </c>
      <c r="C67" s="240" t="str">
        <f ca="1">IFERROR(__xludf.DUMMYFUNCTION("""COMPUTED_VALUE"""),"A. DE AP. DA E.PAROQUIAL LUIZ AUGUSTO")</f>
        <v>A. DE AP. DA E.PAROQUIAL LUIZ AUGUSTO</v>
      </c>
      <c r="D67" s="241" t="str">
        <f ca="1">IFERROR(__xludf.DUMMYFUNCTION("""COMPUTED_VALUE"""),"01912262000195")</f>
        <v>01912262000195</v>
      </c>
      <c r="E67" s="241" t="str">
        <f ca="1">IFERROR(__xludf.DUMMYFUNCTION("""COMPUTED_VALUE"""),"001")</f>
        <v>001</v>
      </c>
      <c r="F67" s="241" t="str">
        <f ca="1">IFERROR(__xludf.DUMMYFUNCTION("""COMPUTED_VALUE"""),"0638")</f>
        <v>0638</v>
      </c>
      <c r="G67" s="240" t="str">
        <f ca="1">IFERROR(__xludf.DUMMYFUNCTION("""COMPUTED_VALUE"""),"486000")</f>
        <v>486000</v>
      </c>
      <c r="H67" s="240" t="str">
        <f ca="1">IFERROR(__xludf.DUMMYFUNCTION("""COMPUTED_VALUE"""),"E.F. PARCIAL")</f>
        <v>E.F. PARCIAL</v>
      </c>
      <c r="I67" s="242">
        <f ca="1">IFERROR(__xludf.DUMMYFUNCTION("""COMPUTED_VALUE"""),16716)</f>
        <v>16716</v>
      </c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</row>
    <row r="68" spans="1:26" ht="21" customHeight="1">
      <c r="A68" s="240" t="str">
        <f ca="1">IFERROR(__xludf.DUMMYFUNCTION("""COMPUTED_VALUE"""),"Araguaina")</f>
        <v>Araguaina</v>
      </c>
      <c r="B68" s="240" t="str">
        <f ca="1">IFERROR(__xludf.DUMMYFUNCTION("""COMPUTED_VALUE"""),"Araguaina")</f>
        <v>Araguaina</v>
      </c>
      <c r="C68" s="240" t="str">
        <f ca="1">IFERROR(__xludf.DUMMYFUNCTION("""COMPUTED_VALUE"""),"A. DE AP. DA E.PAROQUIAL LUIZ AUGUSTO")</f>
        <v>A. DE AP. DA E.PAROQUIAL LUIZ AUGUSTO</v>
      </c>
      <c r="D68" s="241" t="str">
        <f ca="1">IFERROR(__xludf.DUMMYFUNCTION("""COMPUTED_VALUE"""),"01912262000195")</f>
        <v>01912262000195</v>
      </c>
      <c r="E68" s="241" t="str">
        <f ca="1">IFERROR(__xludf.DUMMYFUNCTION("""COMPUTED_VALUE"""),"001")</f>
        <v>001</v>
      </c>
      <c r="F68" s="241" t="str">
        <f ca="1">IFERROR(__xludf.DUMMYFUNCTION("""COMPUTED_VALUE"""),"0638")</f>
        <v>0638</v>
      </c>
      <c r="G68" s="240" t="str">
        <f ca="1">IFERROR(__xludf.DUMMYFUNCTION("""COMPUTED_VALUE"""),"486000")</f>
        <v>486000</v>
      </c>
      <c r="H68" s="240" t="str">
        <f ca="1">IFERROR(__xludf.DUMMYFUNCTION("""COMPUTED_VALUE"""),"AEE")</f>
        <v>AEE</v>
      </c>
      <c r="I68" s="242">
        <f ca="1">IFERROR(__xludf.DUMMYFUNCTION("""COMPUTED_VALUE"""),420)</f>
        <v>420</v>
      </c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</row>
    <row r="69" spans="1:26" ht="21" customHeight="1">
      <c r="A69" s="240" t="str">
        <f ca="1">IFERROR(__xludf.DUMMYFUNCTION("""COMPUTED_VALUE"""),"Araguaina")</f>
        <v>Araguaina</v>
      </c>
      <c r="B69" s="240" t="str">
        <f ca="1">IFERROR(__xludf.DUMMYFUNCTION("""COMPUTED_VALUE"""),"Araguaina")</f>
        <v>Araguaina</v>
      </c>
      <c r="C69" s="240" t="str">
        <f ca="1">IFERROR(__xludf.DUMMYFUNCTION("""COMPUTED_VALUE"""),"ASSOC. A.  DO COLÉGIO DA POLICIA MILITAR - UNIDADE III")</f>
        <v>ASSOC. A.  DO COLÉGIO DA POLICIA MILITAR - UNIDADE III</v>
      </c>
      <c r="D69" s="241" t="str">
        <f ca="1">IFERROR(__xludf.DUMMYFUNCTION("""COMPUTED_VALUE"""),"02480178000102")</f>
        <v>02480178000102</v>
      </c>
      <c r="E69" s="241" t="str">
        <f ca="1">IFERROR(__xludf.DUMMYFUNCTION("""COMPUTED_VALUE"""),"001")</f>
        <v>001</v>
      </c>
      <c r="F69" s="241" t="str">
        <f ca="1">IFERROR(__xludf.DUMMYFUNCTION("""COMPUTED_VALUE"""),"0638")</f>
        <v>0638</v>
      </c>
      <c r="G69" s="240" t="str">
        <f ca="1">IFERROR(__xludf.DUMMYFUNCTION("""COMPUTED_VALUE"""),"552291")</f>
        <v>552291</v>
      </c>
      <c r="H69" s="240" t="str">
        <f ca="1">IFERROR(__xludf.DUMMYFUNCTION("""COMPUTED_VALUE"""),"ENS MEDIO PARCIAL")</f>
        <v>ENS MEDIO PARCIAL</v>
      </c>
      <c r="I69" s="242">
        <f ca="1">IFERROR(__xludf.DUMMYFUNCTION("""COMPUTED_VALUE"""),17913)</f>
        <v>17913</v>
      </c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</row>
    <row r="70" spans="1:26" ht="21" customHeight="1">
      <c r="A70" s="240" t="str">
        <f ca="1">IFERROR(__xludf.DUMMYFUNCTION("""COMPUTED_VALUE"""),"Araguaina")</f>
        <v>Araguaina</v>
      </c>
      <c r="B70" s="240" t="str">
        <f ca="1">IFERROR(__xludf.DUMMYFUNCTION("""COMPUTED_VALUE"""),"Araguaina")</f>
        <v>Araguaina</v>
      </c>
      <c r="C70" s="240" t="str">
        <f ca="1">IFERROR(__xludf.DUMMYFUNCTION("""COMPUTED_VALUE"""),"A.A. DAS ESCOLAS ISOLADAS E REUNIDAS DA DRE ARAGUAINA")</f>
        <v>A.A. DAS ESCOLAS ISOLADAS E REUNIDAS DA DRE ARAGUAINA</v>
      </c>
      <c r="D70" s="241" t="str">
        <f ca="1">IFERROR(__xludf.DUMMYFUNCTION("""COMPUTED_VALUE"""),"02629601000193")</f>
        <v>02629601000193</v>
      </c>
      <c r="E70" s="241" t="str">
        <f ca="1">IFERROR(__xludf.DUMMYFUNCTION("""COMPUTED_VALUE"""),"001")</f>
        <v>001</v>
      </c>
      <c r="F70" s="241" t="str">
        <f ca="1">IFERROR(__xludf.DUMMYFUNCTION("""COMPUTED_VALUE"""),"0638")</f>
        <v>0638</v>
      </c>
      <c r="G70" s="240" t="str">
        <f ca="1">IFERROR(__xludf.DUMMYFUNCTION("""COMPUTED_VALUE"""),"352403")</f>
        <v>352403</v>
      </c>
      <c r="H70" s="240" t="str">
        <f ca="1">IFERROR(__xludf.DUMMYFUNCTION("""COMPUTED_VALUE"""),"INDIGENA PARCIAL")</f>
        <v>INDIGENA PARCIAL</v>
      </c>
      <c r="I70" s="242">
        <f ca="1">IFERROR(__xludf.DUMMYFUNCTION("""COMPUTED_VALUE"""),10458)</f>
        <v>10458</v>
      </c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</row>
    <row r="71" spans="1:26" ht="21" customHeight="1">
      <c r="A71" s="240" t="str">
        <f ca="1">IFERROR(__xludf.DUMMYFUNCTION("""COMPUTED_VALUE"""),"Araguaina")</f>
        <v>Araguaina</v>
      </c>
      <c r="B71" s="240" t="str">
        <f ca="1">IFERROR(__xludf.DUMMYFUNCTION("""COMPUTED_VALUE"""),"Araguaina")</f>
        <v>Araguaina</v>
      </c>
      <c r="C71" s="240" t="str">
        <f ca="1">IFERROR(__xludf.DUMMYFUNCTION("""COMPUTED_VALUE"""),"ASS. APOIO COL. EST. JARDIM PAULISTA")</f>
        <v>ASS. APOIO COL. EST. JARDIM PAULISTA</v>
      </c>
      <c r="D71" s="241" t="str">
        <f ca="1">IFERROR(__xludf.DUMMYFUNCTION("""COMPUTED_VALUE"""),"05502542000186")</f>
        <v>05502542000186</v>
      </c>
      <c r="E71" s="241" t="str">
        <f ca="1">IFERROR(__xludf.DUMMYFUNCTION("""COMPUTED_VALUE"""),"001")</f>
        <v>001</v>
      </c>
      <c r="F71" s="241" t="str">
        <f ca="1">IFERROR(__xludf.DUMMYFUNCTION("""COMPUTED_VALUE"""),"0638")</f>
        <v>0638</v>
      </c>
      <c r="G71" s="240" t="str">
        <f ca="1">IFERROR(__xludf.DUMMYFUNCTION("""COMPUTED_VALUE"""),"243876")</f>
        <v>243876</v>
      </c>
      <c r="H71" s="240" t="str">
        <f ca="1">IFERROR(__xludf.DUMMYFUNCTION("""COMPUTED_VALUE"""),"E.F. PARCIAL")</f>
        <v>E.F. PARCIAL</v>
      </c>
      <c r="I71" s="242">
        <f ca="1">IFERROR(__xludf.DUMMYFUNCTION("""COMPUTED_VALUE"""),9114)</f>
        <v>9114</v>
      </c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</row>
    <row r="72" spans="1:26" ht="21" customHeight="1">
      <c r="A72" s="240" t="str">
        <f ca="1">IFERROR(__xludf.DUMMYFUNCTION("""COMPUTED_VALUE"""),"Araguaina")</f>
        <v>Araguaina</v>
      </c>
      <c r="B72" s="240" t="str">
        <f ca="1">IFERROR(__xludf.DUMMYFUNCTION("""COMPUTED_VALUE"""),"Araguaina")</f>
        <v>Araguaina</v>
      </c>
      <c r="C72" s="240" t="str">
        <f ca="1">IFERROR(__xludf.DUMMYFUNCTION("""COMPUTED_VALUE"""),"ASS. APOIO COL. EST. JARDIM PAULISTA")</f>
        <v>ASS. APOIO COL. EST. JARDIM PAULISTA</v>
      </c>
      <c r="D72" s="241" t="str">
        <f ca="1">IFERROR(__xludf.DUMMYFUNCTION("""COMPUTED_VALUE"""),"05502542000186")</f>
        <v>05502542000186</v>
      </c>
      <c r="E72" s="241" t="str">
        <f ca="1">IFERROR(__xludf.DUMMYFUNCTION("""COMPUTED_VALUE"""),"001")</f>
        <v>001</v>
      </c>
      <c r="F72" s="241" t="str">
        <f ca="1">IFERROR(__xludf.DUMMYFUNCTION("""COMPUTED_VALUE"""),"0638")</f>
        <v>0638</v>
      </c>
      <c r="G72" s="240" t="str">
        <f ca="1">IFERROR(__xludf.DUMMYFUNCTION("""COMPUTED_VALUE"""),"243876")</f>
        <v>243876</v>
      </c>
      <c r="H72" s="240" t="str">
        <f ca="1">IFERROR(__xludf.DUMMYFUNCTION("""COMPUTED_VALUE"""),"AEE")</f>
        <v>AEE</v>
      </c>
      <c r="I72" s="242">
        <f ca="1">IFERROR(__xludf.DUMMYFUNCTION("""COMPUTED_VALUE"""),315)</f>
        <v>315</v>
      </c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</row>
    <row r="73" spans="1:26" ht="21" customHeight="1">
      <c r="A73" s="240" t="str">
        <f ca="1">IFERROR(__xludf.DUMMYFUNCTION("""COMPUTED_VALUE"""),"Araguaina")</f>
        <v>Araguaina</v>
      </c>
      <c r="B73" s="240" t="str">
        <f ca="1">IFERROR(__xludf.DUMMYFUNCTION("""COMPUTED_VALUE"""),"Araguaina")</f>
        <v>Araguaina</v>
      </c>
      <c r="C73" s="240" t="str">
        <f ca="1">IFERROR(__xludf.DUMMYFUNCTION("""COMPUTED_VALUE"""),"ASS. APOIO COL. EST. JARDIM PAULISTA")</f>
        <v>ASS. APOIO COL. EST. JARDIM PAULISTA</v>
      </c>
      <c r="D73" s="241" t="str">
        <f ca="1">IFERROR(__xludf.DUMMYFUNCTION("""COMPUTED_VALUE"""),"05502542000186")</f>
        <v>05502542000186</v>
      </c>
      <c r="E73" s="241" t="str">
        <f ca="1">IFERROR(__xludf.DUMMYFUNCTION("""COMPUTED_VALUE"""),"001")</f>
        <v>001</v>
      </c>
      <c r="F73" s="241" t="str">
        <f ca="1">IFERROR(__xludf.DUMMYFUNCTION("""COMPUTED_VALUE"""),"0638")</f>
        <v>0638</v>
      </c>
      <c r="G73" s="240" t="str">
        <f ca="1">IFERROR(__xludf.DUMMYFUNCTION("""COMPUTED_VALUE"""),"243876")</f>
        <v>243876</v>
      </c>
      <c r="H73" s="240" t="str">
        <f ca="1">IFERROR(__xludf.DUMMYFUNCTION("""COMPUTED_VALUE"""),"ENS MEDIO PARCIAL")</f>
        <v>ENS MEDIO PARCIAL</v>
      </c>
      <c r="I73" s="242">
        <f ca="1">IFERROR(__xludf.DUMMYFUNCTION("""COMPUTED_VALUE"""),10017)</f>
        <v>10017</v>
      </c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</row>
    <row r="74" spans="1:26" ht="21" customHeight="1">
      <c r="A74" s="240" t="str">
        <f ca="1">IFERROR(__xludf.DUMMYFUNCTION("""COMPUTED_VALUE"""),"Araguaina")</f>
        <v>Araguaina</v>
      </c>
      <c r="B74" s="240" t="str">
        <f ca="1">IFERROR(__xludf.DUMMYFUNCTION("""COMPUTED_VALUE"""),"Araguaina")</f>
        <v>Araguaina</v>
      </c>
      <c r="C74" s="240" t="str">
        <f ca="1">IFERROR(__xludf.DUMMYFUNCTION("""COMPUTED_VALUE"""),"ASSOCIAÇÃO DE APOIO DA ESCOLA ESPECIAL RAIO DE LUZ APAE ARAGUAÍNA")</f>
        <v>ASSOCIAÇÃO DE APOIO DA ESCOLA ESPECIAL RAIO DE LUZ APAE ARAGUAÍNA</v>
      </c>
      <c r="D74" s="241" t="str">
        <f ca="1">IFERROR(__xludf.DUMMYFUNCTION("""COMPUTED_VALUE"""),"07953043000130")</f>
        <v>07953043000130</v>
      </c>
      <c r="E74" s="241" t="str">
        <f ca="1">IFERROR(__xludf.DUMMYFUNCTION("""COMPUTED_VALUE"""),"001")</f>
        <v>001</v>
      </c>
      <c r="F74" s="241" t="str">
        <f ca="1">IFERROR(__xludf.DUMMYFUNCTION("""COMPUTED_VALUE"""),"0638")</f>
        <v>0638</v>
      </c>
      <c r="G74" s="240" t="str">
        <f ca="1">IFERROR(__xludf.DUMMYFUNCTION("""COMPUTED_VALUE"""),"379921")</f>
        <v>379921</v>
      </c>
      <c r="H74" s="240" t="str">
        <f ca="1">IFERROR(__xludf.DUMMYFUNCTION("""COMPUTED_VALUE"""),"PRÉ-ESCOLA")</f>
        <v>PRÉ-ESCOLA</v>
      </c>
      <c r="I74" s="242">
        <f ca="1">IFERROR(__xludf.DUMMYFUNCTION("""COMPUTED_VALUE"""),378)</f>
        <v>378</v>
      </c>
      <c r="J74" s="235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</row>
    <row r="75" spans="1:26" ht="21" customHeight="1">
      <c r="A75" s="240" t="str">
        <f ca="1">IFERROR(__xludf.DUMMYFUNCTION("""COMPUTED_VALUE"""),"Araguaina")</f>
        <v>Araguaina</v>
      </c>
      <c r="B75" s="240" t="str">
        <f ca="1">IFERROR(__xludf.DUMMYFUNCTION("""COMPUTED_VALUE"""),"Araguaina")</f>
        <v>Araguaina</v>
      </c>
      <c r="C75" s="240" t="str">
        <f ca="1">IFERROR(__xludf.DUMMYFUNCTION("""COMPUTED_VALUE"""),"ASSOCIAÇÃO DE APOIO DA ESCOLA ESPECIAL RAIO DE LUZ APAE ARAGUAÍNA")</f>
        <v>ASSOCIAÇÃO DE APOIO DA ESCOLA ESPECIAL RAIO DE LUZ APAE ARAGUAÍNA</v>
      </c>
      <c r="D75" s="241" t="str">
        <f ca="1">IFERROR(__xludf.DUMMYFUNCTION("""COMPUTED_VALUE"""),"07953043000130")</f>
        <v>07953043000130</v>
      </c>
      <c r="E75" s="241" t="str">
        <f ca="1">IFERROR(__xludf.DUMMYFUNCTION("""COMPUTED_VALUE"""),"001")</f>
        <v>001</v>
      </c>
      <c r="F75" s="241" t="str">
        <f ca="1">IFERROR(__xludf.DUMMYFUNCTION("""COMPUTED_VALUE"""),"0638")</f>
        <v>0638</v>
      </c>
      <c r="G75" s="240" t="str">
        <f ca="1">IFERROR(__xludf.DUMMYFUNCTION("""COMPUTED_VALUE"""),"379921")</f>
        <v>379921</v>
      </c>
      <c r="H75" s="240" t="str">
        <f ca="1">IFERROR(__xludf.DUMMYFUNCTION("""COMPUTED_VALUE"""),"E.F. PARCIAL")</f>
        <v>E.F. PARCIAL</v>
      </c>
      <c r="I75" s="242">
        <f ca="1">IFERROR(__xludf.DUMMYFUNCTION("""COMPUTED_VALUE"""),483)</f>
        <v>483</v>
      </c>
      <c r="J75" s="235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</row>
    <row r="76" spans="1:26" ht="21" customHeight="1">
      <c r="A76" s="240" t="str">
        <f ca="1">IFERROR(__xludf.DUMMYFUNCTION("""COMPUTED_VALUE"""),"Araguaina")</f>
        <v>Araguaina</v>
      </c>
      <c r="B76" s="240" t="str">
        <f ca="1">IFERROR(__xludf.DUMMYFUNCTION("""COMPUTED_VALUE"""),"Araguaina")</f>
        <v>Araguaina</v>
      </c>
      <c r="C76" s="240" t="str">
        <f ca="1">IFERROR(__xludf.DUMMYFUNCTION("""COMPUTED_VALUE"""),"ASSOCIAÇÃO DE APOIO DA ESCOLA ESPECIAL RAIO DE LUZ APAE ARAGUAÍNA")</f>
        <v>ASSOCIAÇÃO DE APOIO DA ESCOLA ESPECIAL RAIO DE LUZ APAE ARAGUAÍNA</v>
      </c>
      <c r="D76" s="241" t="str">
        <f ca="1">IFERROR(__xludf.DUMMYFUNCTION("""COMPUTED_VALUE"""),"07953043000130")</f>
        <v>07953043000130</v>
      </c>
      <c r="E76" s="241" t="str">
        <f ca="1">IFERROR(__xludf.DUMMYFUNCTION("""COMPUTED_VALUE"""),"001")</f>
        <v>001</v>
      </c>
      <c r="F76" s="241" t="str">
        <f ca="1">IFERROR(__xludf.DUMMYFUNCTION("""COMPUTED_VALUE"""),"0638")</f>
        <v>0638</v>
      </c>
      <c r="G76" s="240" t="str">
        <f ca="1">IFERROR(__xludf.DUMMYFUNCTION("""COMPUTED_VALUE"""),"379921")</f>
        <v>379921</v>
      </c>
      <c r="H76" s="240" t="str">
        <f ca="1">IFERROR(__xludf.DUMMYFUNCTION("""COMPUTED_VALUE"""),"AEE")</f>
        <v>AEE</v>
      </c>
      <c r="I76" s="242">
        <f ca="1">IFERROR(__xludf.DUMMYFUNCTION("""COMPUTED_VALUE"""),4515)</f>
        <v>4515</v>
      </c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</row>
    <row r="77" spans="1:26" ht="21" customHeight="1">
      <c r="A77" s="240" t="str">
        <f ca="1">IFERROR(__xludf.DUMMYFUNCTION("""COMPUTED_VALUE"""),"Araguaina")</f>
        <v>Araguaina</v>
      </c>
      <c r="B77" s="240" t="str">
        <f ca="1">IFERROR(__xludf.DUMMYFUNCTION("""COMPUTED_VALUE"""),"Araguaina")</f>
        <v>Araguaina</v>
      </c>
      <c r="C77" s="240" t="str">
        <f ca="1">IFERROR(__xludf.DUMMYFUNCTION("""COMPUTED_VALUE"""),"ASSOCIAÇÃO DE APOIO DA ESCOLA ESPECIAL RAIO DE LUZ APAE ARAGUAÍNA")</f>
        <v>ASSOCIAÇÃO DE APOIO DA ESCOLA ESPECIAL RAIO DE LUZ APAE ARAGUAÍNA</v>
      </c>
      <c r="D77" s="241" t="str">
        <f ca="1">IFERROR(__xludf.DUMMYFUNCTION("""COMPUTED_VALUE"""),"07953043000130")</f>
        <v>07953043000130</v>
      </c>
      <c r="E77" s="241" t="str">
        <f ca="1">IFERROR(__xludf.DUMMYFUNCTION("""COMPUTED_VALUE"""),"001")</f>
        <v>001</v>
      </c>
      <c r="F77" s="241" t="str">
        <f ca="1">IFERROR(__xludf.DUMMYFUNCTION("""COMPUTED_VALUE"""),"0638")</f>
        <v>0638</v>
      </c>
      <c r="G77" s="240" t="str">
        <f ca="1">IFERROR(__xludf.DUMMYFUNCTION("""COMPUTED_VALUE"""),"379921")</f>
        <v>379921</v>
      </c>
      <c r="H77" s="240" t="str">
        <f ca="1">IFERROR(__xludf.DUMMYFUNCTION("""COMPUTED_VALUE"""),"EJA")</f>
        <v>EJA</v>
      </c>
      <c r="I77" s="242">
        <f ca="1">IFERROR(__xludf.DUMMYFUNCTION("""COMPUTED_VALUE"""),3654)</f>
        <v>3654</v>
      </c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</row>
    <row r="78" spans="1:26" ht="21" customHeight="1">
      <c r="A78" s="240" t="str">
        <f ca="1">IFERROR(__xludf.DUMMYFUNCTION("""COMPUTED_VALUE"""),"Araguaina")</f>
        <v>Araguaina</v>
      </c>
      <c r="B78" s="240" t="str">
        <f ca="1">IFERROR(__xludf.DUMMYFUNCTION("""COMPUTED_VALUE"""),"Araguaina")</f>
        <v>Araguaina</v>
      </c>
      <c r="C78" s="240" t="str">
        <f ca="1">IFERROR(__xludf.DUMMYFUNCTION("""COMPUTED_VALUE"""),"A.A. ESC. EST. DE ARAGUAINA / PROF. JOÃO ALVES BATISTA")</f>
        <v>A.A. ESC. EST. DE ARAGUAINA / PROF. JOÃO ALVES BATISTA</v>
      </c>
      <c r="D78" s="241" t="str">
        <f ca="1">IFERROR(__xludf.DUMMYFUNCTION("""COMPUTED_VALUE"""),"25062332000121")</f>
        <v>25062332000121</v>
      </c>
      <c r="E78" s="241" t="str">
        <f ca="1">IFERROR(__xludf.DUMMYFUNCTION("""COMPUTED_VALUE"""),"001")</f>
        <v>001</v>
      </c>
      <c r="F78" s="241" t="str">
        <f ca="1">IFERROR(__xludf.DUMMYFUNCTION("""COMPUTED_VALUE"""),"0638")</f>
        <v>0638</v>
      </c>
      <c r="G78" s="240" t="str">
        <f ca="1">IFERROR(__xludf.DUMMYFUNCTION("""COMPUTED_VALUE"""),"463116")</f>
        <v>463116</v>
      </c>
      <c r="H78" s="240" t="str">
        <f ca="1">IFERROR(__xludf.DUMMYFUNCTION("""COMPUTED_VALUE"""),"E.F. PARCIAL")</f>
        <v>E.F. PARCIAL</v>
      </c>
      <c r="I78" s="242">
        <f ca="1">IFERROR(__xludf.DUMMYFUNCTION("""COMPUTED_VALUE"""),6300)</f>
        <v>6300</v>
      </c>
      <c r="J78" s="235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</row>
    <row r="79" spans="1:26" ht="21" customHeight="1">
      <c r="A79" s="240" t="str">
        <f ca="1">IFERROR(__xludf.DUMMYFUNCTION("""COMPUTED_VALUE"""),"Araguaina")</f>
        <v>Araguaina</v>
      </c>
      <c r="B79" s="240" t="str">
        <f ca="1">IFERROR(__xludf.DUMMYFUNCTION("""COMPUTED_VALUE"""),"Araguaina")</f>
        <v>Araguaina</v>
      </c>
      <c r="C79" s="240" t="str">
        <f ca="1">IFERROR(__xludf.DUMMYFUNCTION("""COMPUTED_VALUE"""),"A.A. ESC. EST. DE ARAGUAINA / PROF. JOÃO ALVES BATISTA")</f>
        <v>A.A. ESC. EST. DE ARAGUAINA / PROF. JOÃO ALVES BATISTA</v>
      </c>
      <c r="D79" s="241" t="str">
        <f ca="1">IFERROR(__xludf.DUMMYFUNCTION("""COMPUTED_VALUE"""),"25062332000121")</f>
        <v>25062332000121</v>
      </c>
      <c r="E79" s="241" t="str">
        <f ca="1">IFERROR(__xludf.DUMMYFUNCTION("""COMPUTED_VALUE"""),"001")</f>
        <v>001</v>
      </c>
      <c r="F79" s="241" t="str">
        <f ca="1">IFERROR(__xludf.DUMMYFUNCTION("""COMPUTED_VALUE"""),"0638")</f>
        <v>0638</v>
      </c>
      <c r="G79" s="240" t="str">
        <f ca="1">IFERROR(__xludf.DUMMYFUNCTION("""COMPUTED_VALUE"""),"463116")</f>
        <v>463116</v>
      </c>
      <c r="H79" s="240" t="str">
        <f ca="1">IFERROR(__xludf.DUMMYFUNCTION("""COMPUTED_VALUE"""),"AEE")</f>
        <v>AEE</v>
      </c>
      <c r="I79" s="242">
        <f ca="1">IFERROR(__xludf.DUMMYFUNCTION("""COMPUTED_VALUE"""),84)</f>
        <v>84</v>
      </c>
      <c r="J79" s="235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</row>
    <row r="80" spans="1:26" ht="21" customHeight="1">
      <c r="A80" s="240" t="str">
        <f ca="1">IFERROR(__xludf.DUMMYFUNCTION("""COMPUTED_VALUE"""),"Araguaina")</f>
        <v>Araguaina</v>
      </c>
      <c r="B80" s="240" t="str">
        <f ca="1">IFERROR(__xludf.DUMMYFUNCTION("""COMPUTED_VALUE"""),"Araguaina")</f>
        <v>Araguaina</v>
      </c>
      <c r="C80" s="240" t="str">
        <f ca="1">IFERROR(__xludf.DUMMYFUNCTION("""COMPUTED_VALUE"""),"A.A.ESCOLA TEMPO INTEGRAL JARDENIR JORGE FREDERICO")</f>
        <v>A.A.ESCOLA TEMPO INTEGRAL JARDENIR JORGE FREDERICO</v>
      </c>
      <c r="D80" s="241" t="str">
        <f ca="1">IFERROR(__xludf.DUMMYFUNCTION("""COMPUTED_VALUE"""),"43361835000180")</f>
        <v>43361835000180</v>
      </c>
      <c r="E80" s="241" t="str">
        <f ca="1">IFERROR(__xludf.DUMMYFUNCTION("""COMPUTED_VALUE"""),"001")</f>
        <v>001</v>
      </c>
      <c r="F80" s="241" t="str">
        <f ca="1">IFERROR(__xludf.DUMMYFUNCTION("""COMPUTED_VALUE"""),"4348")</f>
        <v>4348</v>
      </c>
      <c r="G80" s="240" t="str">
        <f ca="1">IFERROR(__xludf.DUMMYFUNCTION("""COMPUTED_VALUE"""),"434795")</f>
        <v>434795</v>
      </c>
      <c r="H80" s="240" t="str">
        <f ca="1">IFERROR(__xludf.DUMMYFUNCTION("""COMPUTED_VALUE"""),"AEE")</f>
        <v>AEE</v>
      </c>
      <c r="I80" s="242">
        <f ca="1">IFERROR(__xludf.DUMMYFUNCTION("""COMPUTED_VALUE"""),294)</f>
        <v>294</v>
      </c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</row>
    <row r="81" spans="1:26" ht="21" customHeight="1">
      <c r="A81" s="240" t="str">
        <f ca="1">IFERROR(__xludf.DUMMYFUNCTION("""COMPUTED_VALUE"""),"Araguaina")</f>
        <v>Araguaina</v>
      </c>
      <c r="B81" s="240" t="str">
        <f ca="1">IFERROR(__xludf.DUMMYFUNCTION("""COMPUTED_VALUE"""),"Araguana")</f>
        <v>Araguana</v>
      </c>
      <c r="C81" s="240" t="str">
        <f ca="1">IFERROR(__xludf.DUMMYFUNCTION("""COMPUTED_VALUE"""),"A.A. ESC. EST. SAO PEDRO")</f>
        <v>A.A. ESC. EST. SAO PEDRO</v>
      </c>
      <c r="D81" s="241" t="str">
        <f ca="1">IFERROR(__xludf.DUMMYFUNCTION("""COMPUTED_VALUE"""),"01230353000140")</f>
        <v>01230353000140</v>
      </c>
      <c r="E81" s="241" t="str">
        <f ca="1">IFERROR(__xludf.DUMMYFUNCTION("""COMPUTED_VALUE"""),"001")</f>
        <v>001</v>
      </c>
      <c r="F81" s="241" t="str">
        <f ca="1">IFERROR(__xludf.DUMMYFUNCTION("""COMPUTED_VALUE"""),"0638")</f>
        <v>0638</v>
      </c>
      <c r="G81" s="240" t="str">
        <f ca="1">IFERROR(__xludf.DUMMYFUNCTION("""COMPUTED_VALUE"""),"73903")</f>
        <v>73903</v>
      </c>
      <c r="H81" s="240" t="str">
        <f ca="1">IFERROR(__xludf.DUMMYFUNCTION("""COMPUTED_VALUE"""),"E.F. PARCIAL")</f>
        <v>E.F. PARCIAL</v>
      </c>
      <c r="I81" s="242">
        <f ca="1">IFERROR(__xludf.DUMMYFUNCTION("""COMPUTED_VALUE"""),1512)</f>
        <v>1512</v>
      </c>
      <c r="J81" s="235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</row>
    <row r="82" spans="1:26" ht="21" customHeight="1">
      <c r="A82" s="240" t="str">
        <f ca="1">IFERROR(__xludf.DUMMYFUNCTION("""COMPUTED_VALUE"""),"Araguaina")</f>
        <v>Araguaina</v>
      </c>
      <c r="B82" s="240" t="str">
        <f ca="1">IFERROR(__xludf.DUMMYFUNCTION("""COMPUTED_VALUE"""),"Araguana")</f>
        <v>Araguana</v>
      </c>
      <c r="C82" s="240" t="str">
        <f ca="1">IFERROR(__xludf.DUMMYFUNCTION("""COMPUTED_VALUE"""),"A.A. ESC. EST. SAO PEDRO")</f>
        <v>A.A. ESC. EST. SAO PEDRO</v>
      </c>
      <c r="D82" s="241" t="str">
        <f ca="1">IFERROR(__xludf.DUMMYFUNCTION("""COMPUTED_VALUE"""),"01230353000140")</f>
        <v>01230353000140</v>
      </c>
      <c r="E82" s="241" t="str">
        <f ca="1">IFERROR(__xludf.DUMMYFUNCTION("""COMPUTED_VALUE"""),"001")</f>
        <v>001</v>
      </c>
      <c r="F82" s="241" t="str">
        <f ca="1">IFERROR(__xludf.DUMMYFUNCTION("""COMPUTED_VALUE"""),"0638")</f>
        <v>0638</v>
      </c>
      <c r="G82" s="240" t="str">
        <f ca="1">IFERROR(__xludf.DUMMYFUNCTION("""COMPUTED_VALUE"""),"73903")</f>
        <v>73903</v>
      </c>
      <c r="H82" s="240" t="str">
        <f ca="1">IFERROR(__xludf.DUMMYFUNCTION("""COMPUTED_VALUE"""),"ENS MEDIO PARCIAL")</f>
        <v>ENS MEDIO PARCIAL</v>
      </c>
      <c r="I82" s="242">
        <f ca="1">IFERROR(__xludf.DUMMYFUNCTION("""COMPUTED_VALUE"""),1281)</f>
        <v>1281</v>
      </c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</row>
    <row r="83" spans="1:26" ht="21" customHeight="1">
      <c r="A83" s="240" t="str">
        <f ca="1">IFERROR(__xludf.DUMMYFUNCTION("""COMPUTED_VALUE"""),"Araguaina")</f>
        <v>Araguaina</v>
      </c>
      <c r="B83" s="240" t="str">
        <f ca="1">IFERROR(__xludf.DUMMYFUNCTION("""COMPUTED_VALUE"""),"Araguana")</f>
        <v>Araguana</v>
      </c>
      <c r="C83" s="240" t="str">
        <f ca="1">IFERROR(__xludf.DUMMYFUNCTION("""COMPUTED_VALUE"""),"ASS. APOIO ESC. EST. MACHADO DE ASSIS")</f>
        <v>ASS. APOIO ESC. EST. MACHADO DE ASSIS</v>
      </c>
      <c r="D83" s="241" t="str">
        <f ca="1">IFERROR(__xludf.DUMMYFUNCTION("""COMPUTED_VALUE"""),"01243663000108")</f>
        <v>01243663000108</v>
      </c>
      <c r="E83" s="241" t="str">
        <f ca="1">IFERROR(__xludf.DUMMYFUNCTION("""COMPUTED_VALUE"""),"001")</f>
        <v>001</v>
      </c>
      <c r="F83" s="241" t="str">
        <f ca="1">IFERROR(__xludf.DUMMYFUNCTION("""COMPUTED_VALUE"""),"3773")</f>
        <v>3773</v>
      </c>
      <c r="G83" s="240" t="str">
        <f ca="1">IFERROR(__xludf.DUMMYFUNCTION("""COMPUTED_VALUE"""),"322091")</f>
        <v>322091</v>
      </c>
      <c r="H83" s="240" t="str">
        <f ca="1">IFERROR(__xludf.DUMMYFUNCTION("""COMPUTED_VALUE"""),"E.F. PARCIAL")</f>
        <v>E.F. PARCIAL</v>
      </c>
      <c r="I83" s="242">
        <f ca="1">IFERROR(__xludf.DUMMYFUNCTION("""COMPUTED_VALUE"""),4578)</f>
        <v>4578</v>
      </c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</row>
    <row r="84" spans="1:26" ht="21" customHeight="1">
      <c r="A84" s="240" t="str">
        <f ca="1">IFERROR(__xludf.DUMMYFUNCTION("""COMPUTED_VALUE"""),"Araguaina")</f>
        <v>Araguaina</v>
      </c>
      <c r="B84" s="240" t="str">
        <f ca="1">IFERROR(__xludf.DUMMYFUNCTION("""COMPUTED_VALUE"""),"Araguana")</f>
        <v>Araguana</v>
      </c>
      <c r="C84" s="240" t="str">
        <f ca="1">IFERROR(__xludf.DUMMYFUNCTION("""COMPUTED_VALUE"""),"ASS. APOIO ESC. EST. MACHADO DE ASSIS")</f>
        <v>ASS. APOIO ESC. EST. MACHADO DE ASSIS</v>
      </c>
      <c r="D84" s="241" t="str">
        <f ca="1">IFERROR(__xludf.DUMMYFUNCTION("""COMPUTED_VALUE"""),"01243663000108")</f>
        <v>01243663000108</v>
      </c>
      <c r="E84" s="241" t="str">
        <f ca="1">IFERROR(__xludf.DUMMYFUNCTION("""COMPUTED_VALUE"""),"001")</f>
        <v>001</v>
      </c>
      <c r="F84" s="241" t="str">
        <f ca="1">IFERROR(__xludf.DUMMYFUNCTION("""COMPUTED_VALUE"""),"3773")</f>
        <v>3773</v>
      </c>
      <c r="G84" s="240" t="str">
        <f ca="1">IFERROR(__xludf.DUMMYFUNCTION("""COMPUTED_VALUE"""),"322091")</f>
        <v>322091</v>
      </c>
      <c r="H84" s="240" t="str">
        <f ca="1">IFERROR(__xludf.DUMMYFUNCTION("""COMPUTED_VALUE"""),"AEE")</f>
        <v>AEE</v>
      </c>
      <c r="I84" s="242">
        <f ca="1">IFERROR(__xludf.DUMMYFUNCTION("""COMPUTED_VALUE"""),168)</f>
        <v>168</v>
      </c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</row>
    <row r="85" spans="1:26" ht="21" customHeight="1">
      <c r="A85" s="240" t="str">
        <f ca="1">IFERROR(__xludf.DUMMYFUNCTION("""COMPUTED_VALUE"""),"Araguaina")</f>
        <v>Araguaina</v>
      </c>
      <c r="B85" s="240" t="str">
        <f ca="1">IFERROR(__xludf.DUMMYFUNCTION("""COMPUTED_VALUE"""),"Araguana")</f>
        <v>Araguana</v>
      </c>
      <c r="C85" s="240" t="str">
        <f ca="1">IFERROR(__xludf.DUMMYFUNCTION("""COMPUTED_VALUE"""),"ASS. APOIO ESC. EST. MACHADO DE ASSIS")</f>
        <v>ASS. APOIO ESC. EST. MACHADO DE ASSIS</v>
      </c>
      <c r="D85" s="241" t="str">
        <f ca="1">IFERROR(__xludf.DUMMYFUNCTION("""COMPUTED_VALUE"""),"01243663000108")</f>
        <v>01243663000108</v>
      </c>
      <c r="E85" s="241" t="str">
        <f ca="1">IFERROR(__xludf.DUMMYFUNCTION("""COMPUTED_VALUE"""),"001")</f>
        <v>001</v>
      </c>
      <c r="F85" s="241" t="str">
        <f ca="1">IFERROR(__xludf.DUMMYFUNCTION("""COMPUTED_VALUE"""),"3773")</f>
        <v>3773</v>
      </c>
      <c r="G85" s="240" t="str">
        <f ca="1">IFERROR(__xludf.DUMMYFUNCTION("""COMPUTED_VALUE"""),"322091")</f>
        <v>322091</v>
      </c>
      <c r="H85" s="240" t="str">
        <f ca="1">IFERROR(__xludf.DUMMYFUNCTION("""COMPUTED_VALUE"""),"ENS MEDIO PARCIAL")</f>
        <v>ENS MEDIO PARCIAL</v>
      </c>
      <c r="I85" s="242">
        <f ca="1">IFERROR(__xludf.DUMMYFUNCTION("""COMPUTED_VALUE"""),4578)</f>
        <v>4578</v>
      </c>
      <c r="J85" s="235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</row>
    <row r="86" spans="1:26" ht="21" customHeight="1">
      <c r="A86" s="240" t="str">
        <f ca="1">IFERROR(__xludf.DUMMYFUNCTION("""COMPUTED_VALUE"""),"Araguaina")</f>
        <v>Araguaina</v>
      </c>
      <c r="B86" s="240" t="str">
        <f ca="1">IFERROR(__xludf.DUMMYFUNCTION("""COMPUTED_VALUE"""),"Babaculandia")</f>
        <v>Babaculandia</v>
      </c>
      <c r="C86" s="240" t="str">
        <f ca="1">IFERROR(__xludf.DUMMYFUNCTION("""COMPUTED_VALUE"""),"A.PAIS E M.C.E.LEOPOLDO DE BULHOES")</f>
        <v>A.PAIS E M.C.E.LEOPOLDO DE BULHOES</v>
      </c>
      <c r="D86" s="241" t="str">
        <f ca="1">IFERROR(__xludf.DUMMYFUNCTION("""COMPUTED_VALUE"""),"01146116000104")</f>
        <v>01146116000104</v>
      </c>
      <c r="E86" s="241" t="str">
        <f ca="1">IFERROR(__xludf.DUMMYFUNCTION("""COMPUTED_VALUE"""),"001")</f>
        <v>001</v>
      </c>
      <c r="F86" s="241" t="str">
        <f ca="1">IFERROR(__xludf.DUMMYFUNCTION("""COMPUTED_VALUE"""),"0638")</f>
        <v>0638</v>
      </c>
      <c r="G86" s="240" t="str">
        <f ca="1">IFERROR(__xludf.DUMMYFUNCTION("""COMPUTED_VALUE"""),"465232")</f>
        <v>465232</v>
      </c>
      <c r="H86" s="240" t="str">
        <f ca="1">IFERROR(__xludf.DUMMYFUNCTION("""COMPUTED_VALUE"""),"E.F. PARCIAL")</f>
        <v>E.F. PARCIAL</v>
      </c>
      <c r="I86" s="242">
        <f ca="1">IFERROR(__xludf.DUMMYFUNCTION("""COMPUTED_VALUE"""),2772)</f>
        <v>2772</v>
      </c>
      <c r="J86" s="235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</row>
    <row r="87" spans="1:26" ht="21" customHeight="1">
      <c r="A87" s="240" t="str">
        <f ca="1">IFERROR(__xludf.DUMMYFUNCTION("""COMPUTED_VALUE"""),"Araguaina")</f>
        <v>Araguaina</v>
      </c>
      <c r="B87" s="240" t="str">
        <f ca="1">IFERROR(__xludf.DUMMYFUNCTION("""COMPUTED_VALUE"""),"Babaculandia")</f>
        <v>Babaculandia</v>
      </c>
      <c r="C87" s="240" t="str">
        <f ca="1">IFERROR(__xludf.DUMMYFUNCTION("""COMPUTED_VALUE"""),"A.PAIS E M.C.E.LEOPOLDO DE BULHOES")</f>
        <v>A.PAIS E M.C.E.LEOPOLDO DE BULHOES</v>
      </c>
      <c r="D87" s="241" t="str">
        <f ca="1">IFERROR(__xludf.DUMMYFUNCTION("""COMPUTED_VALUE"""),"01146116000104")</f>
        <v>01146116000104</v>
      </c>
      <c r="E87" s="241" t="str">
        <f ca="1">IFERROR(__xludf.DUMMYFUNCTION("""COMPUTED_VALUE"""),"001")</f>
        <v>001</v>
      </c>
      <c r="F87" s="241" t="str">
        <f ca="1">IFERROR(__xludf.DUMMYFUNCTION("""COMPUTED_VALUE"""),"0638")</f>
        <v>0638</v>
      </c>
      <c r="G87" s="240" t="str">
        <f ca="1">IFERROR(__xludf.DUMMYFUNCTION("""COMPUTED_VALUE"""),"465232")</f>
        <v>465232</v>
      </c>
      <c r="H87" s="240" t="str">
        <f ca="1">IFERROR(__xludf.DUMMYFUNCTION("""COMPUTED_VALUE"""),"AEE")</f>
        <v>AEE</v>
      </c>
      <c r="I87" s="242">
        <f ca="1">IFERROR(__xludf.DUMMYFUNCTION("""COMPUTED_VALUE"""),273)</f>
        <v>273</v>
      </c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</row>
    <row r="88" spans="1:26" ht="21" customHeight="1">
      <c r="A88" s="240" t="str">
        <f ca="1">IFERROR(__xludf.DUMMYFUNCTION("""COMPUTED_VALUE"""),"Araguaina")</f>
        <v>Araguaina</v>
      </c>
      <c r="B88" s="240" t="str">
        <f ca="1">IFERROR(__xludf.DUMMYFUNCTION("""COMPUTED_VALUE"""),"Babaculandia")</f>
        <v>Babaculandia</v>
      </c>
      <c r="C88" s="240" t="str">
        <f ca="1">IFERROR(__xludf.DUMMYFUNCTION("""COMPUTED_VALUE"""),"A.PAIS E M.C.E.LEOPOLDO DE BULHOES")</f>
        <v>A.PAIS E M.C.E.LEOPOLDO DE BULHOES</v>
      </c>
      <c r="D88" s="241" t="str">
        <f ca="1">IFERROR(__xludf.DUMMYFUNCTION("""COMPUTED_VALUE"""),"01146116000104")</f>
        <v>01146116000104</v>
      </c>
      <c r="E88" s="241" t="str">
        <f ca="1">IFERROR(__xludf.DUMMYFUNCTION("""COMPUTED_VALUE"""),"001")</f>
        <v>001</v>
      </c>
      <c r="F88" s="241" t="str">
        <f ca="1">IFERROR(__xludf.DUMMYFUNCTION("""COMPUTED_VALUE"""),"0638")</f>
        <v>0638</v>
      </c>
      <c r="G88" s="240" t="str">
        <f ca="1">IFERROR(__xludf.DUMMYFUNCTION("""COMPUTED_VALUE"""),"465232")</f>
        <v>465232</v>
      </c>
      <c r="H88" s="240" t="str">
        <f ca="1">IFERROR(__xludf.DUMMYFUNCTION("""COMPUTED_VALUE"""),"ENS MEDIO PARCIAL")</f>
        <v>ENS MEDIO PARCIAL</v>
      </c>
      <c r="I88" s="242">
        <f ca="1">IFERROR(__xludf.DUMMYFUNCTION("""COMPUTED_VALUE"""),4977)</f>
        <v>4977</v>
      </c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</row>
    <row r="89" spans="1:26" ht="21" customHeight="1">
      <c r="A89" s="240" t="str">
        <f ca="1">IFERROR(__xludf.DUMMYFUNCTION("""COMPUTED_VALUE"""),"Araguaina")</f>
        <v>Araguaina</v>
      </c>
      <c r="B89" s="240" t="str">
        <f ca="1">IFERROR(__xludf.DUMMYFUNCTION("""COMPUTED_VALUE"""),"Babaculandia")</f>
        <v>Babaculandia</v>
      </c>
      <c r="C89" s="240" t="str">
        <f ca="1">IFERROR(__xludf.DUMMYFUNCTION("""COMPUTED_VALUE"""),"A.A. ESCOLA ESTADUAL RUI BARBOSA")</f>
        <v>A.A. ESCOLA ESTADUAL RUI BARBOSA</v>
      </c>
      <c r="D89" s="241" t="str">
        <f ca="1">IFERROR(__xludf.DUMMYFUNCTION("""COMPUTED_VALUE"""),"01181184000104")</f>
        <v>01181184000104</v>
      </c>
      <c r="E89" s="241" t="str">
        <f ca="1">IFERROR(__xludf.DUMMYFUNCTION("""COMPUTED_VALUE"""),"001")</f>
        <v>001</v>
      </c>
      <c r="F89" s="241" t="str">
        <f ca="1">IFERROR(__xludf.DUMMYFUNCTION("""COMPUTED_VALUE"""),"0638")</f>
        <v>0638</v>
      </c>
      <c r="G89" s="240" t="str">
        <f ca="1">IFERROR(__xludf.DUMMYFUNCTION("""COMPUTED_VALUE"""),"477117")</f>
        <v>477117</v>
      </c>
      <c r="H89" s="240" t="str">
        <f ca="1">IFERROR(__xludf.DUMMYFUNCTION("""COMPUTED_VALUE"""),"E.F. PARCIAL")</f>
        <v>E.F. PARCIAL</v>
      </c>
      <c r="I89" s="242">
        <f ca="1">IFERROR(__xludf.DUMMYFUNCTION("""COMPUTED_VALUE"""),3444)</f>
        <v>3444</v>
      </c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</row>
    <row r="90" spans="1:26" ht="21" customHeight="1">
      <c r="A90" s="240" t="str">
        <f ca="1">IFERROR(__xludf.DUMMYFUNCTION("""COMPUTED_VALUE"""),"Araguaina")</f>
        <v>Araguaina</v>
      </c>
      <c r="B90" s="240" t="str">
        <f ca="1">IFERROR(__xludf.DUMMYFUNCTION("""COMPUTED_VALUE"""),"Babaculandia")</f>
        <v>Babaculandia</v>
      </c>
      <c r="C90" s="240" t="str">
        <f ca="1">IFERROR(__xludf.DUMMYFUNCTION("""COMPUTED_VALUE"""),"A.A. ESCOLA ESTADUAL RUI BARBOSA")</f>
        <v>A.A. ESCOLA ESTADUAL RUI BARBOSA</v>
      </c>
      <c r="D90" s="241" t="str">
        <f ca="1">IFERROR(__xludf.DUMMYFUNCTION("""COMPUTED_VALUE"""),"01181184000104")</f>
        <v>01181184000104</v>
      </c>
      <c r="E90" s="241" t="str">
        <f ca="1">IFERROR(__xludf.DUMMYFUNCTION("""COMPUTED_VALUE"""),"001")</f>
        <v>001</v>
      </c>
      <c r="F90" s="241" t="str">
        <f ca="1">IFERROR(__xludf.DUMMYFUNCTION("""COMPUTED_VALUE"""),"0638")</f>
        <v>0638</v>
      </c>
      <c r="G90" s="240" t="str">
        <f ca="1">IFERROR(__xludf.DUMMYFUNCTION("""COMPUTED_VALUE"""),"477117")</f>
        <v>477117</v>
      </c>
      <c r="H90" s="240" t="str">
        <f ca="1">IFERROR(__xludf.DUMMYFUNCTION("""COMPUTED_VALUE"""),"AEE")</f>
        <v>AEE</v>
      </c>
      <c r="I90" s="242">
        <f ca="1">IFERROR(__xludf.DUMMYFUNCTION("""COMPUTED_VALUE"""),378)</f>
        <v>378</v>
      </c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</row>
    <row r="91" spans="1:26" ht="21" customHeight="1">
      <c r="A91" s="240" t="str">
        <f ca="1">IFERROR(__xludf.DUMMYFUNCTION("""COMPUTED_VALUE"""),"Araguaina")</f>
        <v>Araguaina</v>
      </c>
      <c r="B91" s="240" t="str">
        <f ca="1">IFERROR(__xludf.DUMMYFUNCTION("""COMPUTED_VALUE"""),"Babaculandia")</f>
        <v>Babaculandia</v>
      </c>
      <c r="C91" s="240" t="str">
        <f ca="1">IFERROR(__xludf.DUMMYFUNCTION("""COMPUTED_VALUE"""),"A.A. ESCOLA ESTADUAL RUI BARBOSA")</f>
        <v>A.A. ESCOLA ESTADUAL RUI BARBOSA</v>
      </c>
      <c r="D91" s="241" t="str">
        <f ca="1">IFERROR(__xludf.DUMMYFUNCTION("""COMPUTED_VALUE"""),"01181184000104")</f>
        <v>01181184000104</v>
      </c>
      <c r="E91" s="241" t="str">
        <f ca="1">IFERROR(__xludf.DUMMYFUNCTION("""COMPUTED_VALUE"""),"001")</f>
        <v>001</v>
      </c>
      <c r="F91" s="241" t="str">
        <f ca="1">IFERROR(__xludf.DUMMYFUNCTION("""COMPUTED_VALUE"""),"0638")</f>
        <v>0638</v>
      </c>
      <c r="G91" s="240" t="str">
        <f ca="1">IFERROR(__xludf.DUMMYFUNCTION("""COMPUTED_VALUE"""),"477117")</f>
        <v>477117</v>
      </c>
      <c r="H91" s="240" t="str">
        <f ca="1">IFERROR(__xludf.DUMMYFUNCTION("""COMPUTED_VALUE"""),"ENS MEDIO PARCIAL")</f>
        <v>ENS MEDIO PARCIAL</v>
      </c>
      <c r="I91" s="242">
        <f ca="1">IFERROR(__xludf.DUMMYFUNCTION("""COMPUTED_VALUE"""),2184)</f>
        <v>2184</v>
      </c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</row>
    <row r="92" spans="1:26" ht="21" customHeight="1">
      <c r="A92" s="240" t="str">
        <f ca="1">IFERROR(__xludf.DUMMYFUNCTION("""COMPUTED_VALUE"""),"Araguaina")</f>
        <v>Araguaina</v>
      </c>
      <c r="B92" s="240" t="str">
        <f ca="1">IFERROR(__xludf.DUMMYFUNCTION("""COMPUTED_VALUE"""),"Barra do Ouro")</f>
        <v>Barra do Ouro</v>
      </c>
      <c r="C92" s="240" t="str">
        <f ca="1">IFERROR(__xludf.DUMMYFUNCTION("""COMPUTED_VALUE"""),"A.COM. ESC. EST. BARRA DO OURO/PROF. VICENTE JOSÉ VIEIRA")</f>
        <v>A.COM. ESC. EST. BARRA DO OURO/PROF. VICENTE JOSÉ VIEIRA</v>
      </c>
      <c r="D92" s="241" t="str">
        <f ca="1">IFERROR(__xludf.DUMMYFUNCTION("""COMPUTED_VALUE"""),"01341481000161")</f>
        <v>01341481000161</v>
      </c>
      <c r="E92" s="241" t="str">
        <f ca="1">IFERROR(__xludf.DUMMYFUNCTION("""COMPUTED_VALUE"""),"001")</f>
        <v>001</v>
      </c>
      <c r="F92" s="241" t="str">
        <f ca="1">IFERROR(__xludf.DUMMYFUNCTION("""COMPUTED_VALUE"""),"0638")</f>
        <v>0638</v>
      </c>
      <c r="G92" s="240" t="str">
        <f ca="1">IFERROR(__xludf.DUMMYFUNCTION("""COMPUTED_VALUE"""),"0069973")</f>
        <v>0069973</v>
      </c>
      <c r="H92" s="240" t="str">
        <f ca="1">IFERROR(__xludf.DUMMYFUNCTION("""COMPUTED_VALUE"""),"E.F. PARCIAL")</f>
        <v>E.F. PARCIAL</v>
      </c>
      <c r="I92" s="242">
        <f ca="1">IFERROR(__xludf.DUMMYFUNCTION("""COMPUTED_VALUE"""),5292)</f>
        <v>5292</v>
      </c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</row>
    <row r="93" spans="1:26" ht="21" customHeight="1">
      <c r="A93" s="240" t="str">
        <f ca="1">IFERROR(__xludf.DUMMYFUNCTION("""COMPUTED_VALUE"""),"Araguaina")</f>
        <v>Araguaina</v>
      </c>
      <c r="B93" s="240" t="str">
        <f ca="1">IFERROR(__xludf.DUMMYFUNCTION("""COMPUTED_VALUE"""),"Barra do Ouro")</f>
        <v>Barra do Ouro</v>
      </c>
      <c r="C93" s="240" t="str">
        <f ca="1">IFERROR(__xludf.DUMMYFUNCTION("""COMPUTED_VALUE"""),"A.COM. ESC. EST. BARRA DO OURO/PROF. VICENTE JOSÉ VIEIRA")</f>
        <v>A.COM. ESC. EST. BARRA DO OURO/PROF. VICENTE JOSÉ VIEIRA</v>
      </c>
      <c r="D93" s="241" t="str">
        <f ca="1">IFERROR(__xludf.DUMMYFUNCTION("""COMPUTED_VALUE"""),"01341481000161")</f>
        <v>01341481000161</v>
      </c>
      <c r="E93" s="241" t="str">
        <f ca="1">IFERROR(__xludf.DUMMYFUNCTION("""COMPUTED_VALUE"""),"001")</f>
        <v>001</v>
      </c>
      <c r="F93" s="241" t="str">
        <f ca="1">IFERROR(__xludf.DUMMYFUNCTION("""COMPUTED_VALUE"""),"0638")</f>
        <v>0638</v>
      </c>
      <c r="G93" s="240" t="str">
        <f ca="1">IFERROR(__xludf.DUMMYFUNCTION("""COMPUTED_VALUE"""),"0069973")</f>
        <v>0069973</v>
      </c>
      <c r="H93" s="240" t="str">
        <f ca="1">IFERROR(__xludf.DUMMYFUNCTION("""COMPUTED_VALUE"""),"ENS MEDIO PARCIAL")</f>
        <v>ENS MEDIO PARCIAL</v>
      </c>
      <c r="I93" s="242">
        <f ca="1">IFERROR(__xludf.DUMMYFUNCTION("""COMPUTED_VALUE"""),2940)</f>
        <v>2940</v>
      </c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</row>
    <row r="94" spans="1:26" ht="21" customHeight="1">
      <c r="A94" s="240" t="str">
        <f ca="1">IFERROR(__xludf.DUMMYFUNCTION("""COMPUTED_VALUE"""),"Araguaina")</f>
        <v>Araguaina</v>
      </c>
      <c r="B94" s="240" t="str">
        <f ca="1">IFERROR(__xludf.DUMMYFUNCTION("""COMPUTED_VALUE"""),"Barra do Ouro")</f>
        <v>Barra do Ouro</v>
      </c>
      <c r="C94" s="240" t="str">
        <f ca="1">IFERROR(__xludf.DUMMYFUNCTION("""COMPUTED_VALUE"""),"A.A. A ESCOLA ESTADUAL BREJAO")</f>
        <v>A.A. A ESCOLA ESTADUAL BREJAO</v>
      </c>
      <c r="D94" s="241" t="str">
        <f ca="1">IFERROR(__xludf.DUMMYFUNCTION("""COMPUTED_VALUE"""),"02392799000134")</f>
        <v>02392799000134</v>
      </c>
      <c r="E94" s="241" t="str">
        <f ca="1">IFERROR(__xludf.DUMMYFUNCTION("""COMPUTED_VALUE"""),"001")</f>
        <v>001</v>
      </c>
      <c r="F94" s="241" t="str">
        <f ca="1">IFERROR(__xludf.DUMMYFUNCTION("""COMPUTED_VALUE"""),"0638")</f>
        <v>0638</v>
      </c>
      <c r="G94" s="240" t="str">
        <f ca="1">IFERROR(__xludf.DUMMYFUNCTION("""COMPUTED_VALUE"""),"83615")</f>
        <v>83615</v>
      </c>
      <c r="H94" s="240" t="str">
        <f ca="1">IFERROR(__xludf.DUMMYFUNCTION("""COMPUTED_VALUE"""),"E.F. PARCIAL")</f>
        <v>E.F. PARCIAL</v>
      </c>
      <c r="I94" s="242">
        <f ca="1">IFERROR(__xludf.DUMMYFUNCTION("""COMPUTED_VALUE"""),2814)</f>
        <v>2814</v>
      </c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</row>
    <row r="95" spans="1:26" ht="21" customHeight="1">
      <c r="A95" s="240" t="str">
        <f ca="1">IFERROR(__xludf.DUMMYFUNCTION("""COMPUTED_VALUE"""),"Araguaina")</f>
        <v>Araguaina</v>
      </c>
      <c r="B95" s="240" t="str">
        <f ca="1">IFERROR(__xludf.DUMMYFUNCTION("""COMPUTED_VALUE"""),"Barra do Ouro")</f>
        <v>Barra do Ouro</v>
      </c>
      <c r="C95" s="240" t="str">
        <f ca="1">IFERROR(__xludf.DUMMYFUNCTION("""COMPUTED_VALUE"""),"A.A. A ESCOLA ESTADUAL BREJAO")</f>
        <v>A.A. A ESCOLA ESTADUAL BREJAO</v>
      </c>
      <c r="D95" s="241" t="str">
        <f ca="1">IFERROR(__xludf.DUMMYFUNCTION("""COMPUTED_VALUE"""),"02392799000134")</f>
        <v>02392799000134</v>
      </c>
      <c r="E95" s="241" t="str">
        <f ca="1">IFERROR(__xludf.DUMMYFUNCTION("""COMPUTED_VALUE"""),"001")</f>
        <v>001</v>
      </c>
      <c r="F95" s="241" t="str">
        <f ca="1">IFERROR(__xludf.DUMMYFUNCTION("""COMPUTED_VALUE"""),"0638")</f>
        <v>0638</v>
      </c>
      <c r="G95" s="240" t="str">
        <f ca="1">IFERROR(__xludf.DUMMYFUNCTION("""COMPUTED_VALUE"""),"83615")</f>
        <v>83615</v>
      </c>
      <c r="H95" s="240" t="str">
        <f ca="1">IFERROR(__xludf.DUMMYFUNCTION("""COMPUTED_VALUE"""),"AEE")</f>
        <v>AEE</v>
      </c>
      <c r="I95" s="242">
        <f ca="1">IFERROR(__xludf.DUMMYFUNCTION("""COMPUTED_VALUE"""),147)</f>
        <v>147</v>
      </c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</row>
    <row r="96" spans="1:26" ht="21" customHeight="1">
      <c r="A96" s="240" t="str">
        <f ca="1">IFERROR(__xludf.DUMMYFUNCTION("""COMPUTED_VALUE"""),"Araguaina")</f>
        <v>Araguaina</v>
      </c>
      <c r="B96" s="240" t="str">
        <f ca="1">IFERROR(__xludf.DUMMYFUNCTION("""COMPUTED_VALUE"""),"Barra do Ouro")</f>
        <v>Barra do Ouro</v>
      </c>
      <c r="C96" s="240" t="str">
        <f ca="1">IFERROR(__xludf.DUMMYFUNCTION("""COMPUTED_VALUE"""),"A.A. A ESCOLA ESTADUAL BREJAO")</f>
        <v>A.A. A ESCOLA ESTADUAL BREJAO</v>
      </c>
      <c r="D96" s="241" t="str">
        <f ca="1">IFERROR(__xludf.DUMMYFUNCTION("""COMPUTED_VALUE"""),"02392799000134")</f>
        <v>02392799000134</v>
      </c>
      <c r="E96" s="241" t="str">
        <f ca="1">IFERROR(__xludf.DUMMYFUNCTION("""COMPUTED_VALUE"""),"001")</f>
        <v>001</v>
      </c>
      <c r="F96" s="241" t="str">
        <f ca="1">IFERROR(__xludf.DUMMYFUNCTION("""COMPUTED_VALUE"""),"0638")</f>
        <v>0638</v>
      </c>
      <c r="G96" s="240" t="str">
        <f ca="1">IFERROR(__xludf.DUMMYFUNCTION("""COMPUTED_VALUE"""),"83615")</f>
        <v>83615</v>
      </c>
      <c r="H96" s="240" t="str">
        <f ca="1">IFERROR(__xludf.DUMMYFUNCTION("""COMPUTED_VALUE"""),"ENS MEDIO PARCIAL")</f>
        <v>ENS MEDIO PARCIAL</v>
      </c>
      <c r="I96" s="242">
        <f ca="1">IFERROR(__xludf.DUMMYFUNCTION("""COMPUTED_VALUE"""),1680)</f>
        <v>1680</v>
      </c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</row>
    <row r="97" spans="1:26" ht="21" customHeight="1">
      <c r="A97" s="240" t="str">
        <f ca="1">IFERROR(__xludf.DUMMYFUNCTION("""COMPUTED_VALUE"""),"Araguaina")</f>
        <v>Araguaina</v>
      </c>
      <c r="B97" s="240" t="str">
        <f ca="1">IFERROR(__xludf.DUMMYFUNCTION("""COMPUTED_VALUE"""),"Campos Lindos")</f>
        <v>Campos Lindos</v>
      </c>
      <c r="C97" s="240" t="str">
        <f ca="1">IFERROR(__xludf.DUMMYFUNCTION("""COMPUTED_VALUE"""),"A.A. DA ESC. EST. MANOEL ALVES GRANDE")</f>
        <v>A.A. DA ESC. EST. MANOEL ALVES GRANDE</v>
      </c>
      <c r="D97" s="241" t="str">
        <f ca="1">IFERROR(__xludf.DUMMYFUNCTION("""COMPUTED_VALUE"""),"02199744000102")</f>
        <v>02199744000102</v>
      </c>
      <c r="E97" s="241" t="str">
        <f ca="1">IFERROR(__xludf.DUMMYFUNCTION("""COMPUTED_VALUE"""),"001")</f>
        <v>001</v>
      </c>
      <c r="F97" s="241" t="str">
        <f ca="1">IFERROR(__xludf.DUMMYFUNCTION("""COMPUTED_VALUE"""),"2064")</f>
        <v>2064</v>
      </c>
      <c r="G97" s="240" t="str">
        <f ca="1">IFERROR(__xludf.DUMMYFUNCTION("""COMPUTED_VALUE"""),"0130117")</f>
        <v>0130117</v>
      </c>
      <c r="H97" s="240" t="str">
        <f ca="1">IFERROR(__xludf.DUMMYFUNCTION("""COMPUTED_VALUE"""),"E.F. PARCIAL")</f>
        <v>E.F. PARCIAL</v>
      </c>
      <c r="I97" s="242">
        <f ca="1">IFERROR(__xludf.DUMMYFUNCTION("""COMPUTED_VALUE"""),3717)</f>
        <v>3717</v>
      </c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</row>
    <row r="98" spans="1:26" ht="21" customHeight="1">
      <c r="A98" s="240" t="str">
        <f ca="1">IFERROR(__xludf.DUMMYFUNCTION("""COMPUTED_VALUE"""),"Araguaina")</f>
        <v>Araguaina</v>
      </c>
      <c r="B98" s="240" t="str">
        <f ca="1">IFERROR(__xludf.DUMMYFUNCTION("""COMPUTED_VALUE"""),"Campos Lindos")</f>
        <v>Campos Lindos</v>
      </c>
      <c r="C98" s="240" t="str">
        <f ca="1">IFERROR(__xludf.DUMMYFUNCTION("""COMPUTED_VALUE"""),"A.A. DA ESC. EST. MANOEL ALVES GRANDE")</f>
        <v>A.A. DA ESC. EST. MANOEL ALVES GRANDE</v>
      </c>
      <c r="D98" s="241" t="str">
        <f ca="1">IFERROR(__xludf.DUMMYFUNCTION("""COMPUTED_VALUE"""),"02199744000102")</f>
        <v>02199744000102</v>
      </c>
      <c r="E98" s="241" t="str">
        <f ca="1">IFERROR(__xludf.DUMMYFUNCTION("""COMPUTED_VALUE"""),"001")</f>
        <v>001</v>
      </c>
      <c r="F98" s="241" t="str">
        <f ca="1">IFERROR(__xludf.DUMMYFUNCTION("""COMPUTED_VALUE"""),"2064")</f>
        <v>2064</v>
      </c>
      <c r="G98" s="240" t="str">
        <f ca="1">IFERROR(__xludf.DUMMYFUNCTION("""COMPUTED_VALUE"""),"0130117")</f>
        <v>0130117</v>
      </c>
      <c r="H98" s="240" t="str">
        <f ca="1">IFERROR(__xludf.DUMMYFUNCTION("""COMPUTED_VALUE"""),"ENS MEDIO PARCIAL")</f>
        <v>ENS MEDIO PARCIAL</v>
      </c>
      <c r="I98" s="242">
        <f ca="1">IFERROR(__xludf.DUMMYFUNCTION("""COMPUTED_VALUE"""),9891)</f>
        <v>9891</v>
      </c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</row>
    <row r="99" spans="1:26" ht="21" customHeight="1">
      <c r="A99" s="240" t="str">
        <f ca="1">IFERROR(__xludf.DUMMYFUNCTION("""COMPUTED_VALUE"""),"Araguaina")</f>
        <v>Araguaina</v>
      </c>
      <c r="B99" s="240" t="str">
        <f ca="1">IFERROR(__xludf.DUMMYFUNCTION("""COMPUTED_VALUE"""),"Campos Lindos")</f>
        <v>Campos Lindos</v>
      </c>
      <c r="C99" s="240" t="str">
        <f ca="1">IFERROR(__xludf.DUMMYFUNCTION("""COMPUTED_VALUE"""),"A.A. DA ESC. EST. MANOEL ALVES GRANDE")</f>
        <v>A.A. DA ESC. EST. MANOEL ALVES GRANDE</v>
      </c>
      <c r="D99" s="241" t="str">
        <f ca="1">IFERROR(__xludf.DUMMYFUNCTION("""COMPUTED_VALUE"""),"02199744000102")</f>
        <v>02199744000102</v>
      </c>
      <c r="E99" s="241" t="str">
        <f ca="1">IFERROR(__xludf.DUMMYFUNCTION("""COMPUTED_VALUE"""),"001")</f>
        <v>001</v>
      </c>
      <c r="F99" s="241" t="str">
        <f ca="1">IFERROR(__xludf.DUMMYFUNCTION("""COMPUTED_VALUE"""),"2064")</f>
        <v>2064</v>
      </c>
      <c r="G99" s="240" t="str">
        <f ca="1">IFERROR(__xludf.DUMMYFUNCTION("""COMPUTED_VALUE"""),"0130117")</f>
        <v>0130117</v>
      </c>
      <c r="H99" s="240" t="str">
        <f ca="1">IFERROR(__xludf.DUMMYFUNCTION("""COMPUTED_VALUE"""),"EJA")</f>
        <v>EJA</v>
      </c>
      <c r="I99" s="242">
        <f ca="1">IFERROR(__xludf.DUMMYFUNCTION("""COMPUTED_VALUE"""),756)</f>
        <v>756</v>
      </c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</row>
    <row r="100" spans="1:26" ht="21" customHeight="1">
      <c r="A100" s="240" t="str">
        <f ca="1">IFERROR(__xludf.DUMMYFUNCTION("""COMPUTED_VALUE"""),"Araguaina")</f>
        <v>Araguaina</v>
      </c>
      <c r="B100" s="240" t="str">
        <f ca="1">IFERROR(__xludf.DUMMYFUNCTION("""COMPUTED_VALUE"""),"Carmolandia")</f>
        <v>Carmolandia</v>
      </c>
      <c r="C100" s="240" t="str">
        <f ca="1">IFERROR(__xludf.DUMMYFUNCTION("""COMPUTED_VALUE"""),"A.A. E. EST. BARTOLOMEU BUENO DA SILVA")</f>
        <v>A.A. E. EST. BARTOLOMEU BUENO DA SILVA</v>
      </c>
      <c r="D100" s="241" t="str">
        <f ca="1">IFERROR(__xludf.DUMMYFUNCTION("""COMPUTED_VALUE"""),"01181172000171")</f>
        <v>01181172000171</v>
      </c>
      <c r="E100" s="241" t="str">
        <f ca="1">IFERROR(__xludf.DUMMYFUNCTION("""COMPUTED_VALUE"""),"001")</f>
        <v>001</v>
      </c>
      <c r="F100" s="241" t="str">
        <f ca="1">IFERROR(__xludf.DUMMYFUNCTION("""COMPUTED_VALUE"""),"0638")</f>
        <v>0638</v>
      </c>
      <c r="G100" s="240" t="str">
        <f ca="1">IFERROR(__xludf.DUMMYFUNCTION("""COMPUTED_VALUE"""),"0465038")</f>
        <v>0465038</v>
      </c>
      <c r="H100" s="240" t="str">
        <f ca="1">IFERROR(__xludf.DUMMYFUNCTION("""COMPUTED_VALUE"""),"E.F. PARCIAL")</f>
        <v>E.F. PARCIAL</v>
      </c>
      <c r="I100" s="242">
        <f ca="1">IFERROR(__xludf.DUMMYFUNCTION("""COMPUTED_VALUE"""),714)</f>
        <v>714</v>
      </c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</row>
    <row r="101" spans="1:26" ht="21" customHeight="1">
      <c r="A101" s="240" t="str">
        <f ca="1">IFERROR(__xludf.DUMMYFUNCTION("""COMPUTED_VALUE"""),"Araguaina")</f>
        <v>Araguaina</v>
      </c>
      <c r="B101" s="240" t="str">
        <f ca="1">IFERROR(__xludf.DUMMYFUNCTION("""COMPUTED_VALUE"""),"Carmolandia")</f>
        <v>Carmolandia</v>
      </c>
      <c r="C101" s="240" t="str">
        <f ca="1">IFERROR(__xludf.DUMMYFUNCTION("""COMPUTED_VALUE"""),"A.A. E. EST. BARTOLOMEU BUENO DA SILVA")</f>
        <v>A.A. E. EST. BARTOLOMEU BUENO DA SILVA</v>
      </c>
      <c r="D101" s="241" t="str">
        <f ca="1">IFERROR(__xludf.DUMMYFUNCTION("""COMPUTED_VALUE"""),"01181172000171")</f>
        <v>01181172000171</v>
      </c>
      <c r="E101" s="241" t="str">
        <f ca="1">IFERROR(__xludf.DUMMYFUNCTION("""COMPUTED_VALUE"""),"001")</f>
        <v>001</v>
      </c>
      <c r="F101" s="241" t="str">
        <f ca="1">IFERROR(__xludf.DUMMYFUNCTION("""COMPUTED_VALUE"""),"0638")</f>
        <v>0638</v>
      </c>
      <c r="G101" s="240" t="str">
        <f ca="1">IFERROR(__xludf.DUMMYFUNCTION("""COMPUTED_VALUE"""),"0465038")</f>
        <v>0465038</v>
      </c>
      <c r="H101" s="240" t="str">
        <f ca="1">IFERROR(__xludf.DUMMYFUNCTION("""COMPUTED_VALUE"""),"ENS MEDIO PARCIAL")</f>
        <v>ENS MEDIO PARCIAL</v>
      </c>
      <c r="I101" s="242">
        <f ca="1">IFERROR(__xludf.DUMMYFUNCTION("""COMPUTED_VALUE"""),2079)</f>
        <v>2079</v>
      </c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</row>
    <row r="102" spans="1:26" ht="21" customHeight="1">
      <c r="A102" s="240" t="str">
        <f ca="1">IFERROR(__xludf.DUMMYFUNCTION("""COMPUTED_VALUE"""),"Araguaina")</f>
        <v>Araguaina</v>
      </c>
      <c r="B102" s="240" t="str">
        <f ca="1">IFERROR(__xludf.DUMMYFUNCTION("""COMPUTED_VALUE"""),"Carmolandia")</f>
        <v>Carmolandia</v>
      </c>
      <c r="C102" s="240" t="str">
        <f ca="1">IFERROR(__xludf.DUMMYFUNCTION("""COMPUTED_VALUE"""),"A.A. E. EST. BARTOLOMEU BUENO DA SILVA")</f>
        <v>A.A. E. EST. BARTOLOMEU BUENO DA SILVA</v>
      </c>
      <c r="D102" s="241" t="str">
        <f ca="1">IFERROR(__xludf.DUMMYFUNCTION("""COMPUTED_VALUE"""),"01181172000171")</f>
        <v>01181172000171</v>
      </c>
      <c r="E102" s="241" t="str">
        <f ca="1">IFERROR(__xludf.DUMMYFUNCTION("""COMPUTED_VALUE"""),"001")</f>
        <v>001</v>
      </c>
      <c r="F102" s="241" t="str">
        <f ca="1">IFERROR(__xludf.DUMMYFUNCTION("""COMPUTED_VALUE"""),"0638")</f>
        <v>0638</v>
      </c>
      <c r="G102" s="240" t="str">
        <f ca="1">IFERROR(__xludf.DUMMYFUNCTION("""COMPUTED_VALUE"""),"0465038")</f>
        <v>0465038</v>
      </c>
      <c r="H102" s="240" t="str">
        <f ca="1">IFERROR(__xludf.DUMMYFUNCTION("""COMPUTED_VALUE"""),"EJA")</f>
        <v>EJA</v>
      </c>
      <c r="I102" s="242">
        <f ca="1">IFERROR(__xludf.DUMMYFUNCTION("""COMPUTED_VALUE"""),525)</f>
        <v>525</v>
      </c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</row>
    <row r="103" spans="1:26" ht="21" customHeight="1">
      <c r="A103" s="240" t="str">
        <f ca="1">IFERROR(__xludf.DUMMYFUNCTION("""COMPUTED_VALUE"""),"Araguaina")</f>
        <v>Araguaina</v>
      </c>
      <c r="B103" s="240" t="str">
        <f ca="1">IFERROR(__xludf.DUMMYFUNCTION("""COMPUTED_VALUE"""),"Filadelfia")</f>
        <v>Filadelfia</v>
      </c>
      <c r="C103" s="240" t="str">
        <f ca="1">IFERROR(__xludf.DUMMYFUNCTION("""COMPUTED_VALUE"""),"A.P. E M. ESC. EST. ADEUVALDO O.MORAES")</f>
        <v>A.P. E M. ESC. EST. ADEUVALDO O.MORAES</v>
      </c>
      <c r="D103" s="241" t="str">
        <f ca="1">IFERROR(__xludf.DUMMYFUNCTION("""COMPUTED_VALUE"""),"01912087000136")</f>
        <v>01912087000136</v>
      </c>
      <c r="E103" s="241" t="str">
        <f ca="1">IFERROR(__xludf.DUMMYFUNCTION("""COMPUTED_VALUE"""),"001")</f>
        <v>001</v>
      </c>
      <c r="F103" s="241" t="str">
        <f ca="1">IFERROR(__xludf.DUMMYFUNCTION("""COMPUTED_VALUE"""),"2064")</f>
        <v>2064</v>
      </c>
      <c r="G103" s="240" t="str">
        <f ca="1">IFERROR(__xludf.DUMMYFUNCTION("""COMPUTED_VALUE"""),"127434")</f>
        <v>127434</v>
      </c>
      <c r="H103" s="240" t="str">
        <f ca="1">IFERROR(__xludf.DUMMYFUNCTION("""COMPUTED_VALUE"""),"E.F. PARCIAL")</f>
        <v>E.F. PARCIAL</v>
      </c>
      <c r="I103" s="242">
        <f ca="1">IFERROR(__xludf.DUMMYFUNCTION("""COMPUTED_VALUE"""),5796)</f>
        <v>5796</v>
      </c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</row>
    <row r="104" spans="1:26" ht="21" customHeight="1">
      <c r="A104" s="240" t="str">
        <f ca="1">IFERROR(__xludf.DUMMYFUNCTION("""COMPUTED_VALUE"""),"Araguaina")</f>
        <v>Araguaina</v>
      </c>
      <c r="B104" s="240" t="str">
        <f ca="1">IFERROR(__xludf.DUMMYFUNCTION("""COMPUTED_VALUE"""),"Filadelfia")</f>
        <v>Filadelfia</v>
      </c>
      <c r="C104" s="240" t="str">
        <f ca="1">IFERROR(__xludf.DUMMYFUNCTION("""COMPUTED_VALUE"""),"A.P. E M. ESC. EST. ADEUVALDO O.MORAES")</f>
        <v>A.P. E M. ESC. EST. ADEUVALDO O.MORAES</v>
      </c>
      <c r="D104" s="241" t="str">
        <f ca="1">IFERROR(__xludf.DUMMYFUNCTION("""COMPUTED_VALUE"""),"01912087000136")</f>
        <v>01912087000136</v>
      </c>
      <c r="E104" s="241" t="str">
        <f ca="1">IFERROR(__xludf.DUMMYFUNCTION("""COMPUTED_VALUE"""),"001")</f>
        <v>001</v>
      </c>
      <c r="F104" s="241" t="str">
        <f ca="1">IFERROR(__xludf.DUMMYFUNCTION("""COMPUTED_VALUE"""),"2064")</f>
        <v>2064</v>
      </c>
      <c r="G104" s="240" t="str">
        <f ca="1">IFERROR(__xludf.DUMMYFUNCTION("""COMPUTED_VALUE"""),"127434")</f>
        <v>127434</v>
      </c>
      <c r="H104" s="240" t="str">
        <f ca="1">IFERROR(__xludf.DUMMYFUNCTION("""COMPUTED_VALUE"""),"AEE")</f>
        <v>AEE</v>
      </c>
      <c r="I104" s="242">
        <f ca="1">IFERROR(__xludf.DUMMYFUNCTION("""COMPUTED_VALUE"""),609)</f>
        <v>609</v>
      </c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</row>
    <row r="105" spans="1:26" ht="21" customHeight="1">
      <c r="A105" s="240" t="str">
        <f ca="1">IFERROR(__xludf.DUMMYFUNCTION("""COMPUTED_VALUE"""),"Araguaina")</f>
        <v>Araguaina</v>
      </c>
      <c r="B105" s="240" t="str">
        <f ca="1">IFERROR(__xludf.DUMMYFUNCTION("""COMPUTED_VALUE"""),"Filadelfia")</f>
        <v>Filadelfia</v>
      </c>
      <c r="C105" s="240" t="str">
        <f ca="1">IFERROR(__xludf.DUMMYFUNCTION("""COMPUTED_VALUE"""),"A.A. DO COL.MUNICIPAL DE FILADELFIA")</f>
        <v>A.A. DO COL.MUNICIPAL DE FILADELFIA</v>
      </c>
      <c r="D105" s="241" t="str">
        <f ca="1">IFERROR(__xludf.DUMMYFUNCTION("""COMPUTED_VALUE"""),"02189621000190")</f>
        <v>02189621000190</v>
      </c>
      <c r="E105" s="241" t="str">
        <f ca="1">IFERROR(__xludf.DUMMYFUNCTION("""COMPUTED_VALUE"""),"001")</f>
        <v>001</v>
      </c>
      <c r="F105" s="241" t="str">
        <f ca="1">IFERROR(__xludf.DUMMYFUNCTION("""COMPUTED_VALUE"""),"2064")</f>
        <v>2064</v>
      </c>
      <c r="G105" s="240" t="str">
        <f ca="1">IFERROR(__xludf.DUMMYFUNCTION("""COMPUTED_VALUE"""),"54127")</f>
        <v>54127</v>
      </c>
      <c r="H105" s="240" t="str">
        <f ca="1">IFERROR(__xludf.DUMMYFUNCTION("""COMPUTED_VALUE"""),"AEE")</f>
        <v>AEE</v>
      </c>
      <c r="I105" s="242">
        <f ca="1">IFERROR(__xludf.DUMMYFUNCTION("""COMPUTED_VALUE"""),420)</f>
        <v>420</v>
      </c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</row>
    <row r="106" spans="1:26" ht="21" customHeight="1">
      <c r="A106" s="240" t="str">
        <f ca="1">IFERROR(__xludf.DUMMYFUNCTION("""COMPUTED_VALUE"""),"Araguaina")</f>
        <v>Araguaina</v>
      </c>
      <c r="B106" s="240" t="str">
        <f ca="1">IFERROR(__xludf.DUMMYFUNCTION("""COMPUTED_VALUE"""),"Filadelfia")</f>
        <v>Filadelfia</v>
      </c>
      <c r="C106" s="240" t="str">
        <f ca="1">IFERROR(__xludf.DUMMYFUNCTION("""COMPUTED_VALUE"""),"A.A. DO COL.MUNICIPAL DE FILADELFIA")</f>
        <v>A.A. DO COL.MUNICIPAL DE FILADELFIA</v>
      </c>
      <c r="D106" s="241" t="str">
        <f ca="1">IFERROR(__xludf.DUMMYFUNCTION("""COMPUTED_VALUE"""),"02189621000190")</f>
        <v>02189621000190</v>
      </c>
      <c r="E106" s="241" t="str">
        <f ca="1">IFERROR(__xludf.DUMMYFUNCTION("""COMPUTED_VALUE"""),"001")</f>
        <v>001</v>
      </c>
      <c r="F106" s="241" t="str">
        <f ca="1">IFERROR(__xludf.DUMMYFUNCTION("""COMPUTED_VALUE"""),"2064")</f>
        <v>2064</v>
      </c>
      <c r="G106" s="240" t="str">
        <f ca="1">IFERROR(__xludf.DUMMYFUNCTION("""COMPUTED_VALUE"""),"54127")</f>
        <v>54127</v>
      </c>
      <c r="H106" s="240" t="str">
        <f ca="1">IFERROR(__xludf.DUMMYFUNCTION("""COMPUTED_VALUE"""),"ENS MEDIO PARCIAL")</f>
        <v>ENS MEDIO PARCIAL</v>
      </c>
      <c r="I106" s="242">
        <f ca="1">IFERROR(__xludf.DUMMYFUNCTION("""COMPUTED_VALUE"""),4725)</f>
        <v>4725</v>
      </c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</row>
    <row r="107" spans="1:26" ht="21" customHeight="1">
      <c r="A107" s="240" t="str">
        <f ca="1">IFERROR(__xludf.DUMMYFUNCTION("""COMPUTED_VALUE"""),"Araguaina")</f>
        <v>Araguaina</v>
      </c>
      <c r="B107" s="240" t="str">
        <f ca="1">IFERROR(__xludf.DUMMYFUNCTION("""COMPUTED_VALUE"""),"Filadelfia")</f>
        <v>Filadelfia</v>
      </c>
      <c r="C107" s="240" t="str">
        <f ca="1">IFERROR(__xludf.DUMMYFUNCTION("""COMPUTED_VALUE"""),"A.A. ESC EST PROFESSOR JOSÉ FRANCISCO DOS MONTES")</f>
        <v>A.A. ESC EST PROFESSOR JOSÉ FRANCISCO DOS MONTES</v>
      </c>
      <c r="D107" s="241" t="str">
        <f ca="1">IFERROR(__xludf.DUMMYFUNCTION("""COMPUTED_VALUE"""),"27853677000129")</f>
        <v>27853677000129</v>
      </c>
      <c r="E107" s="241" t="str">
        <f ca="1">IFERROR(__xludf.DUMMYFUNCTION("""COMPUTED_VALUE"""),"001")</f>
        <v>001</v>
      </c>
      <c r="F107" s="241" t="str">
        <f ca="1">IFERROR(__xludf.DUMMYFUNCTION("""COMPUTED_VALUE"""),"2064")</f>
        <v>2064</v>
      </c>
      <c r="G107" s="240" t="str">
        <f ca="1">IFERROR(__xludf.DUMMYFUNCTION("""COMPUTED_VALUE"""),"198315")</f>
        <v>198315</v>
      </c>
      <c r="H107" s="240" t="str">
        <f ca="1">IFERROR(__xludf.DUMMYFUNCTION("""COMPUTED_VALUE"""),"E.F. PARCIAL")</f>
        <v>E.F. PARCIAL</v>
      </c>
      <c r="I107" s="242">
        <f ca="1">IFERROR(__xludf.DUMMYFUNCTION("""COMPUTED_VALUE"""),1029)</f>
        <v>1029</v>
      </c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</row>
    <row r="108" spans="1:26" ht="21" customHeight="1">
      <c r="A108" s="240" t="str">
        <f ca="1">IFERROR(__xludf.DUMMYFUNCTION("""COMPUTED_VALUE"""),"Araguaina")</f>
        <v>Araguaina</v>
      </c>
      <c r="B108" s="240" t="str">
        <f ca="1">IFERROR(__xludf.DUMMYFUNCTION("""COMPUTED_VALUE"""),"Filadelfia")</f>
        <v>Filadelfia</v>
      </c>
      <c r="C108" s="240" t="str">
        <f ca="1">IFERROR(__xludf.DUMMYFUNCTION("""COMPUTED_VALUE"""),"A.A. ESC EST PROFESSOR JOSÉ FRANCISCO DOS MONTES")</f>
        <v>A.A. ESC EST PROFESSOR JOSÉ FRANCISCO DOS MONTES</v>
      </c>
      <c r="D108" s="241" t="str">
        <f ca="1">IFERROR(__xludf.DUMMYFUNCTION("""COMPUTED_VALUE"""),"27853677000129")</f>
        <v>27853677000129</v>
      </c>
      <c r="E108" s="241" t="str">
        <f ca="1">IFERROR(__xludf.DUMMYFUNCTION("""COMPUTED_VALUE"""),"001")</f>
        <v>001</v>
      </c>
      <c r="F108" s="241" t="str">
        <f ca="1">IFERROR(__xludf.DUMMYFUNCTION("""COMPUTED_VALUE"""),"2064")</f>
        <v>2064</v>
      </c>
      <c r="G108" s="240" t="str">
        <f ca="1">IFERROR(__xludf.DUMMYFUNCTION("""COMPUTED_VALUE"""),"198315")</f>
        <v>198315</v>
      </c>
      <c r="H108" s="240" t="str">
        <f ca="1">IFERROR(__xludf.DUMMYFUNCTION("""COMPUTED_VALUE"""),"ENS MEDIO PARCIAL")</f>
        <v>ENS MEDIO PARCIAL</v>
      </c>
      <c r="I108" s="242">
        <f ca="1">IFERROR(__xludf.DUMMYFUNCTION("""COMPUTED_VALUE"""),1953)</f>
        <v>1953</v>
      </c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</row>
    <row r="109" spans="1:26" ht="21" customHeight="1">
      <c r="A109" s="240" t="str">
        <f ca="1">IFERROR(__xludf.DUMMYFUNCTION("""COMPUTED_VALUE"""),"Araguaina")</f>
        <v>Araguaina</v>
      </c>
      <c r="B109" s="240" t="str">
        <f ca="1">IFERROR(__xludf.DUMMYFUNCTION("""COMPUTED_VALUE"""),"Filadelfia")</f>
        <v>Filadelfia</v>
      </c>
      <c r="C109" s="240" t="str">
        <f ca="1">IFERROR(__xludf.DUMMYFUNCTION("""COMPUTED_VALUE"""),"A.A. ESC EST PROFESSOR JOSÉ FRANCISCO DOS MONTES")</f>
        <v>A.A. ESC EST PROFESSOR JOSÉ FRANCISCO DOS MONTES</v>
      </c>
      <c r="D109" s="241" t="str">
        <f ca="1">IFERROR(__xludf.DUMMYFUNCTION("""COMPUTED_VALUE"""),"27853677000129")</f>
        <v>27853677000129</v>
      </c>
      <c r="E109" s="241" t="str">
        <f ca="1">IFERROR(__xludf.DUMMYFUNCTION("""COMPUTED_VALUE"""),"001")</f>
        <v>001</v>
      </c>
      <c r="F109" s="241" t="str">
        <f ca="1">IFERROR(__xludf.DUMMYFUNCTION("""COMPUTED_VALUE"""),"2064")</f>
        <v>2064</v>
      </c>
      <c r="G109" s="240" t="str">
        <f ca="1">IFERROR(__xludf.DUMMYFUNCTION("""COMPUTED_VALUE"""),"198315")</f>
        <v>198315</v>
      </c>
      <c r="H109" s="240" t="str">
        <f ca="1">IFERROR(__xludf.DUMMYFUNCTION("""COMPUTED_VALUE"""),"EJA")</f>
        <v>EJA</v>
      </c>
      <c r="I109" s="242">
        <f ca="1">IFERROR(__xludf.DUMMYFUNCTION("""COMPUTED_VALUE"""),168)</f>
        <v>168</v>
      </c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</row>
    <row r="110" spans="1:26" ht="21" customHeight="1">
      <c r="A110" s="240" t="str">
        <f ca="1">IFERROR(__xludf.DUMMYFUNCTION("""COMPUTED_VALUE"""),"Araguaina")</f>
        <v>Araguaina</v>
      </c>
      <c r="B110" s="240" t="str">
        <f ca="1">IFERROR(__xludf.DUMMYFUNCTION("""COMPUTED_VALUE"""),"Goiatins")</f>
        <v>Goiatins</v>
      </c>
      <c r="C110" s="240" t="str">
        <f ca="1">IFERROR(__xludf.DUMMYFUNCTION("""COMPUTED_VALUE"""),"ASS. COM.COL. EST. ADA ASSIS TEIXEIRA")</f>
        <v>ASS. COM.COL. EST. ADA ASSIS TEIXEIRA</v>
      </c>
      <c r="D110" s="241" t="str">
        <f ca="1">IFERROR(__xludf.DUMMYFUNCTION("""COMPUTED_VALUE"""),"01440731000110")</f>
        <v>01440731000110</v>
      </c>
      <c r="E110" s="241" t="str">
        <f ca="1">IFERROR(__xludf.DUMMYFUNCTION("""COMPUTED_VALUE"""),"001")</f>
        <v>001</v>
      </c>
      <c r="F110" s="241" t="str">
        <f ca="1">IFERROR(__xludf.DUMMYFUNCTION("""COMPUTED_VALUE"""),"2064")</f>
        <v>2064</v>
      </c>
      <c r="G110" s="240" t="str">
        <f ca="1">IFERROR(__xludf.DUMMYFUNCTION("""COMPUTED_VALUE"""),"0013323")</f>
        <v>0013323</v>
      </c>
      <c r="H110" s="240" t="str">
        <f ca="1">IFERROR(__xludf.DUMMYFUNCTION("""COMPUTED_VALUE"""),"E.F. PARCIAL")</f>
        <v>E.F. PARCIAL</v>
      </c>
      <c r="I110" s="242">
        <f ca="1">IFERROR(__xludf.DUMMYFUNCTION("""COMPUTED_VALUE"""),4347)</f>
        <v>4347</v>
      </c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</row>
    <row r="111" spans="1:26" ht="21" customHeight="1">
      <c r="A111" s="240" t="str">
        <f ca="1">IFERROR(__xludf.DUMMYFUNCTION("""COMPUTED_VALUE"""),"Araguaina")</f>
        <v>Araguaina</v>
      </c>
      <c r="B111" s="240" t="str">
        <f ca="1">IFERROR(__xludf.DUMMYFUNCTION("""COMPUTED_VALUE"""),"Goiatins")</f>
        <v>Goiatins</v>
      </c>
      <c r="C111" s="240" t="str">
        <f ca="1">IFERROR(__xludf.DUMMYFUNCTION("""COMPUTED_VALUE"""),"ASS. COM.COL. EST. ADA ASSIS TEIXEIRA")</f>
        <v>ASS. COM.COL. EST. ADA ASSIS TEIXEIRA</v>
      </c>
      <c r="D111" s="241" t="str">
        <f ca="1">IFERROR(__xludf.DUMMYFUNCTION("""COMPUTED_VALUE"""),"01440731000110")</f>
        <v>01440731000110</v>
      </c>
      <c r="E111" s="241" t="str">
        <f ca="1">IFERROR(__xludf.DUMMYFUNCTION("""COMPUTED_VALUE"""),"001")</f>
        <v>001</v>
      </c>
      <c r="F111" s="241" t="str">
        <f ca="1">IFERROR(__xludf.DUMMYFUNCTION("""COMPUTED_VALUE"""),"2064")</f>
        <v>2064</v>
      </c>
      <c r="G111" s="240" t="str">
        <f ca="1">IFERROR(__xludf.DUMMYFUNCTION("""COMPUTED_VALUE"""),"0013323")</f>
        <v>0013323</v>
      </c>
      <c r="H111" s="240" t="str">
        <f ca="1">IFERROR(__xludf.DUMMYFUNCTION("""COMPUTED_VALUE"""),"ENS MEDIO PARCIAL")</f>
        <v>ENS MEDIO PARCIAL</v>
      </c>
      <c r="I111" s="242">
        <f ca="1">IFERROR(__xludf.DUMMYFUNCTION("""COMPUTED_VALUE"""),9576)</f>
        <v>9576</v>
      </c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</row>
    <row r="112" spans="1:26" ht="21" customHeight="1">
      <c r="A112" s="240" t="str">
        <f ca="1">IFERROR(__xludf.DUMMYFUNCTION("""COMPUTED_VALUE"""),"Araguaina")</f>
        <v>Araguaina</v>
      </c>
      <c r="B112" s="240" t="str">
        <f ca="1">IFERROR(__xludf.DUMMYFUNCTION("""COMPUTED_VALUE"""),"Muricilandia")</f>
        <v>Muricilandia</v>
      </c>
      <c r="C112" s="240" t="str">
        <f ca="1">IFERROR(__xludf.DUMMYFUNCTION("""COMPUTED_VALUE"""),"A.COM. DE AP. COL. EST. DE MURICILANDIA")</f>
        <v>A.COM. DE AP. COL. EST. DE MURICILANDIA</v>
      </c>
      <c r="D112" s="241" t="str">
        <f ca="1">IFERROR(__xludf.DUMMYFUNCTION("""COMPUTED_VALUE"""),"01911084000188")</f>
        <v>01911084000188</v>
      </c>
      <c r="E112" s="241" t="str">
        <f ca="1">IFERROR(__xludf.DUMMYFUNCTION("""COMPUTED_VALUE"""),"001")</f>
        <v>001</v>
      </c>
      <c r="F112" s="241" t="str">
        <f ca="1">IFERROR(__xludf.DUMMYFUNCTION("""COMPUTED_VALUE"""),"0638")</f>
        <v>0638</v>
      </c>
      <c r="G112" s="240" t="str">
        <f ca="1">IFERROR(__xludf.DUMMYFUNCTION("""COMPUTED_VALUE"""),"8350X")</f>
        <v>8350X</v>
      </c>
      <c r="H112" s="240" t="str">
        <f ca="1">IFERROR(__xludf.DUMMYFUNCTION("""COMPUTED_VALUE"""),"QUILOMBOLA")</f>
        <v>QUILOMBOLA</v>
      </c>
      <c r="I112" s="242">
        <f ca="1">IFERROR(__xludf.DUMMYFUNCTION("""COMPUTED_VALUE"""),2415)</f>
        <v>2415</v>
      </c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</row>
    <row r="113" spans="1:26" ht="21" customHeight="1">
      <c r="A113" s="240" t="str">
        <f ca="1">IFERROR(__xludf.DUMMYFUNCTION("""COMPUTED_VALUE"""),"Araguaina")</f>
        <v>Araguaina</v>
      </c>
      <c r="B113" s="240" t="str">
        <f ca="1">IFERROR(__xludf.DUMMYFUNCTION("""COMPUTED_VALUE"""),"Muricilandia")</f>
        <v>Muricilandia</v>
      </c>
      <c r="C113" s="240" t="str">
        <f ca="1">IFERROR(__xludf.DUMMYFUNCTION("""COMPUTED_VALUE"""),"A.COM. DE AP. COL. EST. DE MURICILANDIA")</f>
        <v>A.COM. DE AP. COL. EST. DE MURICILANDIA</v>
      </c>
      <c r="D113" s="241" t="str">
        <f ca="1">IFERROR(__xludf.DUMMYFUNCTION("""COMPUTED_VALUE"""),"01911084000188")</f>
        <v>01911084000188</v>
      </c>
      <c r="E113" s="241" t="str">
        <f ca="1">IFERROR(__xludf.DUMMYFUNCTION("""COMPUTED_VALUE"""),"001")</f>
        <v>001</v>
      </c>
      <c r="F113" s="241" t="str">
        <f ca="1">IFERROR(__xludf.DUMMYFUNCTION("""COMPUTED_VALUE"""),"0638")</f>
        <v>0638</v>
      </c>
      <c r="G113" s="240" t="str">
        <f ca="1">IFERROR(__xludf.DUMMYFUNCTION("""COMPUTED_VALUE"""),"8350X")</f>
        <v>8350X</v>
      </c>
      <c r="H113" s="240" t="str">
        <f ca="1">IFERROR(__xludf.DUMMYFUNCTION("""COMPUTED_VALUE"""),"AEE")</f>
        <v>AEE</v>
      </c>
      <c r="I113" s="242">
        <f ca="1">IFERROR(__xludf.DUMMYFUNCTION("""COMPUTED_VALUE"""),273)</f>
        <v>273</v>
      </c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</row>
    <row r="114" spans="1:26" ht="21" customHeight="1">
      <c r="A114" s="240" t="str">
        <f ca="1">IFERROR(__xludf.DUMMYFUNCTION("""COMPUTED_VALUE"""),"Araguaina")</f>
        <v>Araguaina</v>
      </c>
      <c r="B114" s="240" t="str">
        <f ca="1">IFERROR(__xludf.DUMMYFUNCTION("""COMPUTED_VALUE"""),"Muricilandia")</f>
        <v>Muricilandia</v>
      </c>
      <c r="C114" s="240" t="str">
        <f ca="1">IFERROR(__xludf.DUMMYFUNCTION("""COMPUTED_VALUE"""),"A.A. DA ESC. EST. MAL. COSTA E SILVA")</f>
        <v>A.A. DA ESC. EST. MAL. COSTA E SILVA</v>
      </c>
      <c r="D114" s="241" t="str">
        <f ca="1">IFERROR(__xludf.DUMMYFUNCTION("""COMPUTED_VALUE"""),"02032269000185")</f>
        <v>02032269000185</v>
      </c>
      <c r="E114" s="241" t="str">
        <f ca="1">IFERROR(__xludf.DUMMYFUNCTION("""COMPUTED_VALUE"""),"001")</f>
        <v>001</v>
      </c>
      <c r="F114" s="241" t="str">
        <f ca="1">IFERROR(__xludf.DUMMYFUNCTION("""COMPUTED_VALUE"""),"0638")</f>
        <v>0638</v>
      </c>
      <c r="G114" s="240" t="str">
        <f ca="1">IFERROR(__xludf.DUMMYFUNCTION("""COMPUTED_VALUE"""),"83550")</f>
        <v>83550</v>
      </c>
      <c r="H114" s="240" t="str">
        <f ca="1">IFERROR(__xludf.DUMMYFUNCTION("""COMPUTED_VALUE"""),"QUILOMBOLA")</f>
        <v>QUILOMBOLA</v>
      </c>
      <c r="I114" s="242">
        <f ca="1">IFERROR(__xludf.DUMMYFUNCTION("""COMPUTED_VALUE"""),5229)</f>
        <v>5229</v>
      </c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</row>
    <row r="115" spans="1:26" ht="21" customHeight="1">
      <c r="A115" s="240" t="str">
        <f ca="1">IFERROR(__xludf.DUMMYFUNCTION("""COMPUTED_VALUE"""),"Araguaina")</f>
        <v>Araguaina</v>
      </c>
      <c r="B115" s="240" t="str">
        <f ca="1">IFERROR(__xludf.DUMMYFUNCTION("""COMPUTED_VALUE"""),"Nova Olinda")</f>
        <v>Nova Olinda</v>
      </c>
      <c r="C115" s="240" t="str">
        <f ca="1">IFERROR(__xludf.DUMMYFUNCTION("""COMPUTED_VALUE"""),"A.A. ESC. COL. E. HELIO DE SOUZA BUENO")</f>
        <v>A.A. ESC. COL. E. HELIO DE SOUZA BUENO</v>
      </c>
      <c r="D115" s="241" t="str">
        <f ca="1">IFERROR(__xludf.DUMMYFUNCTION("""COMPUTED_VALUE"""),"01186466000196")</f>
        <v>01186466000196</v>
      </c>
      <c r="E115" s="241" t="str">
        <f ca="1">IFERROR(__xludf.DUMMYFUNCTION("""COMPUTED_VALUE"""),"001")</f>
        <v>001</v>
      </c>
      <c r="F115" s="241" t="str">
        <f ca="1">IFERROR(__xludf.DUMMYFUNCTION("""COMPUTED_VALUE"""),"0638")</f>
        <v>0638</v>
      </c>
      <c r="G115" s="240" t="str">
        <f ca="1">IFERROR(__xludf.DUMMYFUNCTION("""COMPUTED_VALUE"""),"0462985")</f>
        <v>0462985</v>
      </c>
      <c r="H115" s="240" t="str">
        <f ca="1">IFERROR(__xludf.DUMMYFUNCTION("""COMPUTED_VALUE"""),"E.F. PARCIAL")</f>
        <v>E.F. PARCIAL</v>
      </c>
      <c r="I115" s="242">
        <f ca="1">IFERROR(__xludf.DUMMYFUNCTION("""COMPUTED_VALUE"""),6363)</f>
        <v>6363</v>
      </c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</row>
    <row r="116" spans="1:26" ht="21" customHeight="1">
      <c r="A116" s="240" t="str">
        <f ca="1">IFERROR(__xludf.DUMMYFUNCTION("""COMPUTED_VALUE"""),"Araguaina")</f>
        <v>Araguaina</v>
      </c>
      <c r="B116" s="240" t="str">
        <f ca="1">IFERROR(__xludf.DUMMYFUNCTION("""COMPUTED_VALUE"""),"Nova Olinda")</f>
        <v>Nova Olinda</v>
      </c>
      <c r="C116" s="240" t="str">
        <f ca="1">IFERROR(__xludf.DUMMYFUNCTION("""COMPUTED_VALUE"""),"A.A. ESC. COL. E. HELIO DE SOUZA BUENO")</f>
        <v>A.A. ESC. COL. E. HELIO DE SOUZA BUENO</v>
      </c>
      <c r="D116" s="241" t="str">
        <f ca="1">IFERROR(__xludf.DUMMYFUNCTION("""COMPUTED_VALUE"""),"01186466000196")</f>
        <v>01186466000196</v>
      </c>
      <c r="E116" s="241" t="str">
        <f ca="1">IFERROR(__xludf.DUMMYFUNCTION("""COMPUTED_VALUE"""),"001")</f>
        <v>001</v>
      </c>
      <c r="F116" s="241" t="str">
        <f ca="1">IFERROR(__xludf.DUMMYFUNCTION("""COMPUTED_VALUE"""),"0638")</f>
        <v>0638</v>
      </c>
      <c r="G116" s="240" t="str">
        <f ca="1">IFERROR(__xludf.DUMMYFUNCTION("""COMPUTED_VALUE"""),"0462985")</f>
        <v>0462985</v>
      </c>
      <c r="H116" s="240" t="str">
        <f ca="1">IFERROR(__xludf.DUMMYFUNCTION("""COMPUTED_VALUE"""),"AEE")</f>
        <v>AEE</v>
      </c>
      <c r="I116" s="242">
        <f ca="1">IFERROR(__xludf.DUMMYFUNCTION("""COMPUTED_VALUE"""),399)</f>
        <v>399</v>
      </c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</row>
    <row r="117" spans="1:26" ht="21" customHeight="1">
      <c r="A117" s="240" t="str">
        <f ca="1">IFERROR(__xludf.DUMMYFUNCTION("""COMPUTED_VALUE"""),"Araguaina")</f>
        <v>Araguaina</v>
      </c>
      <c r="B117" s="240" t="str">
        <f ca="1">IFERROR(__xludf.DUMMYFUNCTION("""COMPUTED_VALUE"""),"Nova Olinda")</f>
        <v>Nova Olinda</v>
      </c>
      <c r="C117" s="240" t="str">
        <f ca="1">IFERROR(__xludf.DUMMYFUNCTION("""COMPUTED_VALUE"""),"A.A. ESC. COL. E. HELIO DE SOUZA BUENO")</f>
        <v>A.A. ESC. COL. E. HELIO DE SOUZA BUENO</v>
      </c>
      <c r="D117" s="241" t="str">
        <f ca="1">IFERROR(__xludf.DUMMYFUNCTION("""COMPUTED_VALUE"""),"01186466000196")</f>
        <v>01186466000196</v>
      </c>
      <c r="E117" s="241" t="str">
        <f ca="1">IFERROR(__xludf.DUMMYFUNCTION("""COMPUTED_VALUE"""),"001")</f>
        <v>001</v>
      </c>
      <c r="F117" s="241" t="str">
        <f ca="1">IFERROR(__xludf.DUMMYFUNCTION("""COMPUTED_VALUE"""),"0638")</f>
        <v>0638</v>
      </c>
      <c r="G117" s="240" t="str">
        <f ca="1">IFERROR(__xludf.DUMMYFUNCTION("""COMPUTED_VALUE"""),"0462985")</f>
        <v>0462985</v>
      </c>
      <c r="H117" s="240" t="str">
        <f ca="1">IFERROR(__xludf.DUMMYFUNCTION("""COMPUTED_VALUE"""),"ENS MEDIO PARCIAL")</f>
        <v>ENS MEDIO PARCIAL</v>
      </c>
      <c r="I117" s="242">
        <f ca="1">IFERROR(__xludf.DUMMYFUNCTION("""COMPUTED_VALUE"""),8316)</f>
        <v>8316</v>
      </c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</row>
    <row r="118" spans="1:26" ht="21" customHeight="1">
      <c r="A118" s="240" t="str">
        <f ca="1">IFERROR(__xludf.DUMMYFUNCTION("""COMPUTED_VALUE"""),"Araguaina")</f>
        <v>Araguaina</v>
      </c>
      <c r="B118" s="240" t="str">
        <f ca="1">IFERROR(__xludf.DUMMYFUNCTION("""COMPUTED_VALUE"""),"Nova Olinda")</f>
        <v>Nova Olinda</v>
      </c>
      <c r="C118" s="240" t="str">
        <f ca="1">IFERROR(__xludf.DUMMYFUNCTION("""COMPUTED_VALUE"""),"A.A. ESC. COL. E. HELIO DE SOUZA BUENO")</f>
        <v>A.A. ESC. COL. E. HELIO DE SOUZA BUENO</v>
      </c>
      <c r="D118" s="241" t="str">
        <f ca="1">IFERROR(__xludf.DUMMYFUNCTION("""COMPUTED_VALUE"""),"01186466000196")</f>
        <v>01186466000196</v>
      </c>
      <c r="E118" s="241" t="str">
        <f ca="1">IFERROR(__xludf.DUMMYFUNCTION("""COMPUTED_VALUE"""),"001")</f>
        <v>001</v>
      </c>
      <c r="F118" s="241" t="str">
        <f ca="1">IFERROR(__xludf.DUMMYFUNCTION("""COMPUTED_VALUE"""),"0638")</f>
        <v>0638</v>
      </c>
      <c r="G118" s="240" t="str">
        <f ca="1">IFERROR(__xludf.DUMMYFUNCTION("""COMPUTED_VALUE"""),"0462985")</f>
        <v>0462985</v>
      </c>
      <c r="H118" s="240" t="str">
        <f ca="1">IFERROR(__xludf.DUMMYFUNCTION("""COMPUTED_VALUE"""),"EJA")</f>
        <v>EJA</v>
      </c>
      <c r="I118" s="242">
        <f ca="1">IFERROR(__xludf.DUMMYFUNCTION("""COMPUTED_VALUE"""),1176)</f>
        <v>1176</v>
      </c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</row>
    <row r="119" spans="1:26" ht="21" customHeight="1">
      <c r="A119" s="240" t="str">
        <f ca="1">IFERROR(__xludf.DUMMYFUNCTION("""COMPUTED_VALUE"""),"Araguaina")</f>
        <v>Araguaina</v>
      </c>
      <c r="B119" s="240" t="str">
        <f ca="1">IFERROR(__xludf.DUMMYFUNCTION("""COMPUTED_VALUE"""),"Nova Olinda")</f>
        <v>Nova Olinda</v>
      </c>
      <c r="C119" s="240" t="str">
        <f ca="1">IFERROR(__xludf.DUMMYFUNCTION("""COMPUTED_VALUE"""),"A.A. E. E. PROFA. HAMEDY CURY QUEIROZ")</f>
        <v>A.A. E. E. PROFA. HAMEDY CURY QUEIROZ</v>
      </c>
      <c r="D119" s="241" t="str">
        <f ca="1">IFERROR(__xludf.DUMMYFUNCTION("""COMPUTED_VALUE"""),"01431375000179")</f>
        <v>01431375000179</v>
      </c>
      <c r="E119" s="241" t="str">
        <f ca="1">IFERROR(__xludf.DUMMYFUNCTION("""COMPUTED_VALUE"""),"001")</f>
        <v>001</v>
      </c>
      <c r="F119" s="241" t="str">
        <f ca="1">IFERROR(__xludf.DUMMYFUNCTION("""COMPUTED_VALUE"""),"0638")</f>
        <v>0638</v>
      </c>
      <c r="G119" s="240" t="str">
        <f ca="1">IFERROR(__xludf.DUMMYFUNCTION("""COMPUTED_VALUE"""),"0468010")</f>
        <v>0468010</v>
      </c>
      <c r="H119" s="240" t="str">
        <f ca="1">IFERROR(__xludf.DUMMYFUNCTION("""COMPUTED_VALUE"""),"E.F. PARCIAL")</f>
        <v>E.F. PARCIAL</v>
      </c>
      <c r="I119" s="242">
        <f ca="1">IFERROR(__xludf.DUMMYFUNCTION("""COMPUTED_VALUE"""),8820)</f>
        <v>8820</v>
      </c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</row>
    <row r="120" spans="1:26" ht="21" customHeight="1">
      <c r="A120" s="240" t="str">
        <f ca="1">IFERROR(__xludf.DUMMYFUNCTION("""COMPUTED_VALUE"""),"Araguaina")</f>
        <v>Araguaina</v>
      </c>
      <c r="B120" s="240" t="str">
        <f ca="1">IFERROR(__xludf.DUMMYFUNCTION("""COMPUTED_VALUE"""),"Nova Olinda")</f>
        <v>Nova Olinda</v>
      </c>
      <c r="C120" s="240" t="str">
        <f ca="1">IFERROR(__xludf.DUMMYFUNCTION("""COMPUTED_VALUE"""),"A.A. E. E. PROFA. HAMEDY CURY QUEIROZ")</f>
        <v>A.A. E. E. PROFA. HAMEDY CURY QUEIROZ</v>
      </c>
      <c r="D120" s="241" t="str">
        <f ca="1">IFERROR(__xludf.DUMMYFUNCTION("""COMPUTED_VALUE"""),"01431375000179")</f>
        <v>01431375000179</v>
      </c>
      <c r="E120" s="241" t="str">
        <f ca="1">IFERROR(__xludf.DUMMYFUNCTION("""COMPUTED_VALUE"""),"001")</f>
        <v>001</v>
      </c>
      <c r="F120" s="241" t="str">
        <f ca="1">IFERROR(__xludf.DUMMYFUNCTION("""COMPUTED_VALUE"""),"0638")</f>
        <v>0638</v>
      </c>
      <c r="G120" s="240" t="str">
        <f ca="1">IFERROR(__xludf.DUMMYFUNCTION("""COMPUTED_VALUE"""),"0468010")</f>
        <v>0468010</v>
      </c>
      <c r="H120" s="240" t="str">
        <f ca="1">IFERROR(__xludf.DUMMYFUNCTION("""COMPUTED_VALUE"""),"AEE")</f>
        <v>AEE</v>
      </c>
      <c r="I120" s="242">
        <f ca="1">IFERROR(__xludf.DUMMYFUNCTION("""COMPUTED_VALUE"""),420)</f>
        <v>420</v>
      </c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</row>
    <row r="121" spans="1:26" ht="21" customHeight="1">
      <c r="A121" s="240" t="str">
        <f ca="1">IFERROR(__xludf.DUMMYFUNCTION("""COMPUTED_VALUE"""),"Araguaina")</f>
        <v>Araguaina</v>
      </c>
      <c r="B121" s="240" t="str">
        <f ca="1">IFERROR(__xludf.DUMMYFUNCTION("""COMPUTED_VALUE"""),"Nova Olinda")</f>
        <v>Nova Olinda</v>
      </c>
      <c r="C121" s="240" t="str">
        <f ca="1">IFERROR(__xludf.DUMMYFUNCTION("""COMPUTED_VALUE"""),"ASSOCIAÇÃO DE APOIO A ESCOLA ESPECIAL RENASCER")</f>
        <v>ASSOCIAÇÃO DE APOIO A ESCOLA ESPECIAL RENASCER</v>
      </c>
      <c r="D121" s="241" t="str">
        <f ca="1">IFERROR(__xludf.DUMMYFUNCTION("""COMPUTED_VALUE"""),"07951646000101")</f>
        <v>07951646000101</v>
      </c>
      <c r="E121" s="241" t="str">
        <f ca="1">IFERROR(__xludf.DUMMYFUNCTION("""COMPUTED_VALUE"""),"001")</f>
        <v>001</v>
      </c>
      <c r="F121" s="241" t="str">
        <f ca="1">IFERROR(__xludf.DUMMYFUNCTION("""COMPUTED_VALUE"""),"0638")</f>
        <v>0638</v>
      </c>
      <c r="G121" s="240" t="str">
        <f ca="1">IFERROR(__xludf.DUMMYFUNCTION("""COMPUTED_VALUE"""),"541028")</f>
        <v>541028</v>
      </c>
      <c r="H121" s="240" t="str">
        <f ca="1">IFERROR(__xludf.DUMMYFUNCTION("""COMPUTED_VALUE"""),"E.F. PARCIAL")</f>
        <v>E.F. PARCIAL</v>
      </c>
      <c r="I121" s="242">
        <f ca="1">IFERROR(__xludf.DUMMYFUNCTION("""COMPUTED_VALUE"""),189)</f>
        <v>189</v>
      </c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</row>
    <row r="122" spans="1:26" ht="21" customHeight="1">
      <c r="A122" s="240" t="str">
        <f ca="1">IFERROR(__xludf.DUMMYFUNCTION("""COMPUTED_VALUE"""),"Araguaina")</f>
        <v>Araguaina</v>
      </c>
      <c r="B122" s="240" t="str">
        <f ca="1">IFERROR(__xludf.DUMMYFUNCTION("""COMPUTED_VALUE"""),"Nova Olinda")</f>
        <v>Nova Olinda</v>
      </c>
      <c r="C122" s="240" t="str">
        <f ca="1">IFERROR(__xludf.DUMMYFUNCTION("""COMPUTED_VALUE"""),"ASSOCIAÇÃO DE APOIO A ESCOLA ESPECIAL RENASCER")</f>
        <v>ASSOCIAÇÃO DE APOIO A ESCOLA ESPECIAL RENASCER</v>
      </c>
      <c r="D122" s="241" t="str">
        <f ca="1">IFERROR(__xludf.DUMMYFUNCTION("""COMPUTED_VALUE"""),"07951646000101")</f>
        <v>07951646000101</v>
      </c>
      <c r="E122" s="241" t="str">
        <f ca="1">IFERROR(__xludf.DUMMYFUNCTION("""COMPUTED_VALUE"""),"001")</f>
        <v>001</v>
      </c>
      <c r="F122" s="241" t="str">
        <f ca="1">IFERROR(__xludf.DUMMYFUNCTION("""COMPUTED_VALUE"""),"0638")</f>
        <v>0638</v>
      </c>
      <c r="G122" s="240" t="str">
        <f ca="1">IFERROR(__xludf.DUMMYFUNCTION("""COMPUTED_VALUE"""),"541028")</f>
        <v>541028</v>
      </c>
      <c r="H122" s="240" t="str">
        <f ca="1">IFERROR(__xludf.DUMMYFUNCTION("""COMPUTED_VALUE"""),"AEE")</f>
        <v>AEE</v>
      </c>
      <c r="I122" s="242">
        <f ca="1">IFERROR(__xludf.DUMMYFUNCTION("""COMPUTED_VALUE"""),1197)</f>
        <v>1197</v>
      </c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</row>
    <row r="123" spans="1:26" ht="21" customHeight="1">
      <c r="A123" s="240" t="str">
        <f ca="1">IFERROR(__xludf.DUMMYFUNCTION("""COMPUTED_VALUE"""),"Araguaina")</f>
        <v>Araguaina</v>
      </c>
      <c r="B123" s="240" t="str">
        <f ca="1">IFERROR(__xludf.DUMMYFUNCTION("""COMPUTED_VALUE"""),"Nova Olinda")</f>
        <v>Nova Olinda</v>
      </c>
      <c r="C123" s="240" t="str">
        <f ca="1">IFERROR(__xludf.DUMMYFUNCTION("""COMPUTED_VALUE"""),"ASSOCIAÇÃO DE APOIO A ESCOLA ESPECIAL RENASCER")</f>
        <v>ASSOCIAÇÃO DE APOIO A ESCOLA ESPECIAL RENASCER</v>
      </c>
      <c r="D123" s="241" t="str">
        <f ca="1">IFERROR(__xludf.DUMMYFUNCTION("""COMPUTED_VALUE"""),"07951646000101")</f>
        <v>07951646000101</v>
      </c>
      <c r="E123" s="241" t="str">
        <f ca="1">IFERROR(__xludf.DUMMYFUNCTION("""COMPUTED_VALUE"""),"001")</f>
        <v>001</v>
      </c>
      <c r="F123" s="241" t="str">
        <f ca="1">IFERROR(__xludf.DUMMYFUNCTION("""COMPUTED_VALUE"""),"0638")</f>
        <v>0638</v>
      </c>
      <c r="G123" s="240" t="str">
        <f ca="1">IFERROR(__xludf.DUMMYFUNCTION("""COMPUTED_VALUE"""),"541028")</f>
        <v>541028</v>
      </c>
      <c r="H123" s="240" t="str">
        <f ca="1">IFERROR(__xludf.DUMMYFUNCTION("""COMPUTED_VALUE"""),"EJA")</f>
        <v>EJA</v>
      </c>
      <c r="I123" s="242">
        <f ca="1">IFERROR(__xludf.DUMMYFUNCTION("""COMPUTED_VALUE"""),1008)</f>
        <v>1008</v>
      </c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</row>
    <row r="124" spans="1:26" ht="21" customHeight="1">
      <c r="A124" s="240" t="str">
        <f ca="1">IFERROR(__xludf.DUMMYFUNCTION("""COMPUTED_VALUE"""),"Araguaina")</f>
        <v>Araguaina</v>
      </c>
      <c r="B124" s="240" t="str">
        <f ca="1">IFERROR(__xludf.DUMMYFUNCTION("""COMPUTED_VALUE"""),"Piraque")</f>
        <v>Piraque</v>
      </c>
      <c r="C124" s="240" t="str">
        <f ca="1">IFERROR(__xludf.DUMMYFUNCTION("""COMPUTED_VALUE"""),"A.A.  ESCOLA ESTADUAL SAO JOSE")</f>
        <v>A.A.  ESCOLA ESTADUAL SAO JOSE</v>
      </c>
      <c r="D124" s="241" t="str">
        <f ca="1">IFERROR(__xludf.DUMMYFUNCTION("""COMPUTED_VALUE"""),"01243654000109")</f>
        <v>01243654000109</v>
      </c>
      <c r="E124" s="241" t="str">
        <f ca="1">IFERROR(__xludf.DUMMYFUNCTION("""COMPUTED_VALUE"""),"001")</f>
        <v>001</v>
      </c>
      <c r="F124" s="241" t="str">
        <f ca="1">IFERROR(__xludf.DUMMYFUNCTION("""COMPUTED_VALUE"""),"0638")</f>
        <v>0638</v>
      </c>
      <c r="G124" s="240" t="str">
        <f ca="1">IFERROR(__xludf.DUMMYFUNCTION("""COMPUTED_VALUE"""),"465283")</f>
        <v>465283</v>
      </c>
      <c r="H124" s="240" t="str">
        <f ca="1">IFERROR(__xludf.DUMMYFUNCTION("""COMPUTED_VALUE"""),"E.F. PARCIAL")</f>
        <v>E.F. PARCIAL</v>
      </c>
      <c r="I124" s="242">
        <f ca="1">IFERROR(__xludf.DUMMYFUNCTION("""COMPUTED_VALUE"""),2688)</f>
        <v>2688</v>
      </c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</row>
    <row r="125" spans="1:26" ht="21" customHeight="1">
      <c r="A125" s="240" t="str">
        <f ca="1">IFERROR(__xludf.DUMMYFUNCTION("""COMPUTED_VALUE"""),"Araguaina")</f>
        <v>Araguaina</v>
      </c>
      <c r="B125" s="240" t="str">
        <f ca="1">IFERROR(__xludf.DUMMYFUNCTION("""COMPUTED_VALUE"""),"Piraque")</f>
        <v>Piraque</v>
      </c>
      <c r="C125" s="240" t="str">
        <f ca="1">IFERROR(__xludf.DUMMYFUNCTION("""COMPUTED_VALUE"""),"A.A.  ESCOLA ESTADUAL SAO JOSE")</f>
        <v>A.A.  ESCOLA ESTADUAL SAO JOSE</v>
      </c>
      <c r="D125" s="241" t="str">
        <f ca="1">IFERROR(__xludf.DUMMYFUNCTION("""COMPUTED_VALUE"""),"01243654000109")</f>
        <v>01243654000109</v>
      </c>
      <c r="E125" s="241" t="str">
        <f ca="1">IFERROR(__xludf.DUMMYFUNCTION("""COMPUTED_VALUE"""),"001")</f>
        <v>001</v>
      </c>
      <c r="F125" s="241" t="str">
        <f ca="1">IFERROR(__xludf.DUMMYFUNCTION("""COMPUTED_VALUE"""),"0638")</f>
        <v>0638</v>
      </c>
      <c r="G125" s="240" t="str">
        <f ca="1">IFERROR(__xludf.DUMMYFUNCTION("""COMPUTED_VALUE"""),"465283")</f>
        <v>465283</v>
      </c>
      <c r="H125" s="240" t="str">
        <f ca="1">IFERROR(__xludf.DUMMYFUNCTION("""COMPUTED_VALUE"""),"ENS MEDIO PARCIAL")</f>
        <v>ENS MEDIO PARCIAL</v>
      </c>
      <c r="I125" s="242">
        <f ca="1">IFERROR(__xludf.DUMMYFUNCTION("""COMPUTED_VALUE"""),1890)</f>
        <v>1890</v>
      </c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</row>
    <row r="126" spans="1:26" ht="21" customHeight="1">
      <c r="A126" s="240" t="str">
        <f ca="1">IFERROR(__xludf.DUMMYFUNCTION("""COMPUTED_VALUE"""),"Araguaina")</f>
        <v>Araguaina</v>
      </c>
      <c r="B126" s="240" t="str">
        <f ca="1">IFERROR(__xludf.DUMMYFUNCTION("""COMPUTED_VALUE"""),"Riachinho")</f>
        <v>Riachinho</v>
      </c>
      <c r="C126" s="240" t="str">
        <f ca="1">IFERROR(__xludf.DUMMYFUNCTION("""COMPUTED_VALUE"""),"ASSOC. DE APOIO ESC. EST. JOAO XXIII")</f>
        <v>ASSOC. DE APOIO ESC. EST. JOAO XXIII</v>
      </c>
      <c r="D126" s="241" t="str">
        <f ca="1">IFERROR(__xludf.DUMMYFUNCTION("""COMPUTED_VALUE"""),"01136006000153")</f>
        <v>01136006000153</v>
      </c>
      <c r="E126" s="241" t="str">
        <f ca="1">IFERROR(__xludf.DUMMYFUNCTION("""COMPUTED_VALUE"""),"001")</f>
        <v>001</v>
      </c>
      <c r="F126" s="241" t="str">
        <f ca="1">IFERROR(__xludf.DUMMYFUNCTION("""COMPUTED_VALUE"""),"3973")</f>
        <v>3973</v>
      </c>
      <c r="G126" s="240" t="str">
        <f ca="1">IFERROR(__xludf.DUMMYFUNCTION("""COMPUTED_VALUE"""),"51969")</f>
        <v>51969</v>
      </c>
      <c r="H126" s="240" t="str">
        <f ca="1">IFERROR(__xludf.DUMMYFUNCTION("""COMPUTED_VALUE"""),"AEE")</f>
        <v>AEE</v>
      </c>
      <c r="I126" s="242">
        <f ca="1">IFERROR(__xludf.DUMMYFUNCTION("""COMPUTED_VALUE"""),105)</f>
        <v>105</v>
      </c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</row>
    <row r="127" spans="1:26" ht="21" customHeight="1">
      <c r="A127" s="240" t="str">
        <f ca="1">IFERROR(__xludf.DUMMYFUNCTION("""COMPUTED_VALUE"""),"Araguaina")</f>
        <v>Araguaina</v>
      </c>
      <c r="B127" s="240" t="str">
        <f ca="1">IFERROR(__xludf.DUMMYFUNCTION("""COMPUTED_VALUE"""),"Riachinho")</f>
        <v>Riachinho</v>
      </c>
      <c r="C127" s="240" t="str">
        <f ca="1">IFERROR(__xludf.DUMMYFUNCTION("""COMPUTED_VALUE"""),"ASSOC. DE APOIO ESC. EST. JOAO XXIII")</f>
        <v>ASSOC. DE APOIO ESC. EST. JOAO XXIII</v>
      </c>
      <c r="D127" s="241" t="str">
        <f ca="1">IFERROR(__xludf.DUMMYFUNCTION("""COMPUTED_VALUE"""),"01136006000153")</f>
        <v>01136006000153</v>
      </c>
      <c r="E127" s="241" t="str">
        <f ca="1">IFERROR(__xludf.DUMMYFUNCTION("""COMPUTED_VALUE"""),"001")</f>
        <v>001</v>
      </c>
      <c r="F127" s="241" t="str">
        <f ca="1">IFERROR(__xludf.DUMMYFUNCTION("""COMPUTED_VALUE"""),"3973")</f>
        <v>3973</v>
      </c>
      <c r="G127" s="240" t="str">
        <f ca="1">IFERROR(__xludf.DUMMYFUNCTION("""COMPUTED_VALUE"""),"51969")</f>
        <v>51969</v>
      </c>
      <c r="H127" s="240" t="str">
        <f ca="1">IFERROR(__xludf.DUMMYFUNCTION("""COMPUTED_VALUE"""),"ENS MEDIO PARCIAL")</f>
        <v>ENS MEDIO PARCIAL</v>
      </c>
      <c r="I127" s="242">
        <f ca="1">IFERROR(__xludf.DUMMYFUNCTION("""COMPUTED_VALUE"""),4158)</f>
        <v>4158</v>
      </c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</row>
    <row r="128" spans="1:26" ht="21" customHeight="1">
      <c r="A128" s="240" t="str">
        <f ca="1">IFERROR(__xludf.DUMMYFUNCTION("""COMPUTED_VALUE"""),"Araguaina")</f>
        <v>Araguaina</v>
      </c>
      <c r="B128" s="240" t="str">
        <f ca="1">IFERROR(__xludf.DUMMYFUNCTION("""COMPUTED_VALUE"""),"Santa Fe do Araguaia")</f>
        <v>Santa Fe do Araguaia</v>
      </c>
      <c r="C128" s="240" t="str">
        <f ca="1">IFERROR(__xludf.DUMMYFUNCTION("""COMPUTED_VALUE"""),"A. DE AP. DA ESCOLA EST. CASTRO ALVES")</f>
        <v>A. DE AP. DA ESCOLA EST. CASTRO ALVES</v>
      </c>
      <c r="D128" s="241" t="str">
        <f ca="1">IFERROR(__xludf.DUMMYFUNCTION("""COMPUTED_VALUE"""),"01673181000180")</f>
        <v>01673181000180</v>
      </c>
      <c r="E128" s="241" t="str">
        <f ca="1">IFERROR(__xludf.DUMMYFUNCTION("""COMPUTED_VALUE"""),"001")</f>
        <v>001</v>
      </c>
      <c r="F128" s="241" t="str">
        <f ca="1">IFERROR(__xludf.DUMMYFUNCTION("""COMPUTED_VALUE"""),"4791")</f>
        <v>4791</v>
      </c>
      <c r="G128" s="240" t="str">
        <f ca="1">IFERROR(__xludf.DUMMYFUNCTION("""COMPUTED_VALUE"""),"54739")</f>
        <v>54739</v>
      </c>
      <c r="H128" s="240" t="str">
        <f ca="1">IFERROR(__xludf.DUMMYFUNCTION("""COMPUTED_VALUE"""),"E.F. PARCIAL")</f>
        <v>E.F. PARCIAL</v>
      </c>
      <c r="I128" s="242">
        <f ca="1">IFERROR(__xludf.DUMMYFUNCTION("""COMPUTED_VALUE"""),8148)</f>
        <v>8148</v>
      </c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</row>
    <row r="129" spans="1:26" ht="21" customHeight="1">
      <c r="A129" s="240" t="str">
        <f ca="1">IFERROR(__xludf.DUMMYFUNCTION("""COMPUTED_VALUE"""),"Araguaina")</f>
        <v>Araguaina</v>
      </c>
      <c r="B129" s="240" t="str">
        <f ca="1">IFERROR(__xludf.DUMMYFUNCTION("""COMPUTED_VALUE"""),"Santa Fe do Araguaia")</f>
        <v>Santa Fe do Araguaia</v>
      </c>
      <c r="C129" s="240" t="str">
        <f ca="1">IFERROR(__xludf.DUMMYFUNCTION("""COMPUTED_VALUE"""),"A. DE AP. DA ESCOLA EST. CASTRO ALVES")</f>
        <v>A. DE AP. DA ESCOLA EST. CASTRO ALVES</v>
      </c>
      <c r="D129" s="241" t="str">
        <f ca="1">IFERROR(__xludf.DUMMYFUNCTION("""COMPUTED_VALUE"""),"01673181000180")</f>
        <v>01673181000180</v>
      </c>
      <c r="E129" s="241" t="str">
        <f ca="1">IFERROR(__xludf.DUMMYFUNCTION("""COMPUTED_VALUE"""),"001")</f>
        <v>001</v>
      </c>
      <c r="F129" s="241" t="str">
        <f ca="1">IFERROR(__xludf.DUMMYFUNCTION("""COMPUTED_VALUE"""),"4791")</f>
        <v>4791</v>
      </c>
      <c r="G129" s="240" t="str">
        <f ca="1">IFERROR(__xludf.DUMMYFUNCTION("""COMPUTED_VALUE"""),"54739")</f>
        <v>54739</v>
      </c>
      <c r="H129" s="240" t="str">
        <f ca="1">IFERROR(__xludf.DUMMYFUNCTION("""COMPUTED_VALUE"""),"AEE")</f>
        <v>AEE</v>
      </c>
      <c r="I129" s="242">
        <f ca="1">IFERROR(__xludf.DUMMYFUNCTION("""COMPUTED_VALUE"""),441)</f>
        <v>441</v>
      </c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</row>
    <row r="130" spans="1:26" ht="21" customHeight="1">
      <c r="A130" s="240" t="str">
        <f ca="1">IFERROR(__xludf.DUMMYFUNCTION("""COMPUTED_VALUE"""),"Araguaina")</f>
        <v>Araguaina</v>
      </c>
      <c r="B130" s="240" t="str">
        <f ca="1">IFERROR(__xludf.DUMMYFUNCTION("""COMPUTED_VALUE"""),"Santa Fe do Araguaia")</f>
        <v>Santa Fe do Araguaia</v>
      </c>
      <c r="C130" s="240" t="str">
        <f ca="1">IFERROR(__xludf.DUMMYFUNCTION("""COMPUTED_VALUE"""),"A. DE AP. DA ESCOLA EST. CASTRO ALVES")</f>
        <v>A. DE AP. DA ESCOLA EST. CASTRO ALVES</v>
      </c>
      <c r="D130" s="241" t="str">
        <f ca="1">IFERROR(__xludf.DUMMYFUNCTION("""COMPUTED_VALUE"""),"01673181000180")</f>
        <v>01673181000180</v>
      </c>
      <c r="E130" s="241" t="str">
        <f ca="1">IFERROR(__xludf.DUMMYFUNCTION("""COMPUTED_VALUE"""),"001")</f>
        <v>001</v>
      </c>
      <c r="F130" s="241" t="str">
        <f ca="1">IFERROR(__xludf.DUMMYFUNCTION("""COMPUTED_VALUE"""),"4791")</f>
        <v>4791</v>
      </c>
      <c r="G130" s="240" t="str">
        <f ca="1">IFERROR(__xludf.DUMMYFUNCTION("""COMPUTED_VALUE"""),"54739")</f>
        <v>54739</v>
      </c>
      <c r="H130" s="240" t="str">
        <f ca="1">IFERROR(__xludf.DUMMYFUNCTION("""COMPUTED_VALUE"""),"ENS MEDIO PARCIAL")</f>
        <v>ENS MEDIO PARCIAL</v>
      </c>
      <c r="I130" s="242">
        <f ca="1">IFERROR(__xludf.DUMMYFUNCTION("""COMPUTED_VALUE"""),1218)</f>
        <v>1218</v>
      </c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</row>
    <row r="131" spans="1:26" ht="21" customHeight="1">
      <c r="A131" s="240" t="str">
        <f ca="1">IFERROR(__xludf.DUMMYFUNCTION("""COMPUTED_VALUE"""),"Araguaina")</f>
        <v>Araguaina</v>
      </c>
      <c r="B131" s="240" t="str">
        <f ca="1">IFERROR(__xludf.DUMMYFUNCTION("""COMPUTED_VALUE"""),"Santa Fe do Araguaia")</f>
        <v>Santa Fe do Araguaia</v>
      </c>
      <c r="C131" s="240" t="str">
        <f ca="1">IFERROR(__xludf.DUMMYFUNCTION("""COMPUTED_VALUE"""),"A. DE AP. DA ESCOLA EST. CASTRO ALVES")</f>
        <v>A. DE AP. DA ESCOLA EST. CASTRO ALVES</v>
      </c>
      <c r="D131" s="241" t="str">
        <f ca="1">IFERROR(__xludf.DUMMYFUNCTION("""COMPUTED_VALUE"""),"01673181000180")</f>
        <v>01673181000180</v>
      </c>
      <c r="E131" s="241" t="str">
        <f ca="1">IFERROR(__xludf.DUMMYFUNCTION("""COMPUTED_VALUE"""),"001")</f>
        <v>001</v>
      </c>
      <c r="F131" s="241" t="str">
        <f ca="1">IFERROR(__xludf.DUMMYFUNCTION("""COMPUTED_VALUE"""),"4791")</f>
        <v>4791</v>
      </c>
      <c r="G131" s="240" t="str">
        <f ca="1">IFERROR(__xludf.DUMMYFUNCTION("""COMPUTED_VALUE"""),"54739")</f>
        <v>54739</v>
      </c>
      <c r="H131" s="240" t="str">
        <f ca="1">IFERROR(__xludf.DUMMYFUNCTION("""COMPUTED_VALUE"""),"EJA")</f>
        <v>EJA</v>
      </c>
      <c r="I131" s="242">
        <f ca="1">IFERROR(__xludf.DUMMYFUNCTION("""COMPUTED_VALUE"""),462)</f>
        <v>462</v>
      </c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</row>
    <row r="132" spans="1:26" ht="21" customHeight="1">
      <c r="A132" s="240" t="str">
        <f ca="1">IFERROR(__xludf.DUMMYFUNCTION("""COMPUTED_VALUE"""),"Araguaina")</f>
        <v>Araguaina</v>
      </c>
      <c r="B132" s="240" t="str">
        <f ca="1">IFERROR(__xludf.DUMMYFUNCTION("""COMPUTED_VALUE"""),"Santa Fe do Araguaia")</f>
        <v>Santa Fe do Araguaia</v>
      </c>
      <c r="C132" s="240" t="str">
        <f ca="1">IFERROR(__xludf.DUMMYFUNCTION("""COMPUTED_VALUE"""),"A.A. ESC. EST. ANAIDES BRITO MIRANDA")</f>
        <v>A.A. ESC. EST. ANAIDES BRITO MIRANDA</v>
      </c>
      <c r="D132" s="241" t="str">
        <f ca="1">IFERROR(__xludf.DUMMYFUNCTION("""COMPUTED_VALUE"""),"01919025000156")</f>
        <v>01919025000156</v>
      </c>
      <c r="E132" s="241" t="str">
        <f ca="1">IFERROR(__xludf.DUMMYFUNCTION("""COMPUTED_VALUE"""),"001")</f>
        <v>001</v>
      </c>
      <c r="F132" s="241" t="str">
        <f ca="1">IFERROR(__xludf.DUMMYFUNCTION("""COMPUTED_VALUE"""),"4791")</f>
        <v>4791</v>
      </c>
      <c r="G132" s="240" t="str">
        <f ca="1">IFERROR(__xludf.DUMMYFUNCTION("""COMPUTED_VALUE"""),"54682")</f>
        <v>54682</v>
      </c>
      <c r="H132" s="240" t="str">
        <f ca="1">IFERROR(__xludf.DUMMYFUNCTION("""COMPUTED_VALUE"""),"ENS MEDIO PARCIAL")</f>
        <v>ENS MEDIO PARCIAL</v>
      </c>
      <c r="I132" s="242">
        <f ca="1">IFERROR(__xludf.DUMMYFUNCTION("""COMPUTED_VALUE"""),5187)</f>
        <v>5187</v>
      </c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</row>
    <row r="133" spans="1:26" ht="21" customHeight="1">
      <c r="A133" s="240" t="str">
        <f ca="1">IFERROR(__xludf.DUMMYFUNCTION("""COMPUTED_VALUE"""),"Araguaina")</f>
        <v>Araguaina</v>
      </c>
      <c r="B133" s="240" t="str">
        <f ca="1">IFERROR(__xludf.DUMMYFUNCTION("""COMPUTED_VALUE"""),"Wanderlandia")</f>
        <v>Wanderlandia</v>
      </c>
      <c r="C133" s="240" t="str">
        <f ca="1">IFERROR(__xludf.DUMMYFUNCTION("""COMPUTED_VALUE"""),"A.APOIO ESCOLA ESTADUAL D. PEDRO II")</f>
        <v>A.APOIO ESCOLA ESTADUAL D. PEDRO II</v>
      </c>
      <c r="D133" s="241" t="str">
        <f ca="1">IFERROR(__xludf.DUMMYFUNCTION("""COMPUTED_VALUE"""),"01186465000141")</f>
        <v>01186465000141</v>
      </c>
      <c r="E133" s="241" t="str">
        <f ca="1">IFERROR(__xludf.DUMMYFUNCTION("""COMPUTED_VALUE"""),"001")</f>
        <v>001</v>
      </c>
      <c r="F133" s="241" t="str">
        <f ca="1">IFERROR(__xludf.DUMMYFUNCTION("""COMPUTED_VALUE"""),"0638")</f>
        <v>0638</v>
      </c>
      <c r="G133" s="240" t="str">
        <f ca="1">IFERROR(__xludf.DUMMYFUNCTION("""COMPUTED_VALUE"""),"0463108")</f>
        <v>0463108</v>
      </c>
      <c r="H133" s="240" t="str">
        <f ca="1">IFERROR(__xludf.DUMMYFUNCTION("""COMPUTED_VALUE"""),"E.F. PARCIAL")</f>
        <v>E.F. PARCIAL</v>
      </c>
      <c r="I133" s="242">
        <f ca="1">IFERROR(__xludf.DUMMYFUNCTION("""COMPUTED_VALUE"""),5418)</f>
        <v>5418</v>
      </c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</row>
    <row r="134" spans="1:26" ht="21" customHeight="1">
      <c r="A134" s="240" t="str">
        <f ca="1">IFERROR(__xludf.DUMMYFUNCTION("""COMPUTED_VALUE"""),"Araguaina")</f>
        <v>Araguaina</v>
      </c>
      <c r="B134" s="240" t="str">
        <f ca="1">IFERROR(__xludf.DUMMYFUNCTION("""COMPUTED_VALUE"""),"Wanderlandia")</f>
        <v>Wanderlandia</v>
      </c>
      <c r="C134" s="240" t="str">
        <f ca="1">IFERROR(__xludf.DUMMYFUNCTION("""COMPUTED_VALUE"""),"A.APOIO ESCOLA ESTADUAL D. PEDRO II")</f>
        <v>A.APOIO ESCOLA ESTADUAL D. PEDRO II</v>
      </c>
      <c r="D134" s="241" t="str">
        <f ca="1">IFERROR(__xludf.DUMMYFUNCTION("""COMPUTED_VALUE"""),"01186465000141")</f>
        <v>01186465000141</v>
      </c>
      <c r="E134" s="241" t="str">
        <f ca="1">IFERROR(__xludf.DUMMYFUNCTION("""COMPUTED_VALUE"""),"001")</f>
        <v>001</v>
      </c>
      <c r="F134" s="241" t="str">
        <f ca="1">IFERROR(__xludf.DUMMYFUNCTION("""COMPUTED_VALUE"""),"0638")</f>
        <v>0638</v>
      </c>
      <c r="G134" s="240" t="str">
        <f ca="1">IFERROR(__xludf.DUMMYFUNCTION("""COMPUTED_VALUE"""),"0463108")</f>
        <v>0463108</v>
      </c>
      <c r="H134" s="240" t="str">
        <f ca="1">IFERROR(__xludf.DUMMYFUNCTION("""COMPUTED_VALUE"""),"AEE")</f>
        <v>AEE</v>
      </c>
      <c r="I134" s="242">
        <f ca="1">IFERROR(__xludf.DUMMYFUNCTION("""COMPUTED_VALUE"""),399)</f>
        <v>399</v>
      </c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</row>
    <row r="135" spans="1:26" ht="21" customHeight="1">
      <c r="A135" s="240" t="str">
        <f ca="1">IFERROR(__xludf.DUMMYFUNCTION("""COMPUTED_VALUE"""),"Araguaina")</f>
        <v>Araguaina</v>
      </c>
      <c r="B135" s="240" t="str">
        <f ca="1">IFERROR(__xludf.DUMMYFUNCTION("""COMPUTED_VALUE"""),"Wanderlandia")</f>
        <v>Wanderlandia</v>
      </c>
      <c r="C135" s="240" t="str">
        <f ca="1">IFERROR(__xludf.DUMMYFUNCTION("""COMPUTED_VALUE"""),"A.APOIO ESCOLA ESTADUAL D. PEDRO II")</f>
        <v>A.APOIO ESCOLA ESTADUAL D. PEDRO II</v>
      </c>
      <c r="D135" s="241" t="str">
        <f ca="1">IFERROR(__xludf.DUMMYFUNCTION("""COMPUTED_VALUE"""),"01186465000141")</f>
        <v>01186465000141</v>
      </c>
      <c r="E135" s="241" t="str">
        <f ca="1">IFERROR(__xludf.DUMMYFUNCTION("""COMPUTED_VALUE"""),"001")</f>
        <v>001</v>
      </c>
      <c r="F135" s="241" t="str">
        <f ca="1">IFERROR(__xludf.DUMMYFUNCTION("""COMPUTED_VALUE"""),"0638")</f>
        <v>0638</v>
      </c>
      <c r="G135" s="240" t="str">
        <f ca="1">IFERROR(__xludf.DUMMYFUNCTION("""COMPUTED_VALUE"""),"0463108")</f>
        <v>0463108</v>
      </c>
      <c r="H135" s="240" t="str">
        <f ca="1">IFERROR(__xludf.DUMMYFUNCTION("""COMPUTED_VALUE"""),"EJA")</f>
        <v>EJA</v>
      </c>
      <c r="I135" s="242">
        <f ca="1">IFERROR(__xludf.DUMMYFUNCTION("""COMPUTED_VALUE"""),1806)</f>
        <v>1806</v>
      </c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</row>
    <row r="136" spans="1:26" ht="21" customHeight="1">
      <c r="A136" s="240" t="str">
        <f ca="1">IFERROR(__xludf.DUMMYFUNCTION("""COMPUTED_VALUE"""),"Araguaina")</f>
        <v>Araguaina</v>
      </c>
      <c r="B136" s="240" t="str">
        <f ca="1">IFERROR(__xludf.DUMMYFUNCTION("""COMPUTED_VALUE"""),"Wanderlandia")</f>
        <v>Wanderlandia</v>
      </c>
      <c r="C136" s="240" t="str">
        <f ca="1">IFERROR(__xludf.DUMMYFUNCTION("""COMPUTED_VALUE"""),"A.A. COL. ESTADUAL JOSE LUIZ SIQUEIRA")</f>
        <v>A.A. COL. ESTADUAL JOSE LUIZ SIQUEIRA</v>
      </c>
      <c r="D136" s="241" t="str">
        <f ca="1">IFERROR(__xludf.DUMMYFUNCTION("""COMPUTED_VALUE"""),"01257082000117")</f>
        <v>01257082000117</v>
      </c>
      <c r="E136" s="241" t="str">
        <f ca="1">IFERROR(__xludf.DUMMYFUNCTION("""COMPUTED_VALUE"""),"001")</f>
        <v>001</v>
      </c>
      <c r="F136" s="241" t="str">
        <f ca="1">IFERROR(__xludf.DUMMYFUNCTION("""COMPUTED_VALUE"""),"0638")</f>
        <v>0638</v>
      </c>
      <c r="G136" s="240" t="str">
        <f ca="1">IFERROR(__xludf.DUMMYFUNCTION("""COMPUTED_VALUE"""),"0465291")</f>
        <v>0465291</v>
      </c>
      <c r="H136" s="240" t="str">
        <f ca="1">IFERROR(__xludf.DUMMYFUNCTION("""COMPUTED_VALUE"""),"E.F. PARCIAL")</f>
        <v>E.F. PARCIAL</v>
      </c>
      <c r="I136" s="242">
        <f ca="1">IFERROR(__xludf.DUMMYFUNCTION("""COMPUTED_VALUE"""),2646)</f>
        <v>2646</v>
      </c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</row>
    <row r="137" spans="1:26" ht="21" customHeight="1">
      <c r="A137" s="240" t="str">
        <f ca="1">IFERROR(__xludf.DUMMYFUNCTION("""COMPUTED_VALUE"""),"Araguaina")</f>
        <v>Araguaina</v>
      </c>
      <c r="B137" s="240" t="str">
        <f ca="1">IFERROR(__xludf.DUMMYFUNCTION("""COMPUTED_VALUE"""),"Wanderlandia")</f>
        <v>Wanderlandia</v>
      </c>
      <c r="C137" s="240" t="str">
        <f ca="1">IFERROR(__xludf.DUMMYFUNCTION("""COMPUTED_VALUE"""),"A.A. COL. ESTADUAL JOSE LUIZ SIQUEIRA")</f>
        <v>A.A. COL. ESTADUAL JOSE LUIZ SIQUEIRA</v>
      </c>
      <c r="D137" s="241" t="str">
        <f ca="1">IFERROR(__xludf.DUMMYFUNCTION("""COMPUTED_VALUE"""),"01257082000117")</f>
        <v>01257082000117</v>
      </c>
      <c r="E137" s="241" t="str">
        <f ca="1">IFERROR(__xludf.DUMMYFUNCTION("""COMPUTED_VALUE"""),"001")</f>
        <v>001</v>
      </c>
      <c r="F137" s="241" t="str">
        <f ca="1">IFERROR(__xludf.DUMMYFUNCTION("""COMPUTED_VALUE"""),"0638")</f>
        <v>0638</v>
      </c>
      <c r="G137" s="240" t="str">
        <f ca="1">IFERROR(__xludf.DUMMYFUNCTION("""COMPUTED_VALUE"""),"0465291")</f>
        <v>0465291</v>
      </c>
      <c r="H137" s="240" t="str">
        <f ca="1">IFERROR(__xludf.DUMMYFUNCTION("""COMPUTED_VALUE"""),"AEE")</f>
        <v>AEE</v>
      </c>
      <c r="I137" s="242">
        <f ca="1">IFERROR(__xludf.DUMMYFUNCTION("""COMPUTED_VALUE"""),504)</f>
        <v>504</v>
      </c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</row>
    <row r="138" spans="1:26" ht="21" customHeight="1">
      <c r="A138" s="240" t="str">
        <f ca="1">IFERROR(__xludf.DUMMYFUNCTION("""COMPUTED_VALUE"""),"Araguaina")</f>
        <v>Araguaina</v>
      </c>
      <c r="B138" s="240" t="str">
        <f ca="1">IFERROR(__xludf.DUMMYFUNCTION("""COMPUTED_VALUE"""),"Wanderlandia")</f>
        <v>Wanderlandia</v>
      </c>
      <c r="C138" s="240" t="str">
        <f ca="1">IFERROR(__xludf.DUMMYFUNCTION("""COMPUTED_VALUE"""),"A.A. COL. ESTADUAL JOSE LUIZ SIQUEIRA")</f>
        <v>A.A. COL. ESTADUAL JOSE LUIZ SIQUEIRA</v>
      </c>
      <c r="D138" s="241" t="str">
        <f ca="1">IFERROR(__xludf.DUMMYFUNCTION("""COMPUTED_VALUE"""),"01257082000117")</f>
        <v>01257082000117</v>
      </c>
      <c r="E138" s="241" t="str">
        <f ca="1">IFERROR(__xludf.DUMMYFUNCTION("""COMPUTED_VALUE"""),"001")</f>
        <v>001</v>
      </c>
      <c r="F138" s="241" t="str">
        <f ca="1">IFERROR(__xludf.DUMMYFUNCTION("""COMPUTED_VALUE"""),"0638")</f>
        <v>0638</v>
      </c>
      <c r="G138" s="240" t="str">
        <f ca="1">IFERROR(__xludf.DUMMYFUNCTION("""COMPUTED_VALUE"""),"0465291")</f>
        <v>0465291</v>
      </c>
      <c r="H138" s="240" t="str">
        <f ca="1">IFERROR(__xludf.DUMMYFUNCTION("""COMPUTED_VALUE"""),"ENS MEDIO PARCIAL")</f>
        <v>ENS MEDIO PARCIAL</v>
      </c>
      <c r="I138" s="242">
        <f ca="1">IFERROR(__xludf.DUMMYFUNCTION("""COMPUTED_VALUE"""),6048)</f>
        <v>6048</v>
      </c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</row>
    <row r="139" spans="1:26" ht="21" customHeight="1">
      <c r="A139" s="240" t="str">
        <f ca="1">IFERROR(__xludf.DUMMYFUNCTION("""COMPUTED_VALUE"""),"Araguaina")</f>
        <v>Araguaina</v>
      </c>
      <c r="B139" s="240" t="str">
        <f ca="1">IFERROR(__xludf.DUMMYFUNCTION("""COMPUTED_VALUE"""),"Wanderlandia")</f>
        <v>Wanderlandia</v>
      </c>
      <c r="C139" s="240" t="str">
        <f ca="1">IFERROR(__xludf.DUMMYFUNCTION("""COMPUTED_VALUE"""),"ASSOCIAÇÃO DE APOIO DA ESCOLA ESPECIAL MORADA DO SOL")</f>
        <v>ASSOCIAÇÃO DE APOIO DA ESCOLA ESPECIAL MORADA DO SOL</v>
      </c>
      <c r="D139" s="241" t="str">
        <f ca="1">IFERROR(__xludf.DUMMYFUNCTION("""COMPUTED_VALUE"""),"07941368000101")</f>
        <v>07941368000101</v>
      </c>
      <c r="E139" s="241" t="str">
        <f ca="1">IFERROR(__xludf.DUMMYFUNCTION("""COMPUTED_VALUE"""),"001")</f>
        <v>001</v>
      </c>
      <c r="F139" s="241" t="str">
        <f ca="1">IFERROR(__xludf.DUMMYFUNCTION("""COMPUTED_VALUE"""),"0638")</f>
        <v>0638</v>
      </c>
      <c r="G139" s="240" t="str">
        <f ca="1">IFERROR(__xludf.DUMMYFUNCTION("""COMPUTED_VALUE"""),"537349")</f>
        <v>537349</v>
      </c>
      <c r="H139" s="240" t="str">
        <f ca="1">IFERROR(__xludf.DUMMYFUNCTION("""COMPUTED_VALUE"""),"E.F. PARCIAL")</f>
        <v>E.F. PARCIAL</v>
      </c>
      <c r="I139" s="242">
        <f ca="1">IFERROR(__xludf.DUMMYFUNCTION("""COMPUTED_VALUE"""),84)</f>
        <v>84</v>
      </c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</row>
    <row r="140" spans="1:26" ht="21" customHeight="1">
      <c r="A140" s="240" t="str">
        <f ca="1">IFERROR(__xludf.DUMMYFUNCTION("""COMPUTED_VALUE"""),"Araguaina")</f>
        <v>Araguaina</v>
      </c>
      <c r="B140" s="240" t="str">
        <f ca="1">IFERROR(__xludf.DUMMYFUNCTION("""COMPUTED_VALUE"""),"Wanderlandia")</f>
        <v>Wanderlandia</v>
      </c>
      <c r="C140" s="240" t="str">
        <f ca="1">IFERROR(__xludf.DUMMYFUNCTION("""COMPUTED_VALUE"""),"ASSOCIAÇÃO DE APOIO DA ESCOLA ESPECIAL MORADA DO SOL")</f>
        <v>ASSOCIAÇÃO DE APOIO DA ESCOLA ESPECIAL MORADA DO SOL</v>
      </c>
      <c r="D140" s="241" t="str">
        <f ca="1">IFERROR(__xludf.DUMMYFUNCTION("""COMPUTED_VALUE"""),"07941368000101")</f>
        <v>07941368000101</v>
      </c>
      <c r="E140" s="241" t="str">
        <f ca="1">IFERROR(__xludf.DUMMYFUNCTION("""COMPUTED_VALUE"""),"001")</f>
        <v>001</v>
      </c>
      <c r="F140" s="241" t="str">
        <f ca="1">IFERROR(__xludf.DUMMYFUNCTION("""COMPUTED_VALUE"""),"0638")</f>
        <v>0638</v>
      </c>
      <c r="G140" s="240" t="str">
        <f ca="1">IFERROR(__xludf.DUMMYFUNCTION("""COMPUTED_VALUE"""),"537349")</f>
        <v>537349</v>
      </c>
      <c r="H140" s="240" t="str">
        <f ca="1">IFERROR(__xludf.DUMMYFUNCTION("""COMPUTED_VALUE"""),"AEE")</f>
        <v>AEE</v>
      </c>
      <c r="I140" s="242">
        <f ca="1">IFERROR(__xludf.DUMMYFUNCTION("""COMPUTED_VALUE"""),1785)</f>
        <v>1785</v>
      </c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</row>
    <row r="141" spans="1:26" ht="21" customHeight="1">
      <c r="A141" s="240" t="str">
        <f ca="1">IFERROR(__xludf.DUMMYFUNCTION("""COMPUTED_VALUE"""),"Araguaina")</f>
        <v>Araguaina</v>
      </c>
      <c r="B141" s="240" t="str">
        <f ca="1">IFERROR(__xludf.DUMMYFUNCTION("""COMPUTED_VALUE"""),"Wanderlandia")</f>
        <v>Wanderlandia</v>
      </c>
      <c r="C141" s="240" t="str">
        <f ca="1">IFERROR(__xludf.DUMMYFUNCTION("""COMPUTED_VALUE"""),"ASSOCIAÇÃO DE APOIO DA ESCOLA ESPECIAL MORADA DO SOL")</f>
        <v>ASSOCIAÇÃO DE APOIO DA ESCOLA ESPECIAL MORADA DO SOL</v>
      </c>
      <c r="D141" s="241" t="str">
        <f ca="1">IFERROR(__xludf.DUMMYFUNCTION("""COMPUTED_VALUE"""),"07941368000101")</f>
        <v>07941368000101</v>
      </c>
      <c r="E141" s="241" t="str">
        <f ca="1">IFERROR(__xludf.DUMMYFUNCTION("""COMPUTED_VALUE"""),"001")</f>
        <v>001</v>
      </c>
      <c r="F141" s="241" t="str">
        <f ca="1">IFERROR(__xludf.DUMMYFUNCTION("""COMPUTED_VALUE"""),"0638")</f>
        <v>0638</v>
      </c>
      <c r="G141" s="240" t="str">
        <f ca="1">IFERROR(__xludf.DUMMYFUNCTION("""COMPUTED_VALUE"""),"537349")</f>
        <v>537349</v>
      </c>
      <c r="H141" s="240" t="str">
        <f ca="1">IFERROR(__xludf.DUMMYFUNCTION("""COMPUTED_VALUE"""),"EJA")</f>
        <v>EJA</v>
      </c>
      <c r="I141" s="242">
        <f ca="1">IFERROR(__xludf.DUMMYFUNCTION("""COMPUTED_VALUE"""),1806)</f>
        <v>1806</v>
      </c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</row>
    <row r="142" spans="1:26" ht="21" customHeight="1">
      <c r="A142" s="240" t="str">
        <f ca="1">IFERROR(__xludf.DUMMYFUNCTION("""COMPUTED_VALUE"""),"Araguaina")</f>
        <v>Araguaina</v>
      </c>
      <c r="B142" s="240" t="str">
        <f ca="1">IFERROR(__xludf.DUMMYFUNCTION("""COMPUTED_VALUE"""),"Xambioa")</f>
        <v>Xambioa</v>
      </c>
      <c r="C142" s="240" t="str">
        <f ca="1">IFERROR(__xludf.DUMMYFUNCTION("""COMPUTED_VALUE"""),"A.A. COL. MUL. PROFA. JULIANA BARROS")</f>
        <v>A.A. COL. MUL. PROFA. JULIANA BARROS</v>
      </c>
      <c r="D142" s="241" t="str">
        <f ca="1">IFERROR(__xludf.DUMMYFUNCTION("""COMPUTED_VALUE"""),"01136047000140")</f>
        <v>01136047000140</v>
      </c>
      <c r="E142" s="241" t="str">
        <f ca="1">IFERROR(__xludf.DUMMYFUNCTION("""COMPUTED_VALUE"""),"001")</f>
        <v>001</v>
      </c>
      <c r="F142" s="241" t="str">
        <f ca="1">IFERROR(__xludf.DUMMYFUNCTION("""COMPUTED_VALUE"""),"3773")</f>
        <v>3773</v>
      </c>
      <c r="G142" s="240" t="str">
        <f ca="1">IFERROR(__xludf.DUMMYFUNCTION("""COMPUTED_VALUE"""),"0330027")</f>
        <v>0330027</v>
      </c>
      <c r="H142" s="240" t="str">
        <f ca="1">IFERROR(__xludf.DUMMYFUNCTION("""COMPUTED_VALUE"""),"E.F. PARCIAL")</f>
        <v>E.F. PARCIAL</v>
      </c>
      <c r="I142" s="242">
        <f ca="1">IFERROR(__xludf.DUMMYFUNCTION("""COMPUTED_VALUE"""),2751)</f>
        <v>2751</v>
      </c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</row>
    <row r="143" spans="1:26" ht="21" customHeight="1">
      <c r="A143" s="240" t="str">
        <f ca="1">IFERROR(__xludf.DUMMYFUNCTION("""COMPUTED_VALUE"""),"Araguaina")</f>
        <v>Araguaina</v>
      </c>
      <c r="B143" s="240" t="str">
        <f ca="1">IFERROR(__xludf.DUMMYFUNCTION("""COMPUTED_VALUE"""),"Xambioa")</f>
        <v>Xambioa</v>
      </c>
      <c r="C143" s="240" t="str">
        <f ca="1">IFERROR(__xludf.DUMMYFUNCTION("""COMPUTED_VALUE"""),"A.A. COL. MUL. PROFA. JULIANA BARROS")</f>
        <v>A.A. COL. MUL. PROFA. JULIANA BARROS</v>
      </c>
      <c r="D143" s="241" t="str">
        <f ca="1">IFERROR(__xludf.DUMMYFUNCTION("""COMPUTED_VALUE"""),"01136047000140")</f>
        <v>01136047000140</v>
      </c>
      <c r="E143" s="241" t="str">
        <f ca="1">IFERROR(__xludf.DUMMYFUNCTION("""COMPUTED_VALUE"""),"001")</f>
        <v>001</v>
      </c>
      <c r="F143" s="241" t="str">
        <f ca="1">IFERROR(__xludf.DUMMYFUNCTION("""COMPUTED_VALUE"""),"3773")</f>
        <v>3773</v>
      </c>
      <c r="G143" s="240" t="str">
        <f ca="1">IFERROR(__xludf.DUMMYFUNCTION("""COMPUTED_VALUE"""),"0330027")</f>
        <v>0330027</v>
      </c>
      <c r="H143" s="240" t="str">
        <f ca="1">IFERROR(__xludf.DUMMYFUNCTION("""COMPUTED_VALUE"""),"EJA")</f>
        <v>EJA</v>
      </c>
      <c r="I143" s="242">
        <f ca="1">IFERROR(__xludf.DUMMYFUNCTION("""COMPUTED_VALUE"""),1491)</f>
        <v>1491</v>
      </c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</row>
    <row r="144" spans="1:26" ht="21" customHeight="1">
      <c r="A144" s="240" t="str">
        <f ca="1">IFERROR(__xludf.DUMMYFUNCTION("""COMPUTED_VALUE"""),"Araguaina")</f>
        <v>Araguaina</v>
      </c>
      <c r="B144" s="240" t="str">
        <f ca="1">IFERROR(__xludf.DUMMYFUNCTION("""COMPUTED_VALUE"""),"Xambioa")</f>
        <v>Xambioa</v>
      </c>
      <c r="C144" s="240" t="str">
        <f ca="1">IFERROR(__xludf.DUMMYFUNCTION("""COMPUTED_VALUE"""),"A. COM. DA ESC. EST. EURICO MOTA")</f>
        <v>A. COM. DA ESC. EST. EURICO MOTA</v>
      </c>
      <c r="D144" s="241" t="str">
        <f ca="1">IFERROR(__xludf.DUMMYFUNCTION("""COMPUTED_VALUE"""),"01718086000155")</f>
        <v>01718086000155</v>
      </c>
      <c r="E144" s="241" t="str">
        <f ca="1">IFERROR(__xludf.DUMMYFUNCTION("""COMPUTED_VALUE"""),"001")</f>
        <v>001</v>
      </c>
      <c r="F144" s="241" t="str">
        <f ca="1">IFERROR(__xludf.DUMMYFUNCTION("""COMPUTED_VALUE"""),"3773")</f>
        <v>3773</v>
      </c>
      <c r="G144" s="240" t="str">
        <f ca="1">IFERROR(__xludf.DUMMYFUNCTION("""COMPUTED_VALUE"""),"0324744")</f>
        <v>0324744</v>
      </c>
      <c r="H144" s="240" t="str">
        <f ca="1">IFERROR(__xludf.DUMMYFUNCTION("""COMPUTED_VALUE"""),"ENS MEDIO PARCIAL")</f>
        <v>ENS MEDIO PARCIAL</v>
      </c>
      <c r="I144" s="242">
        <f ca="1">IFERROR(__xludf.DUMMYFUNCTION("""COMPUTED_VALUE"""),10290)</f>
        <v>10290</v>
      </c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</row>
    <row r="145" spans="1:26" ht="21" customHeight="1">
      <c r="A145" s="240" t="str">
        <f ca="1">IFERROR(__xludf.DUMMYFUNCTION("""COMPUTED_VALUE"""),"Araguatins")</f>
        <v>Araguatins</v>
      </c>
      <c r="B145" s="240" t="str">
        <f ca="1">IFERROR(__xludf.DUMMYFUNCTION("""COMPUTED_VALUE"""),"Araguatins")</f>
        <v>Araguatins</v>
      </c>
      <c r="C145" s="240" t="str">
        <f ca="1">IFERROR(__xludf.DUMMYFUNCTION("""COMPUTED_VALUE"""),"A.A. E. EST. ATANAZIO DE MOURA SEIXAS")</f>
        <v>A.A. E. EST. ATANAZIO DE MOURA SEIXAS</v>
      </c>
      <c r="D145" s="241" t="str">
        <f ca="1">IFERROR(__xludf.DUMMYFUNCTION("""COMPUTED_VALUE"""),"01068353000196")</f>
        <v>01068353000196</v>
      </c>
      <c r="E145" s="241" t="str">
        <f ca="1">IFERROR(__xludf.DUMMYFUNCTION("""COMPUTED_VALUE"""),"001")</f>
        <v>001</v>
      </c>
      <c r="F145" s="241" t="str">
        <f ca="1">IFERROR(__xludf.DUMMYFUNCTION("""COMPUTED_VALUE"""),"1305")</f>
        <v>1305</v>
      </c>
      <c r="G145" s="240" t="str">
        <f ca="1">IFERROR(__xludf.DUMMYFUNCTION("""COMPUTED_VALUE"""),"109215")</f>
        <v>109215</v>
      </c>
      <c r="H145" s="240" t="str">
        <f ca="1">IFERROR(__xludf.DUMMYFUNCTION("""COMPUTED_VALUE"""),"E.F. PARCIAL")</f>
        <v>E.F. PARCIAL</v>
      </c>
      <c r="I145" s="242">
        <f ca="1">IFERROR(__xludf.DUMMYFUNCTION("""COMPUTED_VALUE"""),1512)</f>
        <v>1512</v>
      </c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</row>
    <row r="146" spans="1:26" ht="21" customHeight="1">
      <c r="A146" s="240" t="str">
        <f ca="1">IFERROR(__xludf.DUMMYFUNCTION("""COMPUTED_VALUE"""),"Araguatins")</f>
        <v>Araguatins</v>
      </c>
      <c r="B146" s="240" t="str">
        <f ca="1">IFERROR(__xludf.DUMMYFUNCTION("""COMPUTED_VALUE"""),"Araguatins")</f>
        <v>Araguatins</v>
      </c>
      <c r="C146" s="240" t="str">
        <f ca="1">IFERROR(__xludf.DUMMYFUNCTION("""COMPUTED_VALUE"""),"A.A. E. EST. ATANAZIO DE MOURA SEIXAS")</f>
        <v>A.A. E. EST. ATANAZIO DE MOURA SEIXAS</v>
      </c>
      <c r="D146" s="241" t="str">
        <f ca="1">IFERROR(__xludf.DUMMYFUNCTION("""COMPUTED_VALUE"""),"01068353000196")</f>
        <v>01068353000196</v>
      </c>
      <c r="E146" s="241" t="str">
        <f ca="1">IFERROR(__xludf.DUMMYFUNCTION("""COMPUTED_VALUE"""),"001")</f>
        <v>001</v>
      </c>
      <c r="F146" s="241" t="str">
        <f ca="1">IFERROR(__xludf.DUMMYFUNCTION("""COMPUTED_VALUE"""),"1305")</f>
        <v>1305</v>
      </c>
      <c r="G146" s="240" t="str">
        <f ca="1">IFERROR(__xludf.DUMMYFUNCTION("""COMPUTED_VALUE"""),"109215")</f>
        <v>109215</v>
      </c>
      <c r="H146" s="240" t="str">
        <f ca="1">IFERROR(__xludf.DUMMYFUNCTION("""COMPUTED_VALUE"""),"ENS MEDIO PARCIAL")</f>
        <v>ENS MEDIO PARCIAL</v>
      </c>
      <c r="I146" s="242">
        <f ca="1">IFERROR(__xludf.DUMMYFUNCTION("""COMPUTED_VALUE"""),777)</f>
        <v>777</v>
      </c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</row>
    <row r="147" spans="1:26" ht="21" customHeight="1">
      <c r="A147" s="240" t="str">
        <f ca="1">IFERROR(__xludf.DUMMYFUNCTION("""COMPUTED_VALUE"""),"Araguatins")</f>
        <v>Araguatins</v>
      </c>
      <c r="B147" s="240" t="str">
        <f ca="1">IFERROR(__xludf.DUMMYFUNCTION("""COMPUTED_VALUE"""),"Araguatins")</f>
        <v>Araguatins</v>
      </c>
      <c r="C147" s="240" t="str">
        <f ca="1">IFERROR(__xludf.DUMMYFUNCTION("""COMPUTED_VALUE"""),"A.A. E. EST. ATANAZIO DE MOURA SEIXAS")</f>
        <v>A.A. E. EST. ATANAZIO DE MOURA SEIXAS</v>
      </c>
      <c r="D147" s="241" t="str">
        <f ca="1">IFERROR(__xludf.DUMMYFUNCTION("""COMPUTED_VALUE"""),"01068353000196")</f>
        <v>01068353000196</v>
      </c>
      <c r="E147" s="241" t="str">
        <f ca="1">IFERROR(__xludf.DUMMYFUNCTION("""COMPUTED_VALUE"""),"001")</f>
        <v>001</v>
      </c>
      <c r="F147" s="241" t="str">
        <f ca="1">IFERROR(__xludf.DUMMYFUNCTION("""COMPUTED_VALUE"""),"1305")</f>
        <v>1305</v>
      </c>
      <c r="G147" s="240" t="str">
        <f ca="1">IFERROR(__xludf.DUMMYFUNCTION("""COMPUTED_VALUE"""),"109215")</f>
        <v>109215</v>
      </c>
      <c r="H147" s="240" t="str">
        <f ca="1">IFERROR(__xludf.DUMMYFUNCTION("""COMPUTED_VALUE"""),"EJA")</f>
        <v>EJA</v>
      </c>
      <c r="I147" s="242">
        <f ca="1">IFERROR(__xludf.DUMMYFUNCTION("""COMPUTED_VALUE"""),483)</f>
        <v>483</v>
      </c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</row>
    <row r="148" spans="1:26" ht="21" customHeight="1">
      <c r="A148" s="240" t="str">
        <f ca="1">IFERROR(__xludf.DUMMYFUNCTION("""COMPUTED_VALUE"""),"Araguatins")</f>
        <v>Araguatins</v>
      </c>
      <c r="B148" s="240" t="str">
        <f ca="1">IFERROR(__xludf.DUMMYFUNCTION("""COMPUTED_VALUE"""),"Araguatins")</f>
        <v>Araguatins</v>
      </c>
      <c r="C148" s="240" t="str">
        <f ca="1">IFERROR(__xludf.DUMMYFUNCTION("""COMPUTED_VALUE"""),"ASSOC. APOIO ESC. EST. DENISE GOMIDE AMUI")</f>
        <v>ASSOC. APOIO ESC. EST. DENISE GOMIDE AMUI</v>
      </c>
      <c r="D148" s="241" t="str">
        <f ca="1">IFERROR(__xludf.DUMMYFUNCTION("""COMPUTED_VALUE"""),"01136000000186")</f>
        <v>01136000000186</v>
      </c>
      <c r="E148" s="241" t="str">
        <f ca="1">IFERROR(__xludf.DUMMYFUNCTION("""COMPUTED_VALUE"""),"001")</f>
        <v>001</v>
      </c>
      <c r="F148" s="241" t="str">
        <f ca="1">IFERROR(__xludf.DUMMYFUNCTION("""COMPUTED_VALUE"""),"1305")</f>
        <v>1305</v>
      </c>
      <c r="G148" s="240" t="str">
        <f ca="1">IFERROR(__xludf.DUMMYFUNCTION("""COMPUTED_VALUE"""),"0109223")</f>
        <v>0109223</v>
      </c>
      <c r="H148" s="240" t="str">
        <f ca="1">IFERROR(__xludf.DUMMYFUNCTION("""COMPUTED_VALUE"""),"AEE")</f>
        <v>AEE</v>
      </c>
      <c r="I148" s="242">
        <f ca="1">IFERROR(__xludf.DUMMYFUNCTION("""COMPUTED_VALUE"""),231)</f>
        <v>231</v>
      </c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</row>
    <row r="149" spans="1:26" ht="21" customHeight="1">
      <c r="A149" s="240" t="str">
        <f ca="1">IFERROR(__xludf.DUMMYFUNCTION("""COMPUTED_VALUE"""),"Araguatins")</f>
        <v>Araguatins</v>
      </c>
      <c r="B149" s="240" t="str">
        <f ca="1">IFERROR(__xludf.DUMMYFUNCTION("""COMPUTED_VALUE"""),"Araguatins")</f>
        <v>Araguatins</v>
      </c>
      <c r="C149" s="240" t="str">
        <f ca="1">IFERROR(__xludf.DUMMYFUNCTION("""COMPUTED_VALUE"""),"ASSOC. APOIO ESC. EST. DENISE GOMIDE AMUI")</f>
        <v>ASSOC. APOIO ESC. EST. DENISE GOMIDE AMUI</v>
      </c>
      <c r="D149" s="241" t="str">
        <f ca="1">IFERROR(__xludf.DUMMYFUNCTION("""COMPUTED_VALUE"""),"01136000000186")</f>
        <v>01136000000186</v>
      </c>
      <c r="E149" s="241" t="str">
        <f ca="1">IFERROR(__xludf.DUMMYFUNCTION("""COMPUTED_VALUE"""),"001")</f>
        <v>001</v>
      </c>
      <c r="F149" s="241" t="str">
        <f ca="1">IFERROR(__xludf.DUMMYFUNCTION("""COMPUTED_VALUE"""),"1305")</f>
        <v>1305</v>
      </c>
      <c r="G149" s="240" t="str">
        <f ca="1">IFERROR(__xludf.DUMMYFUNCTION("""COMPUTED_VALUE"""),"0109223")</f>
        <v>0109223</v>
      </c>
      <c r="H149" s="240" t="str">
        <f ca="1">IFERROR(__xludf.DUMMYFUNCTION("""COMPUTED_VALUE"""),"ENS MEDIO PARCIAL")</f>
        <v>ENS MEDIO PARCIAL</v>
      </c>
      <c r="I149" s="242">
        <f ca="1">IFERROR(__xludf.DUMMYFUNCTION("""COMPUTED_VALUE"""),13755)</f>
        <v>13755</v>
      </c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</row>
    <row r="150" spans="1:26" ht="21" customHeight="1">
      <c r="A150" s="240" t="str">
        <f ca="1">IFERROR(__xludf.DUMMYFUNCTION("""COMPUTED_VALUE"""),"Araguatins")</f>
        <v>Araguatins</v>
      </c>
      <c r="B150" s="240" t="str">
        <f ca="1">IFERROR(__xludf.DUMMYFUNCTION("""COMPUTED_VALUE"""),"Araguatins")</f>
        <v>Araguatins</v>
      </c>
      <c r="C150" s="240" t="str">
        <f ca="1">IFERROR(__xludf.DUMMYFUNCTION("""COMPUTED_VALUE"""),"ASSOC. DE APOIO ESC. EST. FREI SAVINO")</f>
        <v>ASSOC. DE APOIO ESC. EST. FREI SAVINO</v>
      </c>
      <c r="D150" s="241" t="str">
        <f ca="1">IFERROR(__xludf.DUMMYFUNCTION("""COMPUTED_VALUE"""),"01181389000181")</f>
        <v>01181389000181</v>
      </c>
      <c r="E150" s="241" t="str">
        <f ca="1">IFERROR(__xludf.DUMMYFUNCTION("""COMPUTED_VALUE"""),"001")</f>
        <v>001</v>
      </c>
      <c r="F150" s="241" t="str">
        <f ca="1">IFERROR(__xludf.DUMMYFUNCTION("""COMPUTED_VALUE"""),"1305")</f>
        <v>1305</v>
      </c>
      <c r="G150" s="240" t="str">
        <f ca="1">IFERROR(__xludf.DUMMYFUNCTION("""COMPUTED_VALUE"""),"0019437")</f>
        <v>0019437</v>
      </c>
      <c r="H150" s="240" t="str">
        <f ca="1">IFERROR(__xludf.DUMMYFUNCTION("""COMPUTED_VALUE"""),"E.F. PARCIAL")</f>
        <v>E.F. PARCIAL</v>
      </c>
      <c r="I150" s="242">
        <f ca="1">IFERROR(__xludf.DUMMYFUNCTION("""COMPUTED_VALUE"""),1176)</f>
        <v>1176</v>
      </c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</row>
    <row r="151" spans="1:26" ht="21" customHeight="1">
      <c r="A151" s="240" t="str">
        <f ca="1">IFERROR(__xludf.DUMMYFUNCTION("""COMPUTED_VALUE"""),"Araguatins")</f>
        <v>Araguatins</v>
      </c>
      <c r="B151" s="240" t="str">
        <f ca="1">IFERROR(__xludf.DUMMYFUNCTION("""COMPUTED_VALUE"""),"Araguatins")</f>
        <v>Araguatins</v>
      </c>
      <c r="C151" s="240" t="str">
        <f ca="1">IFERROR(__xludf.DUMMYFUNCTION("""COMPUTED_VALUE"""),"ASSOC. DE APOIO ESC. EST. FREI SAVINO")</f>
        <v>ASSOC. DE APOIO ESC. EST. FREI SAVINO</v>
      </c>
      <c r="D151" s="241" t="str">
        <f ca="1">IFERROR(__xludf.DUMMYFUNCTION("""COMPUTED_VALUE"""),"01181389000181")</f>
        <v>01181389000181</v>
      </c>
      <c r="E151" s="241" t="str">
        <f ca="1">IFERROR(__xludf.DUMMYFUNCTION("""COMPUTED_VALUE"""),"001")</f>
        <v>001</v>
      </c>
      <c r="F151" s="241" t="str">
        <f ca="1">IFERROR(__xludf.DUMMYFUNCTION("""COMPUTED_VALUE"""),"1305")</f>
        <v>1305</v>
      </c>
      <c r="G151" s="240" t="str">
        <f ca="1">IFERROR(__xludf.DUMMYFUNCTION("""COMPUTED_VALUE"""),"0019437")</f>
        <v>0019437</v>
      </c>
      <c r="H151" s="240" t="str">
        <f ca="1">IFERROR(__xludf.DUMMYFUNCTION("""COMPUTED_VALUE"""),"AEE")</f>
        <v>AEE</v>
      </c>
      <c r="I151" s="242">
        <f ca="1">IFERROR(__xludf.DUMMYFUNCTION("""COMPUTED_VALUE"""),378)</f>
        <v>378</v>
      </c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</row>
    <row r="152" spans="1:26" ht="21" customHeight="1">
      <c r="A152" s="240" t="str">
        <f ca="1">IFERROR(__xludf.DUMMYFUNCTION("""COMPUTED_VALUE"""),"Araguatins")</f>
        <v>Araguatins</v>
      </c>
      <c r="B152" s="240" t="str">
        <f ca="1">IFERROR(__xludf.DUMMYFUNCTION("""COMPUTED_VALUE"""),"Araguatins")</f>
        <v>Araguatins</v>
      </c>
      <c r="C152" s="240" t="str">
        <f ca="1">IFERROR(__xludf.DUMMYFUNCTION("""COMPUTED_VALUE"""),"ASSOC. DE APOIO ESC. EST. FREI SAVINO")</f>
        <v>ASSOC. DE APOIO ESC. EST. FREI SAVINO</v>
      </c>
      <c r="D152" s="241" t="str">
        <f ca="1">IFERROR(__xludf.DUMMYFUNCTION("""COMPUTED_VALUE"""),"01181389000181")</f>
        <v>01181389000181</v>
      </c>
      <c r="E152" s="241" t="str">
        <f ca="1">IFERROR(__xludf.DUMMYFUNCTION("""COMPUTED_VALUE"""),"001")</f>
        <v>001</v>
      </c>
      <c r="F152" s="241" t="str">
        <f ca="1">IFERROR(__xludf.DUMMYFUNCTION("""COMPUTED_VALUE"""),"1305")</f>
        <v>1305</v>
      </c>
      <c r="G152" s="240" t="str">
        <f ca="1">IFERROR(__xludf.DUMMYFUNCTION("""COMPUTED_VALUE"""),"0019437")</f>
        <v>0019437</v>
      </c>
      <c r="H152" s="240" t="str">
        <f ca="1">IFERROR(__xludf.DUMMYFUNCTION("""COMPUTED_VALUE"""),"ENS MEDIO PARCIAL")</f>
        <v>ENS MEDIO PARCIAL</v>
      </c>
      <c r="I152" s="242">
        <f ca="1">IFERROR(__xludf.DUMMYFUNCTION("""COMPUTED_VALUE"""),777)</f>
        <v>777</v>
      </c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</row>
    <row r="153" spans="1:26" ht="21" customHeight="1">
      <c r="A153" s="240" t="str">
        <f ca="1">IFERROR(__xludf.DUMMYFUNCTION("""COMPUTED_VALUE"""),"Araguatins")</f>
        <v>Araguatins</v>
      </c>
      <c r="B153" s="240" t="str">
        <f ca="1">IFERROR(__xludf.DUMMYFUNCTION("""COMPUTED_VALUE"""),"Araguatins")</f>
        <v>Araguatins</v>
      </c>
      <c r="C153" s="240" t="str">
        <f ca="1">IFERROR(__xludf.DUMMYFUNCTION("""COMPUTED_VALUE"""),"A.A. COL. EST. LEONIDAS G. DUARTE")</f>
        <v>A.A. COL. EST. LEONIDAS G. DUARTE</v>
      </c>
      <c r="D153" s="241" t="str">
        <f ca="1">IFERROR(__xludf.DUMMYFUNCTION("""COMPUTED_VALUE"""),"01190189000195")</f>
        <v>01190189000195</v>
      </c>
      <c r="E153" s="241" t="str">
        <f ca="1">IFERROR(__xludf.DUMMYFUNCTION("""COMPUTED_VALUE"""),"001")</f>
        <v>001</v>
      </c>
      <c r="F153" s="241" t="str">
        <f ca="1">IFERROR(__xludf.DUMMYFUNCTION("""COMPUTED_VALUE"""),"1305")</f>
        <v>1305</v>
      </c>
      <c r="G153" s="240" t="str">
        <f ca="1">IFERROR(__xludf.DUMMYFUNCTION("""COMPUTED_VALUE"""),"0019143")</f>
        <v>0019143</v>
      </c>
      <c r="H153" s="240" t="str">
        <f ca="1">IFERROR(__xludf.DUMMYFUNCTION("""COMPUTED_VALUE"""),"E.F. PARCIAL")</f>
        <v>E.F. PARCIAL</v>
      </c>
      <c r="I153" s="242">
        <f ca="1">IFERROR(__xludf.DUMMYFUNCTION("""COMPUTED_VALUE"""),9765)</f>
        <v>9765</v>
      </c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</row>
    <row r="154" spans="1:26" ht="21" customHeight="1">
      <c r="A154" s="240" t="str">
        <f ca="1">IFERROR(__xludf.DUMMYFUNCTION("""COMPUTED_VALUE"""),"Araguatins")</f>
        <v>Araguatins</v>
      </c>
      <c r="B154" s="240" t="str">
        <f ca="1">IFERROR(__xludf.DUMMYFUNCTION("""COMPUTED_VALUE"""),"Araguatins")</f>
        <v>Araguatins</v>
      </c>
      <c r="C154" s="240" t="str">
        <f ca="1">IFERROR(__xludf.DUMMYFUNCTION("""COMPUTED_VALUE"""),"A.A. COL. EST. LEONIDAS G. DUARTE")</f>
        <v>A.A. COL. EST. LEONIDAS G. DUARTE</v>
      </c>
      <c r="D154" s="241" t="str">
        <f ca="1">IFERROR(__xludf.DUMMYFUNCTION("""COMPUTED_VALUE"""),"01190189000195")</f>
        <v>01190189000195</v>
      </c>
      <c r="E154" s="241" t="str">
        <f ca="1">IFERROR(__xludf.DUMMYFUNCTION("""COMPUTED_VALUE"""),"001")</f>
        <v>001</v>
      </c>
      <c r="F154" s="241" t="str">
        <f ca="1">IFERROR(__xludf.DUMMYFUNCTION("""COMPUTED_VALUE"""),"1305")</f>
        <v>1305</v>
      </c>
      <c r="G154" s="240" t="str">
        <f ca="1">IFERROR(__xludf.DUMMYFUNCTION("""COMPUTED_VALUE"""),"0019143")</f>
        <v>0019143</v>
      </c>
      <c r="H154" s="240" t="str">
        <f ca="1">IFERROR(__xludf.DUMMYFUNCTION("""COMPUTED_VALUE"""),"AEE")</f>
        <v>AEE</v>
      </c>
      <c r="I154" s="242">
        <f ca="1">IFERROR(__xludf.DUMMYFUNCTION("""COMPUTED_VALUE"""),294)</f>
        <v>294</v>
      </c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</row>
    <row r="155" spans="1:26" ht="21" customHeight="1">
      <c r="A155" s="240" t="str">
        <f ca="1">IFERROR(__xludf.DUMMYFUNCTION("""COMPUTED_VALUE"""),"Araguatins")</f>
        <v>Araguatins</v>
      </c>
      <c r="B155" s="240" t="str">
        <f ca="1">IFERROR(__xludf.DUMMYFUNCTION("""COMPUTED_VALUE"""),"Araguatins")</f>
        <v>Araguatins</v>
      </c>
      <c r="C155" s="240" t="str">
        <f ca="1">IFERROR(__xludf.DUMMYFUNCTION("""COMPUTED_VALUE"""),"A.A. A ESC. EST. OSVALDO FRANCO")</f>
        <v>A.A. A ESC. EST. OSVALDO FRANCO</v>
      </c>
      <c r="D155" s="241" t="str">
        <f ca="1">IFERROR(__xludf.DUMMYFUNCTION("""COMPUTED_VALUE"""),"01392733000181")</f>
        <v>01392733000181</v>
      </c>
      <c r="E155" s="241" t="str">
        <f ca="1">IFERROR(__xludf.DUMMYFUNCTION("""COMPUTED_VALUE"""),"001")</f>
        <v>001</v>
      </c>
      <c r="F155" s="241" t="str">
        <f ca="1">IFERROR(__xludf.DUMMYFUNCTION("""COMPUTED_VALUE"""),"1305")</f>
        <v>1305</v>
      </c>
      <c r="G155" s="240" t="str">
        <f ca="1">IFERROR(__xludf.DUMMYFUNCTION("""COMPUTED_VALUE"""),"109738")</f>
        <v>109738</v>
      </c>
      <c r="H155" s="240" t="str">
        <f ca="1">IFERROR(__xludf.DUMMYFUNCTION("""COMPUTED_VALUE"""),"E.F. PARCIAL")</f>
        <v>E.F. PARCIAL</v>
      </c>
      <c r="I155" s="242">
        <f ca="1">IFERROR(__xludf.DUMMYFUNCTION("""COMPUTED_VALUE"""),6762)</f>
        <v>6762</v>
      </c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</row>
    <row r="156" spans="1:26" ht="21" customHeight="1">
      <c r="A156" s="240" t="str">
        <f ca="1">IFERROR(__xludf.DUMMYFUNCTION("""COMPUTED_VALUE"""),"Araguatins")</f>
        <v>Araguatins</v>
      </c>
      <c r="B156" s="240" t="str">
        <f ca="1">IFERROR(__xludf.DUMMYFUNCTION("""COMPUTED_VALUE"""),"Araguatins")</f>
        <v>Araguatins</v>
      </c>
      <c r="C156" s="240" t="str">
        <f ca="1">IFERROR(__xludf.DUMMYFUNCTION("""COMPUTED_VALUE"""),"A.A. A ESC. EST. OSVALDO FRANCO")</f>
        <v>A.A. A ESC. EST. OSVALDO FRANCO</v>
      </c>
      <c r="D156" s="241" t="str">
        <f ca="1">IFERROR(__xludf.DUMMYFUNCTION("""COMPUTED_VALUE"""),"01392733000181")</f>
        <v>01392733000181</v>
      </c>
      <c r="E156" s="241" t="str">
        <f ca="1">IFERROR(__xludf.DUMMYFUNCTION("""COMPUTED_VALUE"""),"001")</f>
        <v>001</v>
      </c>
      <c r="F156" s="241" t="str">
        <f ca="1">IFERROR(__xludf.DUMMYFUNCTION("""COMPUTED_VALUE"""),"1305")</f>
        <v>1305</v>
      </c>
      <c r="G156" s="240" t="str">
        <f ca="1">IFERROR(__xludf.DUMMYFUNCTION("""COMPUTED_VALUE"""),"109738")</f>
        <v>109738</v>
      </c>
      <c r="H156" s="240" t="str">
        <f ca="1">IFERROR(__xludf.DUMMYFUNCTION("""COMPUTED_VALUE"""),"AEE")</f>
        <v>AEE</v>
      </c>
      <c r="I156" s="242">
        <f ca="1">IFERROR(__xludf.DUMMYFUNCTION("""COMPUTED_VALUE"""),378)</f>
        <v>378</v>
      </c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</row>
    <row r="157" spans="1:26" ht="21" customHeight="1">
      <c r="A157" s="240" t="str">
        <f ca="1">IFERROR(__xludf.DUMMYFUNCTION("""COMPUTED_VALUE"""),"Araguatins")</f>
        <v>Araguatins</v>
      </c>
      <c r="B157" s="240" t="str">
        <f ca="1">IFERROR(__xludf.DUMMYFUNCTION("""COMPUTED_VALUE"""),"Araguatins")</f>
        <v>Araguatins</v>
      </c>
      <c r="C157" s="240" t="str">
        <f ca="1">IFERROR(__xludf.DUMMYFUNCTION("""COMPUTED_VALUE"""),"A.A. A ESC. EST. OSVALDO FRANCO")</f>
        <v>A.A. A ESC. EST. OSVALDO FRANCO</v>
      </c>
      <c r="D157" s="241" t="str">
        <f ca="1">IFERROR(__xludf.DUMMYFUNCTION("""COMPUTED_VALUE"""),"01392733000181")</f>
        <v>01392733000181</v>
      </c>
      <c r="E157" s="241" t="str">
        <f ca="1">IFERROR(__xludf.DUMMYFUNCTION("""COMPUTED_VALUE"""),"001")</f>
        <v>001</v>
      </c>
      <c r="F157" s="241" t="str">
        <f ca="1">IFERROR(__xludf.DUMMYFUNCTION("""COMPUTED_VALUE"""),"1305")</f>
        <v>1305</v>
      </c>
      <c r="G157" s="240" t="str">
        <f ca="1">IFERROR(__xludf.DUMMYFUNCTION("""COMPUTED_VALUE"""),"109738")</f>
        <v>109738</v>
      </c>
      <c r="H157" s="240" t="str">
        <f ca="1">IFERROR(__xludf.DUMMYFUNCTION("""COMPUTED_VALUE"""),"EJA")</f>
        <v>EJA</v>
      </c>
      <c r="I157" s="242">
        <f ca="1">IFERROR(__xludf.DUMMYFUNCTION("""COMPUTED_VALUE"""),4599)</f>
        <v>4599</v>
      </c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</row>
    <row r="158" spans="1:26" ht="21" customHeight="1">
      <c r="A158" s="240" t="str">
        <f ca="1">IFERROR(__xludf.DUMMYFUNCTION("""COMPUTED_VALUE"""),"Araguatins")</f>
        <v>Araguatins</v>
      </c>
      <c r="B158" s="240" t="str">
        <f ca="1">IFERROR(__xludf.DUMMYFUNCTION("""COMPUTED_VALUE"""),"Araguatins")</f>
        <v>Araguatins</v>
      </c>
      <c r="C158" s="240" t="str">
        <f ca="1">IFERROR(__xludf.DUMMYFUNCTION("""COMPUTED_VALUE"""),"A.A.  A ESC. EST. SANTA GERTRUDES")</f>
        <v>A.A.  A ESC. EST. SANTA GERTRUDES</v>
      </c>
      <c r="D158" s="241" t="str">
        <f ca="1">IFERROR(__xludf.DUMMYFUNCTION("""COMPUTED_VALUE"""),"03713455000142")</f>
        <v>03713455000142</v>
      </c>
      <c r="E158" s="241" t="str">
        <f ca="1">IFERROR(__xludf.DUMMYFUNCTION("""COMPUTED_VALUE"""),"001")</f>
        <v>001</v>
      </c>
      <c r="F158" s="241" t="str">
        <f ca="1">IFERROR(__xludf.DUMMYFUNCTION("""COMPUTED_VALUE"""),"1305")</f>
        <v>1305</v>
      </c>
      <c r="G158" s="240" t="str">
        <f ca="1">IFERROR(__xludf.DUMMYFUNCTION("""COMPUTED_VALUE"""),"78271")</f>
        <v>78271</v>
      </c>
      <c r="H158" s="240" t="str">
        <f ca="1">IFERROR(__xludf.DUMMYFUNCTION("""COMPUTED_VALUE"""),"E.F. PARCIAL")</f>
        <v>E.F. PARCIAL</v>
      </c>
      <c r="I158" s="242">
        <f ca="1">IFERROR(__xludf.DUMMYFUNCTION("""COMPUTED_VALUE"""),2121)</f>
        <v>2121</v>
      </c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</row>
    <row r="159" spans="1:26" ht="21" customHeight="1">
      <c r="A159" s="240" t="str">
        <f ca="1">IFERROR(__xludf.DUMMYFUNCTION("""COMPUTED_VALUE"""),"Araguatins")</f>
        <v>Araguatins</v>
      </c>
      <c r="B159" s="240" t="str">
        <f ca="1">IFERROR(__xludf.DUMMYFUNCTION("""COMPUTED_VALUE"""),"Araguatins")</f>
        <v>Araguatins</v>
      </c>
      <c r="C159" s="240" t="str">
        <f ca="1">IFERROR(__xludf.DUMMYFUNCTION("""COMPUTED_VALUE"""),"A.A.  A ESC. EST. SANTA GERTRUDES")</f>
        <v>A.A.  A ESC. EST. SANTA GERTRUDES</v>
      </c>
      <c r="D159" s="241" t="str">
        <f ca="1">IFERROR(__xludf.DUMMYFUNCTION("""COMPUTED_VALUE"""),"03713455000142")</f>
        <v>03713455000142</v>
      </c>
      <c r="E159" s="241" t="str">
        <f ca="1">IFERROR(__xludf.DUMMYFUNCTION("""COMPUTED_VALUE"""),"001")</f>
        <v>001</v>
      </c>
      <c r="F159" s="241" t="str">
        <f ca="1">IFERROR(__xludf.DUMMYFUNCTION("""COMPUTED_VALUE"""),"1305")</f>
        <v>1305</v>
      </c>
      <c r="G159" s="240" t="str">
        <f ca="1">IFERROR(__xludf.DUMMYFUNCTION("""COMPUTED_VALUE"""),"78271")</f>
        <v>78271</v>
      </c>
      <c r="H159" s="240" t="str">
        <f ca="1">IFERROR(__xludf.DUMMYFUNCTION("""COMPUTED_VALUE"""),"AEE")</f>
        <v>AEE</v>
      </c>
      <c r="I159" s="242">
        <f ca="1">IFERROR(__xludf.DUMMYFUNCTION("""COMPUTED_VALUE"""),273)</f>
        <v>273</v>
      </c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</row>
    <row r="160" spans="1:26" ht="21" customHeight="1">
      <c r="A160" s="240" t="str">
        <f ca="1">IFERROR(__xludf.DUMMYFUNCTION("""COMPUTED_VALUE"""),"Araguatins")</f>
        <v>Araguatins</v>
      </c>
      <c r="B160" s="240" t="str">
        <f ca="1">IFERROR(__xludf.DUMMYFUNCTION("""COMPUTED_VALUE"""),"Araguatins")</f>
        <v>Araguatins</v>
      </c>
      <c r="C160" s="240" t="str">
        <f ca="1">IFERROR(__xludf.DUMMYFUNCTION("""COMPUTED_VALUE"""),"A.A.  A ESC. EST. SANTA GERTRUDES")</f>
        <v>A.A.  A ESC. EST. SANTA GERTRUDES</v>
      </c>
      <c r="D160" s="241" t="str">
        <f ca="1">IFERROR(__xludf.DUMMYFUNCTION("""COMPUTED_VALUE"""),"03713455000142")</f>
        <v>03713455000142</v>
      </c>
      <c r="E160" s="241" t="str">
        <f ca="1">IFERROR(__xludf.DUMMYFUNCTION("""COMPUTED_VALUE"""),"001")</f>
        <v>001</v>
      </c>
      <c r="F160" s="241" t="str">
        <f ca="1">IFERROR(__xludf.DUMMYFUNCTION("""COMPUTED_VALUE"""),"1305")</f>
        <v>1305</v>
      </c>
      <c r="G160" s="240" t="str">
        <f ca="1">IFERROR(__xludf.DUMMYFUNCTION("""COMPUTED_VALUE"""),"78271")</f>
        <v>78271</v>
      </c>
      <c r="H160" s="240" t="str">
        <f ca="1">IFERROR(__xludf.DUMMYFUNCTION("""COMPUTED_VALUE"""),"ENS MEDIO PARCIAL")</f>
        <v>ENS MEDIO PARCIAL</v>
      </c>
      <c r="I160" s="242">
        <f ca="1">IFERROR(__xludf.DUMMYFUNCTION("""COMPUTED_VALUE"""),1197)</f>
        <v>1197</v>
      </c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</row>
    <row r="161" spans="1:26" ht="21" customHeight="1">
      <c r="A161" s="240" t="str">
        <f ca="1">IFERROR(__xludf.DUMMYFUNCTION("""COMPUTED_VALUE"""),"Araguatins")</f>
        <v>Araguatins</v>
      </c>
      <c r="B161" s="240" t="str">
        <f ca="1">IFERROR(__xludf.DUMMYFUNCTION("""COMPUTED_VALUE"""),"Araguatins")</f>
        <v>Araguatins</v>
      </c>
      <c r="C161" s="240" t="str">
        <f ca="1">IFERROR(__xludf.DUMMYFUNCTION("""COMPUTED_VALUE"""),"A.A.  A ESCOLA ISOLADA BOA SORTE")</f>
        <v>A.A.  A ESCOLA ISOLADA BOA SORTE</v>
      </c>
      <c r="D161" s="241" t="str">
        <f ca="1">IFERROR(__xludf.DUMMYFUNCTION("""COMPUTED_VALUE"""),"03765304000138")</f>
        <v>03765304000138</v>
      </c>
      <c r="E161" s="241" t="str">
        <f ca="1">IFERROR(__xludf.DUMMYFUNCTION("""COMPUTED_VALUE"""),"001")</f>
        <v>001</v>
      </c>
      <c r="F161" s="241" t="str">
        <f ca="1">IFERROR(__xludf.DUMMYFUNCTION("""COMPUTED_VALUE"""),"1305")</f>
        <v>1305</v>
      </c>
      <c r="G161" s="240" t="str">
        <f ca="1">IFERROR(__xludf.DUMMYFUNCTION("""COMPUTED_VALUE"""),"78964")</f>
        <v>78964</v>
      </c>
      <c r="H161" s="240" t="str">
        <f ca="1">IFERROR(__xludf.DUMMYFUNCTION("""COMPUTED_VALUE"""),"E.F. PARCIAL")</f>
        <v>E.F. PARCIAL</v>
      </c>
      <c r="I161" s="242">
        <f ca="1">IFERROR(__xludf.DUMMYFUNCTION("""COMPUTED_VALUE"""),1281)</f>
        <v>1281</v>
      </c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</row>
    <row r="162" spans="1:26" ht="21" customHeight="1">
      <c r="A162" s="240" t="str">
        <f ca="1">IFERROR(__xludf.DUMMYFUNCTION("""COMPUTED_VALUE"""),"Araguatins")</f>
        <v>Araguatins</v>
      </c>
      <c r="B162" s="240" t="str">
        <f ca="1">IFERROR(__xludf.DUMMYFUNCTION("""COMPUTED_VALUE"""),"Araguatins")</f>
        <v>Araguatins</v>
      </c>
      <c r="C162" s="240" t="str">
        <f ca="1">IFERROR(__xludf.DUMMYFUNCTION("""COMPUTED_VALUE"""),"A.A.  A ESCOLA ISOLADA BOA SORTE")</f>
        <v>A.A.  A ESCOLA ISOLADA BOA SORTE</v>
      </c>
      <c r="D162" s="241" t="str">
        <f ca="1">IFERROR(__xludf.DUMMYFUNCTION("""COMPUTED_VALUE"""),"03765304000138")</f>
        <v>03765304000138</v>
      </c>
      <c r="E162" s="241" t="str">
        <f ca="1">IFERROR(__xludf.DUMMYFUNCTION("""COMPUTED_VALUE"""),"001")</f>
        <v>001</v>
      </c>
      <c r="F162" s="241" t="str">
        <f ca="1">IFERROR(__xludf.DUMMYFUNCTION("""COMPUTED_VALUE"""),"1305")</f>
        <v>1305</v>
      </c>
      <c r="G162" s="240" t="str">
        <f ca="1">IFERROR(__xludf.DUMMYFUNCTION("""COMPUTED_VALUE"""),"78964")</f>
        <v>78964</v>
      </c>
      <c r="H162" s="240" t="str">
        <f ca="1">IFERROR(__xludf.DUMMYFUNCTION("""COMPUTED_VALUE"""),"AEE")</f>
        <v>AEE</v>
      </c>
      <c r="I162" s="242">
        <f ca="1">IFERROR(__xludf.DUMMYFUNCTION("""COMPUTED_VALUE"""),105)</f>
        <v>105</v>
      </c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</row>
    <row r="163" spans="1:26" ht="21" customHeight="1">
      <c r="A163" s="240" t="str">
        <f ca="1">IFERROR(__xludf.DUMMYFUNCTION("""COMPUTED_VALUE"""),"Araguatins")</f>
        <v>Araguatins</v>
      </c>
      <c r="B163" s="240" t="str">
        <f ca="1">IFERROR(__xludf.DUMMYFUNCTION("""COMPUTED_VALUE"""),"Araguatins")</f>
        <v>Araguatins</v>
      </c>
      <c r="C163" s="240" t="str">
        <f ca="1">IFERROR(__xludf.DUMMYFUNCTION("""COMPUTED_VALUE"""),"A.A.  A ESCOLA ISOLADA BOA SORTE")</f>
        <v>A.A.  A ESCOLA ISOLADA BOA SORTE</v>
      </c>
      <c r="D163" s="241" t="str">
        <f ca="1">IFERROR(__xludf.DUMMYFUNCTION("""COMPUTED_VALUE"""),"03765304000138")</f>
        <v>03765304000138</v>
      </c>
      <c r="E163" s="241" t="str">
        <f ca="1">IFERROR(__xludf.DUMMYFUNCTION("""COMPUTED_VALUE"""),"001")</f>
        <v>001</v>
      </c>
      <c r="F163" s="241" t="str">
        <f ca="1">IFERROR(__xludf.DUMMYFUNCTION("""COMPUTED_VALUE"""),"1305")</f>
        <v>1305</v>
      </c>
      <c r="G163" s="240" t="str">
        <f ca="1">IFERROR(__xludf.DUMMYFUNCTION("""COMPUTED_VALUE"""),"78964")</f>
        <v>78964</v>
      </c>
      <c r="H163" s="240" t="str">
        <f ca="1">IFERROR(__xludf.DUMMYFUNCTION("""COMPUTED_VALUE"""),"ENS MEDIO PARCIAL")</f>
        <v>ENS MEDIO PARCIAL</v>
      </c>
      <c r="I163" s="242">
        <f ca="1">IFERROR(__xludf.DUMMYFUNCTION("""COMPUTED_VALUE"""),798)</f>
        <v>798</v>
      </c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</row>
    <row r="164" spans="1:26" ht="21" customHeight="1">
      <c r="A164" s="240" t="str">
        <f ca="1">IFERROR(__xludf.DUMMYFUNCTION("""COMPUTED_VALUE"""),"Araguatins")</f>
        <v>Araguatins</v>
      </c>
      <c r="B164" s="240" t="str">
        <f ca="1">IFERROR(__xludf.DUMMYFUNCTION("""COMPUTED_VALUE"""),"Araguatins")</f>
        <v>Araguatins</v>
      </c>
      <c r="C164" s="240" t="str">
        <f ca="1">IFERROR(__xludf.DUMMYFUNCTION("""COMPUTED_VALUE"""),"A.A.  A ESCOLA ISOLADA BOA SORTE")</f>
        <v>A.A.  A ESCOLA ISOLADA BOA SORTE</v>
      </c>
      <c r="D164" s="241" t="str">
        <f ca="1">IFERROR(__xludf.DUMMYFUNCTION("""COMPUTED_VALUE"""),"03765304000138")</f>
        <v>03765304000138</v>
      </c>
      <c r="E164" s="241" t="str">
        <f ca="1">IFERROR(__xludf.DUMMYFUNCTION("""COMPUTED_VALUE"""),"001")</f>
        <v>001</v>
      </c>
      <c r="F164" s="241" t="str">
        <f ca="1">IFERROR(__xludf.DUMMYFUNCTION("""COMPUTED_VALUE"""),"1305")</f>
        <v>1305</v>
      </c>
      <c r="G164" s="240" t="str">
        <f ca="1">IFERROR(__xludf.DUMMYFUNCTION("""COMPUTED_VALUE"""),"78964")</f>
        <v>78964</v>
      </c>
      <c r="H164" s="240" t="str">
        <f ca="1">IFERROR(__xludf.DUMMYFUNCTION("""COMPUTED_VALUE"""),"EJA")</f>
        <v>EJA</v>
      </c>
      <c r="I164" s="242">
        <f ca="1">IFERROR(__xludf.DUMMYFUNCTION("""COMPUTED_VALUE"""),252)</f>
        <v>252</v>
      </c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</row>
    <row r="165" spans="1:26" ht="21" customHeight="1">
      <c r="A165" s="240" t="str">
        <f ca="1">IFERROR(__xludf.DUMMYFUNCTION("""COMPUTED_VALUE"""),"Araguatins")</f>
        <v>Araguatins</v>
      </c>
      <c r="B165" s="240" t="str">
        <f ca="1">IFERROR(__xludf.DUMMYFUNCTION("""COMPUTED_VALUE"""),"Araguatins")</f>
        <v>Araguatins</v>
      </c>
      <c r="C165" s="240" t="str">
        <f ca="1">IFERROR(__xludf.DUMMYFUNCTION("""COMPUTED_VALUE"""),"ASSOC. APOIO AO CEM PROFESSORA ANTONINA MILHOMEM")</f>
        <v>ASSOC. APOIO AO CEM PROFESSORA ANTONINA MILHOMEM</v>
      </c>
      <c r="D165" s="241" t="str">
        <f ca="1">IFERROR(__xludf.DUMMYFUNCTION("""COMPUTED_VALUE"""),"04675931000140")</f>
        <v>04675931000140</v>
      </c>
      <c r="E165" s="241" t="str">
        <f ca="1">IFERROR(__xludf.DUMMYFUNCTION("""COMPUTED_VALUE"""),"001")</f>
        <v>001</v>
      </c>
      <c r="F165" s="241" t="str">
        <f ca="1">IFERROR(__xludf.DUMMYFUNCTION("""COMPUTED_VALUE"""),"1305")</f>
        <v>1305</v>
      </c>
      <c r="G165" s="240" t="str">
        <f ca="1">IFERROR(__xludf.DUMMYFUNCTION("""COMPUTED_VALUE"""),"209082")</f>
        <v>209082</v>
      </c>
      <c r="H165" s="240" t="str">
        <f ca="1">IFERROR(__xludf.DUMMYFUNCTION("""COMPUTED_VALUE"""),"E.F. PARCIAL")</f>
        <v>E.F. PARCIAL</v>
      </c>
      <c r="I165" s="242">
        <f ca="1">IFERROR(__xludf.DUMMYFUNCTION("""COMPUTED_VALUE"""),4200)</f>
        <v>4200</v>
      </c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</row>
    <row r="166" spans="1:26" ht="21" customHeight="1">
      <c r="A166" s="240" t="str">
        <f ca="1">IFERROR(__xludf.DUMMYFUNCTION("""COMPUTED_VALUE"""),"Araguatins")</f>
        <v>Araguatins</v>
      </c>
      <c r="B166" s="240" t="str">
        <f ca="1">IFERROR(__xludf.DUMMYFUNCTION("""COMPUTED_VALUE"""),"Araguatins")</f>
        <v>Araguatins</v>
      </c>
      <c r="C166" s="240" t="str">
        <f ca="1">IFERROR(__xludf.DUMMYFUNCTION("""COMPUTED_VALUE"""),"ASSOC. APOIO AO CEM PROFESSORA ANTONINA MILHOMEM")</f>
        <v>ASSOC. APOIO AO CEM PROFESSORA ANTONINA MILHOMEM</v>
      </c>
      <c r="D166" s="241" t="str">
        <f ca="1">IFERROR(__xludf.DUMMYFUNCTION("""COMPUTED_VALUE"""),"04675931000140")</f>
        <v>04675931000140</v>
      </c>
      <c r="E166" s="241" t="str">
        <f ca="1">IFERROR(__xludf.DUMMYFUNCTION("""COMPUTED_VALUE"""),"001")</f>
        <v>001</v>
      </c>
      <c r="F166" s="241" t="str">
        <f ca="1">IFERROR(__xludf.DUMMYFUNCTION("""COMPUTED_VALUE"""),"1305")</f>
        <v>1305</v>
      </c>
      <c r="G166" s="240" t="str">
        <f ca="1">IFERROR(__xludf.DUMMYFUNCTION("""COMPUTED_VALUE"""),"209082")</f>
        <v>209082</v>
      </c>
      <c r="H166" s="240" t="str">
        <f ca="1">IFERROR(__xludf.DUMMYFUNCTION("""COMPUTED_VALUE"""),"AEE")</f>
        <v>AEE</v>
      </c>
      <c r="I166" s="242">
        <f ca="1">IFERROR(__xludf.DUMMYFUNCTION("""COMPUTED_VALUE"""),252)</f>
        <v>252</v>
      </c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</row>
    <row r="167" spans="1:26" ht="21" customHeight="1">
      <c r="A167" s="240" t="str">
        <f ca="1">IFERROR(__xludf.DUMMYFUNCTION("""COMPUTED_VALUE"""),"Araguatins")</f>
        <v>Araguatins</v>
      </c>
      <c r="B167" s="240" t="str">
        <f ca="1">IFERROR(__xludf.DUMMYFUNCTION("""COMPUTED_VALUE"""),"Araguatins")</f>
        <v>Araguatins</v>
      </c>
      <c r="C167" s="240" t="str">
        <f ca="1">IFERROR(__xludf.DUMMYFUNCTION("""COMPUTED_VALUE"""),"ASSOC. APOIO AO CEM PROFESSORA ANTONINA MILHOMEM")</f>
        <v>ASSOC. APOIO AO CEM PROFESSORA ANTONINA MILHOMEM</v>
      </c>
      <c r="D167" s="241" t="str">
        <f ca="1">IFERROR(__xludf.DUMMYFUNCTION("""COMPUTED_VALUE"""),"04675931000140")</f>
        <v>04675931000140</v>
      </c>
      <c r="E167" s="241" t="str">
        <f ca="1">IFERROR(__xludf.DUMMYFUNCTION("""COMPUTED_VALUE"""),"001")</f>
        <v>001</v>
      </c>
      <c r="F167" s="241" t="str">
        <f ca="1">IFERROR(__xludf.DUMMYFUNCTION("""COMPUTED_VALUE"""),"1305")</f>
        <v>1305</v>
      </c>
      <c r="G167" s="240" t="str">
        <f ca="1">IFERROR(__xludf.DUMMYFUNCTION("""COMPUTED_VALUE"""),"209082")</f>
        <v>209082</v>
      </c>
      <c r="H167" s="240" t="str">
        <f ca="1">IFERROR(__xludf.DUMMYFUNCTION("""COMPUTED_VALUE"""),"ENS MEDIO PARCIAL")</f>
        <v>ENS MEDIO PARCIAL</v>
      </c>
      <c r="I167" s="242">
        <f ca="1">IFERROR(__xludf.DUMMYFUNCTION("""COMPUTED_VALUE"""),7602)</f>
        <v>7602</v>
      </c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</row>
    <row r="168" spans="1:26" ht="21" customHeight="1">
      <c r="A168" s="240" t="str">
        <f ca="1">IFERROR(__xludf.DUMMYFUNCTION("""COMPUTED_VALUE"""),"Araguatins")</f>
        <v>Araguatins</v>
      </c>
      <c r="B168" s="240" t="str">
        <f ca="1">IFERROR(__xludf.DUMMYFUNCTION("""COMPUTED_VALUE"""),"Araguatins")</f>
        <v>Araguatins</v>
      </c>
      <c r="C168" s="240" t="str">
        <f ca="1">IFERROR(__xludf.DUMMYFUNCTION("""COMPUTED_VALUE"""),"A.A. ESC. ESTADUAL ALDINAR GONÇALVES DE CARVALHO")</f>
        <v>A.A. ESC. ESTADUAL ALDINAR GONÇALVES DE CARVALHO</v>
      </c>
      <c r="D168" s="241" t="str">
        <f ca="1">IFERROR(__xludf.DUMMYFUNCTION("""COMPUTED_VALUE"""),"09465471000140")</f>
        <v>09465471000140</v>
      </c>
      <c r="E168" s="241" t="str">
        <f ca="1">IFERROR(__xludf.DUMMYFUNCTION("""COMPUTED_VALUE"""),"001")</f>
        <v>001</v>
      </c>
      <c r="F168" s="241" t="str">
        <f ca="1">IFERROR(__xludf.DUMMYFUNCTION("""COMPUTED_VALUE"""),"1305")</f>
        <v>1305</v>
      </c>
      <c r="G168" s="240" t="str">
        <f ca="1">IFERROR(__xludf.DUMMYFUNCTION("""COMPUTED_VALUE"""),"196657")</f>
        <v>196657</v>
      </c>
      <c r="H168" s="240" t="str">
        <f ca="1">IFERROR(__xludf.DUMMYFUNCTION("""COMPUTED_VALUE"""),"AEE")</f>
        <v>AEE</v>
      </c>
      <c r="I168" s="242">
        <f ca="1">IFERROR(__xludf.DUMMYFUNCTION("""COMPUTED_VALUE"""),651)</f>
        <v>651</v>
      </c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</row>
    <row r="169" spans="1:26" ht="21" customHeight="1">
      <c r="A169" s="240" t="str">
        <f ca="1">IFERROR(__xludf.DUMMYFUNCTION("""COMPUTED_VALUE"""),"Araguatins")</f>
        <v>Araguatins</v>
      </c>
      <c r="B169" s="240" t="str">
        <f ca="1">IFERROR(__xludf.DUMMYFUNCTION("""COMPUTED_VALUE"""),"Augustinopolis")</f>
        <v>Augustinopolis</v>
      </c>
      <c r="C169" s="240" t="str">
        <f ca="1">IFERROR(__xludf.DUMMYFUNCTION("""COMPUTED_VALUE"""),"A.A. DA ESCOLA EST. SANTA GENOVEVA")</f>
        <v>A.A. DA ESCOLA EST. SANTA GENOVEVA</v>
      </c>
      <c r="D169" s="241" t="str">
        <f ca="1">IFERROR(__xludf.DUMMYFUNCTION("""COMPUTED_VALUE"""),"01068357000174")</f>
        <v>01068357000174</v>
      </c>
      <c r="E169" s="241" t="str">
        <f ca="1">IFERROR(__xludf.DUMMYFUNCTION("""COMPUTED_VALUE"""),"001")</f>
        <v>001</v>
      </c>
      <c r="F169" s="241" t="str">
        <f ca="1">IFERROR(__xludf.DUMMYFUNCTION("""COMPUTED_VALUE"""),"3975")</f>
        <v>3975</v>
      </c>
      <c r="G169" s="240" t="str">
        <f ca="1">IFERROR(__xludf.DUMMYFUNCTION("""COMPUTED_VALUE"""),"0019461")</f>
        <v>0019461</v>
      </c>
      <c r="H169" s="240" t="str">
        <f ca="1">IFERROR(__xludf.DUMMYFUNCTION("""COMPUTED_VALUE"""),"E.F. PARCIAL")</f>
        <v>E.F. PARCIAL</v>
      </c>
      <c r="I169" s="242">
        <f ca="1">IFERROR(__xludf.DUMMYFUNCTION("""COMPUTED_VALUE"""),11844)</f>
        <v>11844</v>
      </c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</row>
    <row r="170" spans="1:26" ht="21" customHeight="1">
      <c r="A170" s="240" t="str">
        <f ca="1">IFERROR(__xludf.DUMMYFUNCTION("""COMPUTED_VALUE"""),"Araguatins")</f>
        <v>Araguatins</v>
      </c>
      <c r="B170" s="240" t="str">
        <f ca="1">IFERROR(__xludf.DUMMYFUNCTION("""COMPUTED_VALUE"""),"Augustinopolis")</f>
        <v>Augustinopolis</v>
      </c>
      <c r="C170" s="240" t="str">
        <f ca="1">IFERROR(__xludf.DUMMYFUNCTION("""COMPUTED_VALUE"""),"A.A. DA ESCOLA EST. SANTA GENOVEVA")</f>
        <v>A.A. DA ESCOLA EST. SANTA GENOVEVA</v>
      </c>
      <c r="D170" s="241" t="str">
        <f ca="1">IFERROR(__xludf.DUMMYFUNCTION("""COMPUTED_VALUE"""),"01068357000174")</f>
        <v>01068357000174</v>
      </c>
      <c r="E170" s="241" t="str">
        <f ca="1">IFERROR(__xludf.DUMMYFUNCTION("""COMPUTED_VALUE"""),"001")</f>
        <v>001</v>
      </c>
      <c r="F170" s="241" t="str">
        <f ca="1">IFERROR(__xludf.DUMMYFUNCTION("""COMPUTED_VALUE"""),"3975")</f>
        <v>3975</v>
      </c>
      <c r="G170" s="240" t="str">
        <f ca="1">IFERROR(__xludf.DUMMYFUNCTION("""COMPUTED_VALUE"""),"0019461")</f>
        <v>0019461</v>
      </c>
      <c r="H170" s="240" t="str">
        <f ca="1">IFERROR(__xludf.DUMMYFUNCTION("""COMPUTED_VALUE"""),"AEE")</f>
        <v>AEE</v>
      </c>
      <c r="I170" s="242">
        <f ca="1">IFERROR(__xludf.DUMMYFUNCTION("""COMPUTED_VALUE"""),336)</f>
        <v>336</v>
      </c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</row>
    <row r="171" spans="1:26" ht="21" customHeight="1">
      <c r="A171" s="240" t="str">
        <f ca="1">IFERROR(__xludf.DUMMYFUNCTION("""COMPUTED_VALUE"""),"Araguatins")</f>
        <v>Araguatins</v>
      </c>
      <c r="B171" s="240" t="str">
        <f ca="1">IFERROR(__xludf.DUMMYFUNCTION("""COMPUTED_VALUE"""),"Augustinopolis")</f>
        <v>Augustinopolis</v>
      </c>
      <c r="C171" s="240" t="str">
        <f ca="1">IFERROR(__xludf.DUMMYFUNCTION("""COMPUTED_VALUE"""),"A.A. DA ESCOLA EST. SANTA GENOVEVA")</f>
        <v>A.A. DA ESCOLA EST. SANTA GENOVEVA</v>
      </c>
      <c r="D171" s="241" t="str">
        <f ca="1">IFERROR(__xludf.DUMMYFUNCTION("""COMPUTED_VALUE"""),"01068357000174")</f>
        <v>01068357000174</v>
      </c>
      <c r="E171" s="241" t="str">
        <f ca="1">IFERROR(__xludf.DUMMYFUNCTION("""COMPUTED_VALUE"""),"001")</f>
        <v>001</v>
      </c>
      <c r="F171" s="241" t="str">
        <f ca="1">IFERROR(__xludf.DUMMYFUNCTION("""COMPUTED_VALUE"""),"3975")</f>
        <v>3975</v>
      </c>
      <c r="G171" s="240" t="str">
        <f ca="1">IFERROR(__xludf.DUMMYFUNCTION("""COMPUTED_VALUE"""),"0019461")</f>
        <v>0019461</v>
      </c>
      <c r="H171" s="240" t="str">
        <f ca="1">IFERROR(__xludf.DUMMYFUNCTION("""COMPUTED_VALUE"""),"ENS MEDIO PARCIAL")</f>
        <v>ENS MEDIO PARCIAL</v>
      </c>
      <c r="I171" s="242">
        <f ca="1">IFERROR(__xludf.DUMMYFUNCTION("""COMPUTED_VALUE"""),3003)</f>
        <v>3003</v>
      </c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</row>
    <row r="172" spans="1:26" ht="21" customHeight="1">
      <c r="A172" s="240" t="str">
        <f ca="1">IFERROR(__xludf.DUMMYFUNCTION("""COMPUTED_VALUE"""),"Araguatins")</f>
        <v>Araguatins</v>
      </c>
      <c r="B172" s="240" t="str">
        <f ca="1">IFERROR(__xludf.DUMMYFUNCTION("""COMPUTED_VALUE"""),"Augustinopolis")</f>
        <v>Augustinopolis</v>
      </c>
      <c r="C172" s="240" t="str">
        <f ca="1">IFERROR(__xludf.DUMMYFUNCTION("""COMPUTED_VALUE"""),"A.A. ESCOLA ESTADUAL AUGUSTINOPOLIS")</f>
        <v>A.A. ESCOLA ESTADUAL AUGUSTINOPOLIS</v>
      </c>
      <c r="D172" s="241" t="str">
        <f ca="1">IFERROR(__xludf.DUMMYFUNCTION("""COMPUTED_VALUE"""),"01133692000109")</f>
        <v>01133692000109</v>
      </c>
      <c r="E172" s="241" t="str">
        <f ca="1">IFERROR(__xludf.DUMMYFUNCTION("""COMPUTED_VALUE"""),"001")</f>
        <v>001</v>
      </c>
      <c r="F172" s="241" t="str">
        <f ca="1">IFERROR(__xludf.DUMMYFUNCTION("""COMPUTED_VALUE"""),"3975")</f>
        <v>3975</v>
      </c>
      <c r="G172" s="240" t="str">
        <f ca="1">IFERROR(__xludf.DUMMYFUNCTION("""COMPUTED_VALUE"""),"019151")</f>
        <v>019151</v>
      </c>
      <c r="H172" s="240" t="str">
        <f ca="1">IFERROR(__xludf.DUMMYFUNCTION("""COMPUTED_VALUE"""),"AEE")</f>
        <v>AEE</v>
      </c>
      <c r="I172" s="242">
        <f ca="1">IFERROR(__xludf.DUMMYFUNCTION("""COMPUTED_VALUE"""),357)</f>
        <v>357</v>
      </c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</row>
    <row r="173" spans="1:26" ht="21" customHeight="1">
      <c r="A173" s="240" t="str">
        <f ca="1">IFERROR(__xludf.DUMMYFUNCTION("""COMPUTED_VALUE"""),"Araguatins")</f>
        <v>Araguatins</v>
      </c>
      <c r="B173" s="240" t="str">
        <f ca="1">IFERROR(__xludf.DUMMYFUNCTION("""COMPUTED_VALUE"""),"Augustinopolis")</f>
        <v>Augustinopolis</v>
      </c>
      <c r="C173" s="240" t="str">
        <f ca="1">IFERROR(__xludf.DUMMYFUNCTION("""COMPUTED_VALUE"""),"ASSOC. DE AP.ESC. EST. FAZ.DEZESSEIS")</f>
        <v>ASSOC. DE AP.ESC. EST. FAZ.DEZESSEIS</v>
      </c>
      <c r="D173" s="241" t="str">
        <f ca="1">IFERROR(__xludf.DUMMYFUNCTION("""COMPUTED_VALUE"""),"01133695000142")</f>
        <v>01133695000142</v>
      </c>
      <c r="E173" s="241" t="str">
        <f ca="1">IFERROR(__xludf.DUMMYFUNCTION("""COMPUTED_VALUE"""),"001")</f>
        <v>001</v>
      </c>
      <c r="F173" s="241" t="str">
        <f ca="1">IFERROR(__xludf.DUMMYFUNCTION("""COMPUTED_VALUE"""),"3975")</f>
        <v>3975</v>
      </c>
      <c r="G173" s="240" t="str">
        <f ca="1">IFERROR(__xludf.DUMMYFUNCTION("""COMPUTED_VALUE"""),"0019615")</f>
        <v>0019615</v>
      </c>
      <c r="H173" s="240" t="str">
        <f ca="1">IFERROR(__xludf.DUMMYFUNCTION("""COMPUTED_VALUE"""),"E.F. PARCIAL")</f>
        <v>E.F. PARCIAL</v>
      </c>
      <c r="I173" s="242">
        <f ca="1">IFERROR(__xludf.DUMMYFUNCTION("""COMPUTED_VALUE"""),2142)</f>
        <v>2142</v>
      </c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</row>
    <row r="174" spans="1:26" ht="21" customHeight="1">
      <c r="A174" s="240" t="str">
        <f ca="1">IFERROR(__xludf.DUMMYFUNCTION("""COMPUTED_VALUE"""),"Araguatins")</f>
        <v>Araguatins</v>
      </c>
      <c r="B174" s="240" t="str">
        <f ca="1">IFERROR(__xludf.DUMMYFUNCTION("""COMPUTED_VALUE"""),"Augustinopolis")</f>
        <v>Augustinopolis</v>
      </c>
      <c r="C174" s="240" t="str">
        <f ca="1">IFERROR(__xludf.DUMMYFUNCTION("""COMPUTED_VALUE"""),"ASSOC. DE AP.ESC. EST. FAZ.DEZESSEIS")</f>
        <v>ASSOC. DE AP.ESC. EST. FAZ.DEZESSEIS</v>
      </c>
      <c r="D174" s="241" t="str">
        <f ca="1">IFERROR(__xludf.DUMMYFUNCTION("""COMPUTED_VALUE"""),"01133695000142")</f>
        <v>01133695000142</v>
      </c>
      <c r="E174" s="241" t="str">
        <f ca="1">IFERROR(__xludf.DUMMYFUNCTION("""COMPUTED_VALUE"""),"001")</f>
        <v>001</v>
      </c>
      <c r="F174" s="241" t="str">
        <f ca="1">IFERROR(__xludf.DUMMYFUNCTION("""COMPUTED_VALUE"""),"3975")</f>
        <v>3975</v>
      </c>
      <c r="G174" s="240" t="str">
        <f ca="1">IFERROR(__xludf.DUMMYFUNCTION("""COMPUTED_VALUE"""),"0019615")</f>
        <v>0019615</v>
      </c>
      <c r="H174" s="240" t="str">
        <f ca="1">IFERROR(__xludf.DUMMYFUNCTION("""COMPUTED_VALUE"""),"AEE")</f>
        <v>AEE</v>
      </c>
      <c r="I174" s="242">
        <f ca="1">IFERROR(__xludf.DUMMYFUNCTION("""COMPUTED_VALUE"""),231)</f>
        <v>231</v>
      </c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</row>
    <row r="175" spans="1:26" ht="21" customHeight="1">
      <c r="A175" s="240" t="str">
        <f ca="1">IFERROR(__xludf.DUMMYFUNCTION("""COMPUTED_VALUE"""),"Araguatins")</f>
        <v>Araguatins</v>
      </c>
      <c r="B175" s="240" t="str">
        <f ca="1">IFERROR(__xludf.DUMMYFUNCTION("""COMPUTED_VALUE"""),"Augustinopolis")</f>
        <v>Augustinopolis</v>
      </c>
      <c r="C175" s="240" t="str">
        <f ca="1">IFERROR(__xludf.DUMMYFUNCTION("""COMPUTED_VALUE"""),"ASSOC. DE AP.ESC. EST. FAZ.DEZESSEIS")</f>
        <v>ASSOC. DE AP.ESC. EST. FAZ.DEZESSEIS</v>
      </c>
      <c r="D175" s="241" t="str">
        <f ca="1">IFERROR(__xludf.DUMMYFUNCTION("""COMPUTED_VALUE"""),"01133695000142")</f>
        <v>01133695000142</v>
      </c>
      <c r="E175" s="241" t="str">
        <f ca="1">IFERROR(__xludf.DUMMYFUNCTION("""COMPUTED_VALUE"""),"001")</f>
        <v>001</v>
      </c>
      <c r="F175" s="241" t="str">
        <f ca="1">IFERROR(__xludf.DUMMYFUNCTION("""COMPUTED_VALUE"""),"3975")</f>
        <v>3975</v>
      </c>
      <c r="G175" s="240" t="str">
        <f ca="1">IFERROR(__xludf.DUMMYFUNCTION("""COMPUTED_VALUE"""),"0019615")</f>
        <v>0019615</v>
      </c>
      <c r="H175" s="240" t="str">
        <f ca="1">IFERROR(__xludf.DUMMYFUNCTION("""COMPUTED_VALUE"""),"ENS MEDIO PARCIAL")</f>
        <v>ENS MEDIO PARCIAL</v>
      </c>
      <c r="I175" s="242">
        <f ca="1">IFERROR(__xludf.DUMMYFUNCTION("""COMPUTED_VALUE"""),945)</f>
        <v>945</v>
      </c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</row>
    <row r="176" spans="1:26" ht="21" customHeight="1">
      <c r="A176" s="240" t="str">
        <f ca="1">IFERROR(__xludf.DUMMYFUNCTION("""COMPUTED_VALUE"""),"Araguatins")</f>
        <v>Araguatins</v>
      </c>
      <c r="B176" s="240" t="str">
        <f ca="1">IFERROR(__xludf.DUMMYFUNCTION("""COMPUTED_VALUE"""),"Augustinopolis")</f>
        <v>Augustinopolis</v>
      </c>
      <c r="C176" s="240" t="str">
        <f ca="1">IFERROR(__xludf.DUMMYFUNCTION("""COMPUTED_VALUE"""),"ASSOC. DE AP.ESC. EST. FAZ.DEZESSEIS")</f>
        <v>ASSOC. DE AP.ESC. EST. FAZ.DEZESSEIS</v>
      </c>
      <c r="D176" s="241" t="str">
        <f ca="1">IFERROR(__xludf.DUMMYFUNCTION("""COMPUTED_VALUE"""),"01133695000142")</f>
        <v>01133695000142</v>
      </c>
      <c r="E176" s="241" t="str">
        <f ca="1">IFERROR(__xludf.DUMMYFUNCTION("""COMPUTED_VALUE"""),"001")</f>
        <v>001</v>
      </c>
      <c r="F176" s="241" t="str">
        <f ca="1">IFERROR(__xludf.DUMMYFUNCTION("""COMPUTED_VALUE"""),"3975")</f>
        <v>3975</v>
      </c>
      <c r="G176" s="240" t="str">
        <f ca="1">IFERROR(__xludf.DUMMYFUNCTION("""COMPUTED_VALUE"""),"0019615")</f>
        <v>0019615</v>
      </c>
      <c r="H176" s="240" t="str">
        <f ca="1">IFERROR(__xludf.DUMMYFUNCTION("""COMPUTED_VALUE"""),"EJA")</f>
        <v>EJA</v>
      </c>
      <c r="I176" s="242">
        <f ca="1">IFERROR(__xludf.DUMMYFUNCTION("""COMPUTED_VALUE"""),3360)</f>
        <v>3360</v>
      </c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</row>
    <row r="177" spans="1:26" ht="21" customHeight="1">
      <c r="A177" s="240" t="str">
        <f ca="1">IFERROR(__xludf.DUMMYFUNCTION("""COMPUTED_VALUE"""),"Araguatins")</f>
        <v>Araguatins</v>
      </c>
      <c r="B177" s="240" t="str">
        <f ca="1">IFERROR(__xludf.DUMMYFUNCTION("""COMPUTED_VALUE"""),"Augustinopolis")</f>
        <v>Augustinopolis</v>
      </c>
      <c r="C177" s="240" t="str">
        <f ca="1">IFERROR(__xludf.DUMMYFUNCTION("""COMPUTED_VALUE"""),"ASSOC. DE APOIO COL. EST. MANOEL VICENTE SOUZA")</f>
        <v>ASSOC. DE APOIO COL. EST. MANOEL VICENTE SOUZA</v>
      </c>
      <c r="D177" s="241" t="str">
        <f ca="1">IFERROR(__xludf.DUMMYFUNCTION("""COMPUTED_VALUE"""),"01223642000112")</f>
        <v>01223642000112</v>
      </c>
      <c r="E177" s="241" t="str">
        <f ca="1">IFERROR(__xludf.DUMMYFUNCTION("""COMPUTED_VALUE"""),"001")</f>
        <v>001</v>
      </c>
      <c r="F177" s="241" t="str">
        <f ca="1">IFERROR(__xludf.DUMMYFUNCTION("""COMPUTED_VALUE"""),"3975")</f>
        <v>3975</v>
      </c>
      <c r="G177" s="240" t="str">
        <f ca="1">IFERROR(__xludf.DUMMYFUNCTION("""COMPUTED_VALUE"""),"139297")</f>
        <v>139297</v>
      </c>
      <c r="H177" s="240" t="str">
        <f ca="1">IFERROR(__xludf.DUMMYFUNCTION("""COMPUTED_VALUE"""),"ENS MEDIO PARCIAL")</f>
        <v>ENS MEDIO PARCIAL</v>
      </c>
      <c r="I177" s="242">
        <f ca="1">IFERROR(__xludf.DUMMYFUNCTION("""COMPUTED_VALUE"""),1995)</f>
        <v>1995</v>
      </c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</row>
    <row r="178" spans="1:26" ht="21" customHeight="1">
      <c r="A178" s="240" t="str">
        <f ca="1">IFERROR(__xludf.DUMMYFUNCTION("""COMPUTED_VALUE"""),"Araguatins")</f>
        <v>Araguatins</v>
      </c>
      <c r="B178" s="240" t="str">
        <f ca="1">IFERROR(__xludf.DUMMYFUNCTION("""COMPUTED_VALUE"""),"Augustinopolis")</f>
        <v>Augustinopolis</v>
      </c>
      <c r="C178" s="240" t="str">
        <f ca="1">IFERROR(__xludf.DUMMYFUNCTION("""COMPUTED_VALUE"""),"A.A. CENTRO EST. DE EDUCACAO LA SALLE")</f>
        <v>A.A. CENTRO EST. DE EDUCACAO LA SALLE</v>
      </c>
      <c r="D178" s="241" t="str">
        <f ca="1">IFERROR(__xludf.DUMMYFUNCTION("""COMPUTED_VALUE"""),"01223753000129")</f>
        <v>01223753000129</v>
      </c>
      <c r="E178" s="241" t="str">
        <f ca="1">IFERROR(__xludf.DUMMYFUNCTION("""COMPUTED_VALUE"""),"001")</f>
        <v>001</v>
      </c>
      <c r="F178" s="241" t="str">
        <f ca="1">IFERROR(__xludf.DUMMYFUNCTION("""COMPUTED_VALUE"""),"3975")</f>
        <v>3975</v>
      </c>
      <c r="G178" s="240" t="str">
        <f ca="1">IFERROR(__xludf.DUMMYFUNCTION("""COMPUTED_VALUE"""),"19216")</f>
        <v>19216</v>
      </c>
      <c r="H178" s="240" t="str">
        <f ca="1">IFERROR(__xludf.DUMMYFUNCTION("""COMPUTED_VALUE"""),"E.F. PARCIAL")</f>
        <v>E.F. PARCIAL</v>
      </c>
      <c r="I178" s="242">
        <f ca="1">IFERROR(__xludf.DUMMYFUNCTION("""COMPUTED_VALUE"""),10542)</f>
        <v>10542</v>
      </c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</row>
    <row r="179" spans="1:26" ht="21" customHeight="1">
      <c r="A179" s="240" t="str">
        <f ca="1">IFERROR(__xludf.DUMMYFUNCTION("""COMPUTED_VALUE"""),"Araguatins")</f>
        <v>Araguatins</v>
      </c>
      <c r="B179" s="240" t="str">
        <f ca="1">IFERROR(__xludf.DUMMYFUNCTION("""COMPUTED_VALUE"""),"Augustinopolis")</f>
        <v>Augustinopolis</v>
      </c>
      <c r="C179" s="240" t="str">
        <f ca="1">IFERROR(__xludf.DUMMYFUNCTION("""COMPUTED_VALUE"""),"A.A. CENTRO EST. DE EDUCACAO LA SALLE")</f>
        <v>A.A. CENTRO EST. DE EDUCACAO LA SALLE</v>
      </c>
      <c r="D179" s="241" t="str">
        <f ca="1">IFERROR(__xludf.DUMMYFUNCTION("""COMPUTED_VALUE"""),"01223753000129")</f>
        <v>01223753000129</v>
      </c>
      <c r="E179" s="241" t="str">
        <f ca="1">IFERROR(__xludf.DUMMYFUNCTION("""COMPUTED_VALUE"""),"001")</f>
        <v>001</v>
      </c>
      <c r="F179" s="241" t="str">
        <f ca="1">IFERROR(__xludf.DUMMYFUNCTION("""COMPUTED_VALUE"""),"3975")</f>
        <v>3975</v>
      </c>
      <c r="G179" s="240" t="str">
        <f ca="1">IFERROR(__xludf.DUMMYFUNCTION("""COMPUTED_VALUE"""),"19216")</f>
        <v>19216</v>
      </c>
      <c r="H179" s="240" t="str">
        <f ca="1">IFERROR(__xludf.DUMMYFUNCTION("""COMPUTED_VALUE"""),"AEE")</f>
        <v>AEE</v>
      </c>
      <c r="I179" s="242">
        <f ca="1">IFERROR(__xludf.DUMMYFUNCTION("""COMPUTED_VALUE"""),693)</f>
        <v>693</v>
      </c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</row>
    <row r="180" spans="1:26" ht="21" customHeight="1">
      <c r="A180" s="240" t="str">
        <f ca="1">IFERROR(__xludf.DUMMYFUNCTION("""COMPUTED_VALUE"""),"Araguatins")</f>
        <v>Araguatins</v>
      </c>
      <c r="B180" s="240" t="str">
        <f ca="1">IFERROR(__xludf.DUMMYFUNCTION("""COMPUTED_VALUE"""),"Augustinopolis")</f>
        <v>Augustinopolis</v>
      </c>
      <c r="C180" s="240" t="str">
        <f ca="1">IFERROR(__xludf.DUMMYFUNCTION("""COMPUTED_VALUE"""),"A.A. CENTRO EST. DE EDUCACAO LA SALLE")</f>
        <v>A.A. CENTRO EST. DE EDUCACAO LA SALLE</v>
      </c>
      <c r="D180" s="241" t="str">
        <f ca="1">IFERROR(__xludf.DUMMYFUNCTION("""COMPUTED_VALUE"""),"01223753000129")</f>
        <v>01223753000129</v>
      </c>
      <c r="E180" s="241" t="str">
        <f ca="1">IFERROR(__xludf.DUMMYFUNCTION("""COMPUTED_VALUE"""),"001")</f>
        <v>001</v>
      </c>
      <c r="F180" s="241" t="str">
        <f ca="1">IFERROR(__xludf.DUMMYFUNCTION("""COMPUTED_VALUE"""),"3975")</f>
        <v>3975</v>
      </c>
      <c r="G180" s="240" t="str">
        <f ca="1">IFERROR(__xludf.DUMMYFUNCTION("""COMPUTED_VALUE"""),"19216")</f>
        <v>19216</v>
      </c>
      <c r="H180" s="240" t="str">
        <f ca="1">IFERROR(__xludf.DUMMYFUNCTION("""COMPUTED_VALUE"""),"ENS MEDIO PARCIAL")</f>
        <v>ENS MEDIO PARCIAL</v>
      </c>
      <c r="I180" s="242">
        <f ca="1">IFERROR(__xludf.DUMMYFUNCTION("""COMPUTED_VALUE"""),4788)</f>
        <v>4788</v>
      </c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</row>
    <row r="181" spans="1:26" ht="21" customHeight="1">
      <c r="A181" s="240" t="str">
        <f ca="1">IFERROR(__xludf.DUMMYFUNCTION("""COMPUTED_VALUE"""),"Araguatins")</f>
        <v>Araguatins</v>
      </c>
      <c r="B181" s="240" t="str">
        <f ca="1">IFERROR(__xludf.DUMMYFUNCTION("""COMPUTED_VALUE"""),"Axixa do Tocantins")</f>
        <v>Axixa do Tocantins</v>
      </c>
      <c r="C181" s="240" t="str">
        <f ca="1">IFERROR(__xludf.DUMMYFUNCTION("""COMPUTED_VALUE"""),"ASSOC. DE APOIO COLÉGIO. EST. MAL. RIBAS JUNIOR")</f>
        <v>ASSOC. DE APOIO COLÉGIO. EST. MAL. RIBAS JUNIOR</v>
      </c>
      <c r="D181" s="241" t="str">
        <f ca="1">IFERROR(__xludf.DUMMYFUNCTION("""COMPUTED_VALUE"""),"01086979000125")</f>
        <v>01086979000125</v>
      </c>
      <c r="E181" s="241" t="str">
        <f ca="1">IFERROR(__xludf.DUMMYFUNCTION("""COMPUTED_VALUE"""),"001")</f>
        <v>001</v>
      </c>
      <c r="F181" s="241" t="str">
        <f ca="1">IFERROR(__xludf.DUMMYFUNCTION("""COMPUTED_VALUE"""),"1305")</f>
        <v>1305</v>
      </c>
      <c r="G181" s="240" t="str">
        <f ca="1">IFERROR(__xludf.DUMMYFUNCTION("""COMPUTED_VALUE"""),"209201")</f>
        <v>209201</v>
      </c>
      <c r="H181" s="240" t="str">
        <f ca="1">IFERROR(__xludf.DUMMYFUNCTION("""COMPUTED_VALUE"""),"AEE")</f>
        <v>AEE</v>
      </c>
      <c r="I181" s="242">
        <f ca="1">IFERROR(__xludf.DUMMYFUNCTION("""COMPUTED_VALUE"""),273)</f>
        <v>273</v>
      </c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</row>
    <row r="182" spans="1:26" ht="21" customHeight="1">
      <c r="A182" s="240" t="str">
        <f ca="1">IFERROR(__xludf.DUMMYFUNCTION("""COMPUTED_VALUE"""),"Araguatins")</f>
        <v>Araguatins</v>
      </c>
      <c r="B182" s="240" t="str">
        <f ca="1">IFERROR(__xludf.DUMMYFUNCTION("""COMPUTED_VALUE"""),"Axixa do Tocantins")</f>
        <v>Axixa do Tocantins</v>
      </c>
      <c r="C182" s="240" t="str">
        <f ca="1">IFERROR(__xludf.DUMMYFUNCTION("""COMPUTED_VALUE"""),"ASSOC. DE APOIO COLÉGIO. EST. MAL. RIBAS JUNIOR")</f>
        <v>ASSOC. DE APOIO COLÉGIO. EST. MAL. RIBAS JUNIOR</v>
      </c>
      <c r="D182" s="241" t="str">
        <f ca="1">IFERROR(__xludf.DUMMYFUNCTION("""COMPUTED_VALUE"""),"01086979000125")</f>
        <v>01086979000125</v>
      </c>
      <c r="E182" s="241" t="str">
        <f ca="1">IFERROR(__xludf.DUMMYFUNCTION("""COMPUTED_VALUE"""),"001")</f>
        <v>001</v>
      </c>
      <c r="F182" s="241" t="str">
        <f ca="1">IFERROR(__xludf.DUMMYFUNCTION("""COMPUTED_VALUE"""),"1305")</f>
        <v>1305</v>
      </c>
      <c r="G182" s="240" t="str">
        <f ca="1">IFERROR(__xludf.DUMMYFUNCTION("""COMPUTED_VALUE"""),"209201")</f>
        <v>209201</v>
      </c>
      <c r="H182" s="240" t="str">
        <f ca="1">IFERROR(__xludf.DUMMYFUNCTION("""COMPUTED_VALUE"""),"ENS MEDIO PARCIAL")</f>
        <v>ENS MEDIO PARCIAL</v>
      </c>
      <c r="I182" s="242">
        <f ca="1">IFERROR(__xludf.DUMMYFUNCTION("""COMPUTED_VALUE"""),12747)</f>
        <v>12747</v>
      </c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</row>
    <row r="183" spans="1:26" ht="21" customHeight="1">
      <c r="A183" s="240" t="str">
        <f ca="1">IFERROR(__xludf.DUMMYFUNCTION("""COMPUTED_VALUE"""),"Araguatins")</f>
        <v>Araguatins</v>
      </c>
      <c r="B183" s="240" t="str">
        <f ca="1">IFERROR(__xludf.DUMMYFUNCTION("""COMPUTED_VALUE"""),"Axixa do Tocantins")</f>
        <v>Axixa do Tocantins</v>
      </c>
      <c r="C183" s="240" t="str">
        <f ca="1">IFERROR(__xludf.DUMMYFUNCTION("""COMPUTED_VALUE"""),"A.A. ESC. EST. SAO FRANCISCO DE ASSIS")</f>
        <v>A.A. ESC. EST. SAO FRANCISCO DE ASSIS</v>
      </c>
      <c r="D183" s="241" t="str">
        <f ca="1">IFERROR(__xludf.DUMMYFUNCTION("""COMPUTED_VALUE"""),"01086980000150")</f>
        <v>01086980000150</v>
      </c>
      <c r="E183" s="241" t="str">
        <f ca="1">IFERROR(__xludf.DUMMYFUNCTION("""COMPUTED_VALUE"""),"001")</f>
        <v>001</v>
      </c>
      <c r="F183" s="241" t="str">
        <f ca="1">IFERROR(__xludf.DUMMYFUNCTION("""COMPUTED_VALUE"""),"1305")</f>
        <v>1305</v>
      </c>
      <c r="G183" s="240" t="str">
        <f ca="1">IFERROR(__xludf.DUMMYFUNCTION("""COMPUTED_VALUE"""),"19399")</f>
        <v>19399</v>
      </c>
      <c r="H183" s="240" t="str">
        <f ca="1">IFERROR(__xludf.DUMMYFUNCTION("""COMPUTED_VALUE"""),"E.F. PARCIAL")</f>
        <v>E.F. PARCIAL</v>
      </c>
      <c r="I183" s="242">
        <f ca="1">IFERROR(__xludf.DUMMYFUNCTION("""COMPUTED_VALUE"""),4515)</f>
        <v>4515</v>
      </c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</row>
    <row r="184" spans="1:26" ht="21" customHeight="1">
      <c r="A184" s="240" t="str">
        <f ca="1">IFERROR(__xludf.DUMMYFUNCTION("""COMPUTED_VALUE"""),"Araguatins")</f>
        <v>Araguatins</v>
      </c>
      <c r="B184" s="240" t="str">
        <f ca="1">IFERROR(__xludf.DUMMYFUNCTION("""COMPUTED_VALUE"""),"Axixa do Tocantins")</f>
        <v>Axixa do Tocantins</v>
      </c>
      <c r="C184" s="240" t="str">
        <f ca="1">IFERROR(__xludf.DUMMYFUNCTION("""COMPUTED_VALUE"""),"A.A. ESC. EST. SAO FRANCISCO DE ASSIS")</f>
        <v>A.A. ESC. EST. SAO FRANCISCO DE ASSIS</v>
      </c>
      <c r="D184" s="241" t="str">
        <f ca="1">IFERROR(__xludf.DUMMYFUNCTION("""COMPUTED_VALUE"""),"01086980000150")</f>
        <v>01086980000150</v>
      </c>
      <c r="E184" s="241" t="str">
        <f ca="1">IFERROR(__xludf.DUMMYFUNCTION("""COMPUTED_VALUE"""),"001")</f>
        <v>001</v>
      </c>
      <c r="F184" s="241" t="str">
        <f ca="1">IFERROR(__xludf.DUMMYFUNCTION("""COMPUTED_VALUE"""),"1305")</f>
        <v>1305</v>
      </c>
      <c r="G184" s="240" t="str">
        <f ca="1">IFERROR(__xludf.DUMMYFUNCTION("""COMPUTED_VALUE"""),"19399")</f>
        <v>19399</v>
      </c>
      <c r="H184" s="240" t="str">
        <f ca="1">IFERROR(__xludf.DUMMYFUNCTION("""COMPUTED_VALUE"""),"AEE")</f>
        <v>AEE</v>
      </c>
      <c r="I184" s="242">
        <f ca="1">IFERROR(__xludf.DUMMYFUNCTION("""COMPUTED_VALUE"""),294)</f>
        <v>294</v>
      </c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</row>
    <row r="185" spans="1:26" ht="21" customHeight="1">
      <c r="A185" s="240" t="str">
        <f ca="1">IFERROR(__xludf.DUMMYFUNCTION("""COMPUTED_VALUE"""),"Araguatins")</f>
        <v>Araguatins</v>
      </c>
      <c r="B185" s="240" t="str">
        <f ca="1">IFERROR(__xludf.DUMMYFUNCTION("""COMPUTED_VALUE"""),"Buriti do Tocantins")</f>
        <v>Buriti do Tocantins</v>
      </c>
      <c r="C185" s="240" t="str">
        <f ca="1">IFERROR(__xludf.DUMMYFUNCTION("""COMPUTED_VALUE"""),"A.A. ESC. E.PRES.TANCREDO DE A.NEVES")</f>
        <v>A.A. ESC. E.PRES.TANCREDO DE A.NEVES</v>
      </c>
      <c r="D185" s="241" t="str">
        <f ca="1">IFERROR(__xludf.DUMMYFUNCTION("""COMPUTED_VALUE"""),"01112478000176")</f>
        <v>01112478000176</v>
      </c>
      <c r="E185" s="241" t="str">
        <f ca="1">IFERROR(__xludf.DUMMYFUNCTION("""COMPUTED_VALUE"""),"001")</f>
        <v>001</v>
      </c>
      <c r="F185" s="241" t="str">
        <f ca="1">IFERROR(__xludf.DUMMYFUNCTION("""COMPUTED_VALUE"""),"1305")</f>
        <v>1305</v>
      </c>
      <c r="G185" s="240" t="str">
        <f ca="1">IFERROR(__xludf.DUMMYFUNCTION("""COMPUTED_VALUE"""),"10924X")</f>
        <v>10924X</v>
      </c>
      <c r="H185" s="240" t="str">
        <f ca="1">IFERROR(__xludf.DUMMYFUNCTION("""COMPUTED_VALUE"""),"E.F. PARCIAL")</f>
        <v>E.F. PARCIAL</v>
      </c>
      <c r="I185" s="242">
        <f ca="1">IFERROR(__xludf.DUMMYFUNCTION("""COMPUTED_VALUE"""),3738)</f>
        <v>3738</v>
      </c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</row>
    <row r="186" spans="1:26" ht="21" customHeight="1">
      <c r="A186" s="240" t="str">
        <f ca="1">IFERROR(__xludf.DUMMYFUNCTION("""COMPUTED_VALUE"""),"Araguatins")</f>
        <v>Araguatins</v>
      </c>
      <c r="B186" s="240" t="str">
        <f ca="1">IFERROR(__xludf.DUMMYFUNCTION("""COMPUTED_VALUE"""),"Buriti do Tocantins")</f>
        <v>Buriti do Tocantins</v>
      </c>
      <c r="C186" s="240" t="str">
        <f ca="1">IFERROR(__xludf.DUMMYFUNCTION("""COMPUTED_VALUE"""),"A.A. ESC. E.PRES.TANCREDO DE A.NEVES")</f>
        <v>A.A. ESC. E.PRES.TANCREDO DE A.NEVES</v>
      </c>
      <c r="D186" s="241" t="str">
        <f ca="1">IFERROR(__xludf.DUMMYFUNCTION("""COMPUTED_VALUE"""),"01112478000176")</f>
        <v>01112478000176</v>
      </c>
      <c r="E186" s="241" t="str">
        <f ca="1">IFERROR(__xludf.DUMMYFUNCTION("""COMPUTED_VALUE"""),"001")</f>
        <v>001</v>
      </c>
      <c r="F186" s="241" t="str">
        <f ca="1">IFERROR(__xludf.DUMMYFUNCTION("""COMPUTED_VALUE"""),"1305")</f>
        <v>1305</v>
      </c>
      <c r="G186" s="240" t="str">
        <f ca="1">IFERROR(__xludf.DUMMYFUNCTION("""COMPUTED_VALUE"""),"10924X")</f>
        <v>10924X</v>
      </c>
      <c r="H186" s="240" t="str">
        <f ca="1">IFERROR(__xludf.DUMMYFUNCTION("""COMPUTED_VALUE"""),"AEE")</f>
        <v>AEE</v>
      </c>
      <c r="I186" s="242">
        <f ca="1">IFERROR(__xludf.DUMMYFUNCTION("""COMPUTED_VALUE"""),777)</f>
        <v>777</v>
      </c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</row>
    <row r="187" spans="1:26" ht="21" customHeight="1">
      <c r="A187" s="240" t="str">
        <f ca="1">IFERROR(__xludf.DUMMYFUNCTION("""COMPUTED_VALUE"""),"Araguatins")</f>
        <v>Araguatins</v>
      </c>
      <c r="B187" s="240" t="str">
        <f ca="1">IFERROR(__xludf.DUMMYFUNCTION("""COMPUTED_VALUE"""),"Buriti do Tocantins")</f>
        <v>Buriti do Tocantins</v>
      </c>
      <c r="C187" s="240" t="str">
        <f ca="1">IFERROR(__xludf.DUMMYFUNCTION("""COMPUTED_VALUE"""),"A.A. DA ESCOLA ESTADUAL DARCYNOPOLIS")</f>
        <v>A.A. DA ESCOLA ESTADUAL DARCYNOPOLIS</v>
      </c>
      <c r="D187" s="241" t="str">
        <f ca="1">IFERROR(__xludf.DUMMYFUNCTION("""COMPUTED_VALUE"""),"01190184000162")</f>
        <v>01190184000162</v>
      </c>
      <c r="E187" s="241" t="str">
        <f ca="1">IFERROR(__xludf.DUMMYFUNCTION("""COMPUTED_VALUE"""),"001")</f>
        <v>001</v>
      </c>
      <c r="F187" s="241" t="str">
        <f ca="1">IFERROR(__xludf.DUMMYFUNCTION("""COMPUTED_VALUE"""),"3975")</f>
        <v>3975</v>
      </c>
      <c r="G187" s="240" t="str">
        <f ca="1">IFERROR(__xludf.DUMMYFUNCTION("""COMPUTED_VALUE"""),"0019275")</f>
        <v>0019275</v>
      </c>
      <c r="H187" s="240" t="str">
        <f ca="1">IFERROR(__xludf.DUMMYFUNCTION("""COMPUTED_VALUE"""),"E.F. PARCIAL")</f>
        <v>E.F. PARCIAL</v>
      </c>
      <c r="I187" s="242">
        <f ca="1">IFERROR(__xludf.DUMMYFUNCTION("""COMPUTED_VALUE"""),2058)</f>
        <v>2058</v>
      </c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</row>
    <row r="188" spans="1:26" ht="21" customHeight="1">
      <c r="A188" s="240" t="str">
        <f ca="1">IFERROR(__xludf.DUMMYFUNCTION("""COMPUTED_VALUE"""),"Araguatins")</f>
        <v>Araguatins</v>
      </c>
      <c r="B188" s="240" t="str">
        <f ca="1">IFERROR(__xludf.DUMMYFUNCTION("""COMPUTED_VALUE"""),"Buriti do Tocantins")</f>
        <v>Buriti do Tocantins</v>
      </c>
      <c r="C188" s="240" t="str">
        <f ca="1">IFERROR(__xludf.DUMMYFUNCTION("""COMPUTED_VALUE"""),"A.A. DA ESCOLA ESTADUAL DARCYNOPOLIS")</f>
        <v>A.A. DA ESCOLA ESTADUAL DARCYNOPOLIS</v>
      </c>
      <c r="D188" s="241" t="str">
        <f ca="1">IFERROR(__xludf.DUMMYFUNCTION("""COMPUTED_VALUE"""),"01190184000162")</f>
        <v>01190184000162</v>
      </c>
      <c r="E188" s="241" t="str">
        <f ca="1">IFERROR(__xludf.DUMMYFUNCTION("""COMPUTED_VALUE"""),"001")</f>
        <v>001</v>
      </c>
      <c r="F188" s="241" t="str">
        <f ca="1">IFERROR(__xludf.DUMMYFUNCTION("""COMPUTED_VALUE"""),"3975")</f>
        <v>3975</v>
      </c>
      <c r="G188" s="240" t="str">
        <f ca="1">IFERROR(__xludf.DUMMYFUNCTION("""COMPUTED_VALUE"""),"0019275")</f>
        <v>0019275</v>
      </c>
      <c r="H188" s="240" t="str">
        <f ca="1">IFERROR(__xludf.DUMMYFUNCTION("""COMPUTED_VALUE"""),"AEE")</f>
        <v>AEE</v>
      </c>
      <c r="I188" s="242">
        <f ca="1">IFERROR(__xludf.DUMMYFUNCTION("""COMPUTED_VALUE"""),273)</f>
        <v>273</v>
      </c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</row>
    <row r="189" spans="1:26" ht="21" customHeight="1">
      <c r="A189" s="240" t="str">
        <f ca="1">IFERROR(__xludf.DUMMYFUNCTION("""COMPUTED_VALUE"""),"Araguatins")</f>
        <v>Araguatins</v>
      </c>
      <c r="B189" s="240" t="str">
        <f ca="1">IFERROR(__xludf.DUMMYFUNCTION("""COMPUTED_VALUE"""),"Buriti do Tocantins")</f>
        <v>Buriti do Tocantins</v>
      </c>
      <c r="C189" s="240" t="str">
        <f ca="1">IFERROR(__xludf.DUMMYFUNCTION("""COMPUTED_VALUE"""),"A.A. DA ESCOLA ESTADUAL DARCYNOPOLIS")</f>
        <v>A.A. DA ESCOLA ESTADUAL DARCYNOPOLIS</v>
      </c>
      <c r="D189" s="241" t="str">
        <f ca="1">IFERROR(__xludf.DUMMYFUNCTION("""COMPUTED_VALUE"""),"01190184000162")</f>
        <v>01190184000162</v>
      </c>
      <c r="E189" s="241" t="str">
        <f ca="1">IFERROR(__xludf.DUMMYFUNCTION("""COMPUTED_VALUE"""),"001")</f>
        <v>001</v>
      </c>
      <c r="F189" s="241" t="str">
        <f ca="1">IFERROR(__xludf.DUMMYFUNCTION("""COMPUTED_VALUE"""),"3975")</f>
        <v>3975</v>
      </c>
      <c r="G189" s="240" t="str">
        <f ca="1">IFERROR(__xludf.DUMMYFUNCTION("""COMPUTED_VALUE"""),"0019275")</f>
        <v>0019275</v>
      </c>
      <c r="H189" s="240" t="str">
        <f ca="1">IFERROR(__xludf.DUMMYFUNCTION("""COMPUTED_VALUE"""),"ENS MEDIO PARCIAL")</f>
        <v>ENS MEDIO PARCIAL</v>
      </c>
      <c r="I189" s="242">
        <f ca="1">IFERROR(__xludf.DUMMYFUNCTION("""COMPUTED_VALUE"""),882)</f>
        <v>882</v>
      </c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</row>
    <row r="190" spans="1:26" ht="21" customHeight="1">
      <c r="A190" s="240" t="str">
        <f ca="1">IFERROR(__xludf.DUMMYFUNCTION("""COMPUTED_VALUE"""),"Araguatins")</f>
        <v>Araguatins</v>
      </c>
      <c r="B190" s="240" t="str">
        <f ca="1">IFERROR(__xludf.DUMMYFUNCTION("""COMPUTED_VALUE"""),"Buriti do Tocantins")</f>
        <v>Buriti do Tocantins</v>
      </c>
      <c r="C190" s="240" t="str">
        <f ca="1">IFERROR(__xludf.DUMMYFUNCTION("""COMPUTED_VALUE"""),"A.A. ESC. ESTADUAL MINISTRO NEY BRAGA")</f>
        <v>A.A. ESC. ESTADUAL MINISTRO NEY BRAGA</v>
      </c>
      <c r="D190" s="241" t="str">
        <f ca="1">IFERROR(__xludf.DUMMYFUNCTION("""COMPUTED_VALUE"""),"01206220000139")</f>
        <v>01206220000139</v>
      </c>
      <c r="E190" s="241" t="str">
        <f ca="1">IFERROR(__xludf.DUMMYFUNCTION("""COMPUTED_VALUE"""),"001")</f>
        <v>001</v>
      </c>
      <c r="F190" s="241" t="str">
        <f ca="1">IFERROR(__xludf.DUMMYFUNCTION("""COMPUTED_VALUE"""),"1305")</f>
        <v>1305</v>
      </c>
      <c r="G190" s="240" t="str">
        <f ca="1">IFERROR(__xludf.DUMMYFUNCTION("""COMPUTED_VALUE"""),"10941X")</f>
        <v>10941X</v>
      </c>
      <c r="H190" s="240" t="str">
        <f ca="1">IFERROR(__xludf.DUMMYFUNCTION("""COMPUTED_VALUE"""),"E.F. PARCIAL")</f>
        <v>E.F. PARCIAL</v>
      </c>
      <c r="I190" s="242">
        <f ca="1">IFERROR(__xludf.DUMMYFUNCTION("""COMPUTED_VALUE"""),1155)</f>
        <v>1155</v>
      </c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</row>
    <row r="191" spans="1:26" ht="21" customHeight="1">
      <c r="A191" s="240" t="str">
        <f ca="1">IFERROR(__xludf.DUMMYFUNCTION("""COMPUTED_VALUE"""),"Araguatins")</f>
        <v>Araguatins</v>
      </c>
      <c r="B191" s="240" t="str">
        <f ca="1">IFERROR(__xludf.DUMMYFUNCTION("""COMPUTED_VALUE"""),"Buriti do Tocantins")</f>
        <v>Buriti do Tocantins</v>
      </c>
      <c r="C191" s="240" t="str">
        <f ca="1">IFERROR(__xludf.DUMMYFUNCTION("""COMPUTED_VALUE"""),"A.A. ESC. ESTADUAL MINISTRO NEY BRAGA")</f>
        <v>A.A. ESC. ESTADUAL MINISTRO NEY BRAGA</v>
      </c>
      <c r="D191" s="241" t="str">
        <f ca="1">IFERROR(__xludf.DUMMYFUNCTION("""COMPUTED_VALUE"""),"01206220000139")</f>
        <v>01206220000139</v>
      </c>
      <c r="E191" s="241" t="str">
        <f ca="1">IFERROR(__xludf.DUMMYFUNCTION("""COMPUTED_VALUE"""),"001")</f>
        <v>001</v>
      </c>
      <c r="F191" s="241" t="str">
        <f ca="1">IFERROR(__xludf.DUMMYFUNCTION("""COMPUTED_VALUE"""),"1305")</f>
        <v>1305</v>
      </c>
      <c r="G191" s="240" t="str">
        <f ca="1">IFERROR(__xludf.DUMMYFUNCTION("""COMPUTED_VALUE"""),"10941X")</f>
        <v>10941X</v>
      </c>
      <c r="H191" s="240" t="str">
        <f ca="1">IFERROR(__xludf.DUMMYFUNCTION("""COMPUTED_VALUE"""),"AEE")</f>
        <v>AEE</v>
      </c>
      <c r="I191" s="242">
        <f ca="1">IFERROR(__xludf.DUMMYFUNCTION("""COMPUTED_VALUE"""),210)</f>
        <v>210</v>
      </c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</row>
    <row r="192" spans="1:26" ht="21" customHeight="1">
      <c r="A192" s="240" t="str">
        <f ca="1">IFERROR(__xludf.DUMMYFUNCTION("""COMPUTED_VALUE"""),"Araguatins")</f>
        <v>Araguatins</v>
      </c>
      <c r="B192" s="240" t="str">
        <f ca="1">IFERROR(__xludf.DUMMYFUNCTION("""COMPUTED_VALUE"""),"Buriti do Tocantins")</f>
        <v>Buriti do Tocantins</v>
      </c>
      <c r="C192" s="240" t="str">
        <f ca="1">IFERROR(__xludf.DUMMYFUNCTION("""COMPUTED_VALUE"""),"A.A. ESC. ESTADUAL MINISTRO NEY BRAGA")</f>
        <v>A.A. ESC. ESTADUAL MINISTRO NEY BRAGA</v>
      </c>
      <c r="D192" s="241" t="str">
        <f ca="1">IFERROR(__xludf.DUMMYFUNCTION("""COMPUTED_VALUE"""),"01206220000139")</f>
        <v>01206220000139</v>
      </c>
      <c r="E192" s="241" t="str">
        <f ca="1">IFERROR(__xludf.DUMMYFUNCTION("""COMPUTED_VALUE"""),"001")</f>
        <v>001</v>
      </c>
      <c r="F192" s="241" t="str">
        <f ca="1">IFERROR(__xludf.DUMMYFUNCTION("""COMPUTED_VALUE"""),"1305")</f>
        <v>1305</v>
      </c>
      <c r="G192" s="240" t="str">
        <f ca="1">IFERROR(__xludf.DUMMYFUNCTION("""COMPUTED_VALUE"""),"10941X")</f>
        <v>10941X</v>
      </c>
      <c r="H192" s="240" t="str">
        <f ca="1">IFERROR(__xludf.DUMMYFUNCTION("""COMPUTED_VALUE"""),"ENS MEDIO PARCIAL")</f>
        <v>ENS MEDIO PARCIAL</v>
      </c>
      <c r="I192" s="242">
        <f ca="1">IFERROR(__xludf.DUMMYFUNCTION("""COMPUTED_VALUE"""),1092)</f>
        <v>1092</v>
      </c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</row>
    <row r="193" spans="1:26" ht="21" customHeight="1">
      <c r="A193" s="240" t="str">
        <f ca="1">IFERROR(__xludf.DUMMYFUNCTION("""COMPUTED_VALUE"""),"Araguatins")</f>
        <v>Araguatins</v>
      </c>
      <c r="B193" s="240" t="str">
        <f ca="1">IFERROR(__xludf.DUMMYFUNCTION("""COMPUTED_VALUE"""),"Buriti do Tocantins")</f>
        <v>Buriti do Tocantins</v>
      </c>
      <c r="C193" s="240" t="str">
        <f ca="1">IFERROR(__xludf.DUMMYFUNCTION("""COMPUTED_VALUE"""),"A.A. ESC. ESTADUAL MINISTRO NEY BRAGA")</f>
        <v>A.A. ESC. ESTADUAL MINISTRO NEY BRAGA</v>
      </c>
      <c r="D193" s="241" t="str">
        <f ca="1">IFERROR(__xludf.DUMMYFUNCTION("""COMPUTED_VALUE"""),"01206220000139")</f>
        <v>01206220000139</v>
      </c>
      <c r="E193" s="241" t="str">
        <f ca="1">IFERROR(__xludf.DUMMYFUNCTION("""COMPUTED_VALUE"""),"001")</f>
        <v>001</v>
      </c>
      <c r="F193" s="241" t="str">
        <f ca="1">IFERROR(__xludf.DUMMYFUNCTION("""COMPUTED_VALUE"""),"1305")</f>
        <v>1305</v>
      </c>
      <c r="G193" s="240" t="str">
        <f ca="1">IFERROR(__xludf.DUMMYFUNCTION("""COMPUTED_VALUE"""),"10941X")</f>
        <v>10941X</v>
      </c>
      <c r="H193" s="240" t="str">
        <f ca="1">IFERROR(__xludf.DUMMYFUNCTION("""COMPUTED_VALUE"""),"EJA")</f>
        <v>EJA</v>
      </c>
      <c r="I193" s="242">
        <f ca="1">IFERROR(__xludf.DUMMYFUNCTION("""COMPUTED_VALUE"""),273)</f>
        <v>273</v>
      </c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</row>
    <row r="194" spans="1:26" ht="21" customHeight="1">
      <c r="A194" s="240" t="str">
        <f ca="1">IFERROR(__xludf.DUMMYFUNCTION("""COMPUTED_VALUE"""),"Araguatins")</f>
        <v>Araguatins</v>
      </c>
      <c r="B194" s="240" t="str">
        <f ca="1">IFERROR(__xludf.DUMMYFUNCTION("""COMPUTED_VALUE"""),"Buriti do Tocantins")</f>
        <v>Buriti do Tocantins</v>
      </c>
      <c r="C194" s="240" t="str">
        <f ca="1">IFERROR(__xludf.DUMMYFUNCTION("""COMPUTED_VALUE"""),"A.A. ESC. EST. VICENTE CARLOS DE SOUSA")</f>
        <v>A.A. ESC. EST. VICENTE CARLOS DE SOUSA</v>
      </c>
      <c r="D194" s="241" t="str">
        <f ca="1">IFERROR(__xludf.DUMMYFUNCTION("""COMPUTED_VALUE"""),"01206288000118")</f>
        <v>01206288000118</v>
      </c>
      <c r="E194" s="241" t="str">
        <f ca="1">IFERROR(__xludf.DUMMYFUNCTION("""COMPUTED_VALUE"""),"001")</f>
        <v>001</v>
      </c>
      <c r="F194" s="241" t="str">
        <f ca="1">IFERROR(__xludf.DUMMYFUNCTION("""COMPUTED_VALUE"""),"1305")</f>
        <v>1305</v>
      </c>
      <c r="G194" s="240" t="str">
        <f ca="1">IFERROR(__xludf.DUMMYFUNCTION("""COMPUTED_VALUE"""),"0109614")</f>
        <v>0109614</v>
      </c>
      <c r="H194" s="240" t="str">
        <f ca="1">IFERROR(__xludf.DUMMYFUNCTION("""COMPUTED_VALUE"""),"E.F. PARCIAL")</f>
        <v>E.F. PARCIAL</v>
      </c>
      <c r="I194" s="242">
        <f ca="1">IFERROR(__xludf.DUMMYFUNCTION("""COMPUTED_VALUE"""),8295)</f>
        <v>8295</v>
      </c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</row>
    <row r="195" spans="1:26" ht="21" customHeight="1">
      <c r="A195" s="240" t="str">
        <f ca="1">IFERROR(__xludf.DUMMYFUNCTION("""COMPUTED_VALUE"""),"Araguatins")</f>
        <v>Araguatins</v>
      </c>
      <c r="B195" s="240" t="str">
        <f ca="1">IFERROR(__xludf.DUMMYFUNCTION("""COMPUTED_VALUE"""),"Buriti do Tocantins")</f>
        <v>Buriti do Tocantins</v>
      </c>
      <c r="C195" s="240" t="str">
        <f ca="1">IFERROR(__xludf.DUMMYFUNCTION("""COMPUTED_VALUE"""),"A.A. ESC. EST. VICENTE CARLOS DE SOUSA")</f>
        <v>A.A. ESC. EST. VICENTE CARLOS DE SOUSA</v>
      </c>
      <c r="D195" s="241" t="str">
        <f ca="1">IFERROR(__xludf.DUMMYFUNCTION("""COMPUTED_VALUE"""),"01206288000118")</f>
        <v>01206288000118</v>
      </c>
      <c r="E195" s="241" t="str">
        <f ca="1">IFERROR(__xludf.DUMMYFUNCTION("""COMPUTED_VALUE"""),"001")</f>
        <v>001</v>
      </c>
      <c r="F195" s="241" t="str">
        <f ca="1">IFERROR(__xludf.DUMMYFUNCTION("""COMPUTED_VALUE"""),"1305")</f>
        <v>1305</v>
      </c>
      <c r="G195" s="240" t="str">
        <f ca="1">IFERROR(__xludf.DUMMYFUNCTION("""COMPUTED_VALUE"""),"0109614")</f>
        <v>0109614</v>
      </c>
      <c r="H195" s="240" t="str">
        <f ca="1">IFERROR(__xludf.DUMMYFUNCTION("""COMPUTED_VALUE"""),"AEE")</f>
        <v>AEE</v>
      </c>
      <c r="I195" s="242">
        <f ca="1">IFERROR(__xludf.DUMMYFUNCTION("""COMPUTED_VALUE"""),231)</f>
        <v>231</v>
      </c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</row>
    <row r="196" spans="1:26" ht="21" customHeight="1">
      <c r="A196" s="240" t="str">
        <f ca="1">IFERROR(__xludf.DUMMYFUNCTION("""COMPUTED_VALUE"""),"Araguatins")</f>
        <v>Araguatins</v>
      </c>
      <c r="B196" s="240" t="str">
        <f ca="1">IFERROR(__xludf.DUMMYFUNCTION("""COMPUTED_VALUE"""),"Buriti do Tocantins")</f>
        <v>Buriti do Tocantins</v>
      </c>
      <c r="C196" s="240" t="str">
        <f ca="1">IFERROR(__xludf.DUMMYFUNCTION("""COMPUTED_VALUE"""),"A.A. ESC. EST. VICENTE CARLOS DE SOUSA")</f>
        <v>A.A. ESC. EST. VICENTE CARLOS DE SOUSA</v>
      </c>
      <c r="D196" s="241" t="str">
        <f ca="1">IFERROR(__xludf.DUMMYFUNCTION("""COMPUTED_VALUE"""),"01206288000118")</f>
        <v>01206288000118</v>
      </c>
      <c r="E196" s="241" t="str">
        <f ca="1">IFERROR(__xludf.DUMMYFUNCTION("""COMPUTED_VALUE"""),"001")</f>
        <v>001</v>
      </c>
      <c r="F196" s="241" t="str">
        <f ca="1">IFERROR(__xludf.DUMMYFUNCTION("""COMPUTED_VALUE"""),"1305")</f>
        <v>1305</v>
      </c>
      <c r="G196" s="240" t="str">
        <f ca="1">IFERROR(__xludf.DUMMYFUNCTION("""COMPUTED_VALUE"""),"0109614")</f>
        <v>0109614</v>
      </c>
      <c r="H196" s="240" t="str">
        <f ca="1">IFERROR(__xludf.DUMMYFUNCTION("""COMPUTED_VALUE"""),"ENS MEDIO PARCIAL")</f>
        <v>ENS MEDIO PARCIAL</v>
      </c>
      <c r="I196" s="242">
        <f ca="1">IFERROR(__xludf.DUMMYFUNCTION("""COMPUTED_VALUE"""),2520)</f>
        <v>2520</v>
      </c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</row>
    <row r="197" spans="1:26" ht="21" customHeight="1">
      <c r="A197" s="240" t="str">
        <f ca="1">IFERROR(__xludf.DUMMYFUNCTION("""COMPUTED_VALUE"""),"Araguatins")</f>
        <v>Araguatins</v>
      </c>
      <c r="B197" s="240" t="str">
        <f ca="1">IFERROR(__xludf.DUMMYFUNCTION("""COMPUTED_VALUE"""),"Carrasco Bonito")</f>
        <v>Carrasco Bonito</v>
      </c>
      <c r="C197" s="240" t="str">
        <f ca="1">IFERROR(__xludf.DUMMYFUNCTION("""COMPUTED_VALUE"""),"A.A. DA ESC. EST. CICERO GOMES")</f>
        <v>A.A. DA ESC. EST. CICERO GOMES</v>
      </c>
      <c r="D197" s="241" t="str">
        <f ca="1">IFERROR(__xludf.DUMMYFUNCTION("""COMPUTED_VALUE"""),"01068377000145")</f>
        <v>01068377000145</v>
      </c>
      <c r="E197" s="241" t="str">
        <f ca="1">IFERROR(__xludf.DUMMYFUNCTION("""COMPUTED_VALUE"""),"001")</f>
        <v>001</v>
      </c>
      <c r="F197" s="241" t="str">
        <f ca="1">IFERROR(__xludf.DUMMYFUNCTION("""COMPUTED_VALUE"""),"3975")</f>
        <v>3975</v>
      </c>
      <c r="G197" s="240" t="str">
        <f ca="1">IFERROR(__xludf.DUMMYFUNCTION("""COMPUTED_VALUE"""),"19291")</f>
        <v>19291</v>
      </c>
      <c r="H197" s="240" t="str">
        <f ca="1">IFERROR(__xludf.DUMMYFUNCTION("""COMPUTED_VALUE"""),"E.F. PARCIAL")</f>
        <v>E.F. PARCIAL</v>
      </c>
      <c r="I197" s="242">
        <f ca="1">IFERROR(__xludf.DUMMYFUNCTION("""COMPUTED_VALUE"""),1533)</f>
        <v>1533</v>
      </c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</row>
    <row r="198" spans="1:26" ht="21" customHeight="1">
      <c r="A198" s="240" t="str">
        <f ca="1">IFERROR(__xludf.DUMMYFUNCTION("""COMPUTED_VALUE"""),"Araguatins")</f>
        <v>Araguatins</v>
      </c>
      <c r="B198" s="240" t="str">
        <f ca="1">IFERROR(__xludf.DUMMYFUNCTION("""COMPUTED_VALUE"""),"Carrasco Bonito")</f>
        <v>Carrasco Bonito</v>
      </c>
      <c r="C198" s="240" t="str">
        <f ca="1">IFERROR(__xludf.DUMMYFUNCTION("""COMPUTED_VALUE"""),"A.A. DA ESC. EST. CICERO GOMES")</f>
        <v>A.A. DA ESC. EST. CICERO GOMES</v>
      </c>
      <c r="D198" s="241" t="str">
        <f ca="1">IFERROR(__xludf.DUMMYFUNCTION("""COMPUTED_VALUE"""),"01068377000145")</f>
        <v>01068377000145</v>
      </c>
      <c r="E198" s="241" t="str">
        <f ca="1">IFERROR(__xludf.DUMMYFUNCTION("""COMPUTED_VALUE"""),"001")</f>
        <v>001</v>
      </c>
      <c r="F198" s="241" t="str">
        <f ca="1">IFERROR(__xludf.DUMMYFUNCTION("""COMPUTED_VALUE"""),"3975")</f>
        <v>3975</v>
      </c>
      <c r="G198" s="240" t="str">
        <f ca="1">IFERROR(__xludf.DUMMYFUNCTION("""COMPUTED_VALUE"""),"19291")</f>
        <v>19291</v>
      </c>
      <c r="H198" s="240" t="str">
        <f ca="1">IFERROR(__xludf.DUMMYFUNCTION("""COMPUTED_VALUE"""),"AEE")</f>
        <v>AEE</v>
      </c>
      <c r="I198" s="242">
        <f ca="1">IFERROR(__xludf.DUMMYFUNCTION("""COMPUTED_VALUE"""),231)</f>
        <v>231</v>
      </c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</row>
    <row r="199" spans="1:26" ht="21" customHeight="1">
      <c r="A199" s="240" t="str">
        <f ca="1">IFERROR(__xludf.DUMMYFUNCTION("""COMPUTED_VALUE"""),"Araguatins")</f>
        <v>Araguatins</v>
      </c>
      <c r="B199" s="240" t="str">
        <f ca="1">IFERROR(__xludf.DUMMYFUNCTION("""COMPUTED_VALUE"""),"Carrasco Bonito")</f>
        <v>Carrasco Bonito</v>
      </c>
      <c r="C199" s="240" t="str">
        <f ca="1">IFERROR(__xludf.DUMMYFUNCTION("""COMPUTED_VALUE"""),"A.A. DA ESC. EST. CICERO GOMES")</f>
        <v>A.A. DA ESC. EST. CICERO GOMES</v>
      </c>
      <c r="D199" s="241" t="str">
        <f ca="1">IFERROR(__xludf.DUMMYFUNCTION("""COMPUTED_VALUE"""),"01068377000145")</f>
        <v>01068377000145</v>
      </c>
      <c r="E199" s="241" t="str">
        <f ca="1">IFERROR(__xludf.DUMMYFUNCTION("""COMPUTED_VALUE"""),"001")</f>
        <v>001</v>
      </c>
      <c r="F199" s="241" t="str">
        <f ca="1">IFERROR(__xludf.DUMMYFUNCTION("""COMPUTED_VALUE"""),"3975")</f>
        <v>3975</v>
      </c>
      <c r="G199" s="240" t="str">
        <f ca="1">IFERROR(__xludf.DUMMYFUNCTION("""COMPUTED_VALUE"""),"19291")</f>
        <v>19291</v>
      </c>
      <c r="H199" s="240" t="str">
        <f ca="1">IFERROR(__xludf.DUMMYFUNCTION("""COMPUTED_VALUE"""),"ENS MEDIO PARCIAL")</f>
        <v>ENS MEDIO PARCIAL</v>
      </c>
      <c r="I199" s="242">
        <f ca="1">IFERROR(__xludf.DUMMYFUNCTION("""COMPUTED_VALUE"""),2520)</f>
        <v>2520</v>
      </c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</row>
    <row r="200" spans="1:26" ht="21" customHeight="1">
      <c r="A200" s="240" t="str">
        <f ca="1">IFERROR(__xludf.DUMMYFUNCTION("""COMPUTED_VALUE"""),"Araguatins")</f>
        <v>Araguatins</v>
      </c>
      <c r="B200" s="240" t="str">
        <f ca="1">IFERROR(__xludf.DUMMYFUNCTION("""COMPUTED_VALUE"""),"Carrasco Bonito")</f>
        <v>Carrasco Bonito</v>
      </c>
      <c r="C200" s="240" t="str">
        <f ca="1">IFERROR(__xludf.DUMMYFUNCTION("""COMPUTED_VALUE"""),"A.A.  DA ESCOLA ESTADUAL INES VIANA")</f>
        <v>A.A.  DA ESCOLA ESTADUAL INES VIANA</v>
      </c>
      <c r="D200" s="241" t="str">
        <f ca="1">IFERROR(__xludf.DUMMYFUNCTION("""COMPUTED_VALUE"""),"02508340000153")</f>
        <v>02508340000153</v>
      </c>
      <c r="E200" s="241" t="str">
        <f ca="1">IFERROR(__xludf.DUMMYFUNCTION("""COMPUTED_VALUE"""),"001")</f>
        <v>001</v>
      </c>
      <c r="F200" s="241" t="str">
        <f ca="1">IFERROR(__xludf.DUMMYFUNCTION("""COMPUTED_VALUE"""),"3975")</f>
        <v>3975</v>
      </c>
      <c r="G200" s="240" t="str">
        <f ca="1">IFERROR(__xludf.DUMMYFUNCTION("""COMPUTED_VALUE"""),"51713")</f>
        <v>51713</v>
      </c>
      <c r="H200" s="240" t="str">
        <f ca="1">IFERROR(__xludf.DUMMYFUNCTION("""COMPUTED_VALUE"""),"E.F. PARCIAL")</f>
        <v>E.F. PARCIAL</v>
      </c>
      <c r="I200" s="242">
        <f ca="1">IFERROR(__xludf.DUMMYFUNCTION("""COMPUTED_VALUE"""),1722)</f>
        <v>1722</v>
      </c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</row>
    <row r="201" spans="1:26" ht="21" customHeight="1">
      <c r="A201" s="240" t="str">
        <f ca="1">IFERROR(__xludf.DUMMYFUNCTION("""COMPUTED_VALUE"""),"Araguatins")</f>
        <v>Araguatins</v>
      </c>
      <c r="B201" s="240" t="str">
        <f ca="1">IFERROR(__xludf.DUMMYFUNCTION("""COMPUTED_VALUE"""),"Carrasco Bonito")</f>
        <v>Carrasco Bonito</v>
      </c>
      <c r="C201" s="240" t="str">
        <f ca="1">IFERROR(__xludf.DUMMYFUNCTION("""COMPUTED_VALUE"""),"A.A.  DA ESCOLA ESTADUAL INES VIANA")</f>
        <v>A.A.  DA ESCOLA ESTADUAL INES VIANA</v>
      </c>
      <c r="D201" s="241" t="str">
        <f ca="1">IFERROR(__xludf.DUMMYFUNCTION("""COMPUTED_VALUE"""),"02508340000153")</f>
        <v>02508340000153</v>
      </c>
      <c r="E201" s="241" t="str">
        <f ca="1">IFERROR(__xludf.DUMMYFUNCTION("""COMPUTED_VALUE"""),"001")</f>
        <v>001</v>
      </c>
      <c r="F201" s="241" t="str">
        <f ca="1">IFERROR(__xludf.DUMMYFUNCTION("""COMPUTED_VALUE"""),"3975")</f>
        <v>3975</v>
      </c>
      <c r="G201" s="240" t="str">
        <f ca="1">IFERROR(__xludf.DUMMYFUNCTION("""COMPUTED_VALUE"""),"51713")</f>
        <v>51713</v>
      </c>
      <c r="H201" s="240" t="str">
        <f ca="1">IFERROR(__xludf.DUMMYFUNCTION("""COMPUTED_VALUE"""),"ENS MEDIO PARCIAL")</f>
        <v>ENS MEDIO PARCIAL</v>
      </c>
      <c r="I201" s="242">
        <f ca="1">IFERROR(__xludf.DUMMYFUNCTION("""COMPUTED_VALUE"""),819)</f>
        <v>819</v>
      </c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</row>
    <row r="202" spans="1:26" ht="21" customHeight="1">
      <c r="A202" s="240" t="str">
        <f ca="1">IFERROR(__xludf.DUMMYFUNCTION("""COMPUTED_VALUE"""),"Araguatins")</f>
        <v>Araguatins</v>
      </c>
      <c r="B202" s="240" t="str">
        <f ca="1">IFERROR(__xludf.DUMMYFUNCTION("""COMPUTED_VALUE"""),"Esperantina")</f>
        <v>Esperantina</v>
      </c>
      <c r="C202" s="240" t="str">
        <f ca="1">IFERROR(__xludf.DUMMYFUNCTION("""COMPUTED_VALUE"""),"A.A. ESC. EST. JOAQUINA MARIA DA SILVA")</f>
        <v>A.A. ESC. EST. JOAQUINA MARIA DA SILVA</v>
      </c>
      <c r="D202" s="241" t="str">
        <f ca="1">IFERROR(__xludf.DUMMYFUNCTION("""COMPUTED_VALUE"""),"01113183000114")</f>
        <v>01113183000114</v>
      </c>
      <c r="E202" s="241" t="str">
        <f ca="1">IFERROR(__xludf.DUMMYFUNCTION("""COMPUTED_VALUE"""),"001")</f>
        <v>001</v>
      </c>
      <c r="F202" s="241" t="str">
        <f ca="1">IFERROR(__xludf.DUMMYFUNCTION("""COMPUTED_VALUE"""),"1305")</f>
        <v>1305</v>
      </c>
      <c r="G202" s="240" t="str">
        <f ca="1">IFERROR(__xludf.DUMMYFUNCTION("""COMPUTED_VALUE"""),"109665")</f>
        <v>109665</v>
      </c>
      <c r="H202" s="240" t="str">
        <f ca="1">IFERROR(__xludf.DUMMYFUNCTION("""COMPUTED_VALUE"""),"E.F. PARCIAL")</f>
        <v>E.F. PARCIAL</v>
      </c>
      <c r="I202" s="242">
        <f ca="1">IFERROR(__xludf.DUMMYFUNCTION("""COMPUTED_VALUE"""),3255)</f>
        <v>3255</v>
      </c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</row>
    <row r="203" spans="1:26" ht="21" customHeight="1">
      <c r="A203" s="240" t="str">
        <f ca="1">IFERROR(__xludf.DUMMYFUNCTION("""COMPUTED_VALUE"""),"Araguatins")</f>
        <v>Araguatins</v>
      </c>
      <c r="B203" s="240" t="str">
        <f ca="1">IFERROR(__xludf.DUMMYFUNCTION("""COMPUTED_VALUE"""),"Esperantina")</f>
        <v>Esperantina</v>
      </c>
      <c r="C203" s="240" t="str">
        <f ca="1">IFERROR(__xludf.DUMMYFUNCTION("""COMPUTED_VALUE"""),"A.A. ESC. EST. JOAQUINA MARIA DA SILVA")</f>
        <v>A.A. ESC. EST. JOAQUINA MARIA DA SILVA</v>
      </c>
      <c r="D203" s="241" t="str">
        <f ca="1">IFERROR(__xludf.DUMMYFUNCTION("""COMPUTED_VALUE"""),"01113183000114")</f>
        <v>01113183000114</v>
      </c>
      <c r="E203" s="241" t="str">
        <f ca="1">IFERROR(__xludf.DUMMYFUNCTION("""COMPUTED_VALUE"""),"001")</f>
        <v>001</v>
      </c>
      <c r="F203" s="241" t="str">
        <f ca="1">IFERROR(__xludf.DUMMYFUNCTION("""COMPUTED_VALUE"""),"1305")</f>
        <v>1305</v>
      </c>
      <c r="G203" s="240" t="str">
        <f ca="1">IFERROR(__xludf.DUMMYFUNCTION("""COMPUTED_VALUE"""),"109665")</f>
        <v>109665</v>
      </c>
      <c r="H203" s="240" t="str">
        <f ca="1">IFERROR(__xludf.DUMMYFUNCTION("""COMPUTED_VALUE"""),"ENS MEDIO PARCIAL")</f>
        <v>ENS MEDIO PARCIAL</v>
      </c>
      <c r="I203" s="242">
        <f ca="1">IFERROR(__xludf.DUMMYFUNCTION("""COMPUTED_VALUE"""),5271)</f>
        <v>5271</v>
      </c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</row>
    <row r="204" spans="1:26" ht="21" customHeight="1">
      <c r="A204" s="240" t="str">
        <f ca="1">IFERROR(__xludf.DUMMYFUNCTION("""COMPUTED_VALUE"""),"Araguatins")</f>
        <v>Araguatins</v>
      </c>
      <c r="B204" s="240" t="str">
        <f ca="1">IFERROR(__xludf.DUMMYFUNCTION("""COMPUTED_VALUE"""),"Esperantina")</f>
        <v>Esperantina</v>
      </c>
      <c r="C204" s="240" t="str">
        <f ca="1">IFERROR(__xludf.DUMMYFUNCTION("""COMPUTED_VALUE"""),"A.A. ESC. ESTADUAL ULISSES GUIMARAES")</f>
        <v>A.A. ESC. ESTADUAL ULISSES GUIMARAES</v>
      </c>
      <c r="D204" s="241" t="str">
        <f ca="1">IFERROR(__xludf.DUMMYFUNCTION("""COMPUTED_VALUE"""),"01190183000118")</f>
        <v>01190183000118</v>
      </c>
      <c r="E204" s="241" t="str">
        <f ca="1">IFERROR(__xludf.DUMMYFUNCTION("""COMPUTED_VALUE"""),"001")</f>
        <v>001</v>
      </c>
      <c r="F204" s="241" t="str">
        <f ca="1">IFERROR(__xludf.DUMMYFUNCTION("""COMPUTED_VALUE"""),"1305")</f>
        <v>1305</v>
      </c>
      <c r="G204" s="240" t="str">
        <f ca="1">IFERROR(__xludf.DUMMYFUNCTION("""COMPUTED_VALUE"""),"109363")</f>
        <v>109363</v>
      </c>
      <c r="H204" s="240" t="str">
        <f ca="1">IFERROR(__xludf.DUMMYFUNCTION("""COMPUTED_VALUE"""),"E.F. PARCIAL")</f>
        <v>E.F. PARCIAL</v>
      </c>
      <c r="I204" s="242">
        <f ca="1">IFERROR(__xludf.DUMMYFUNCTION("""COMPUTED_VALUE"""),2331)</f>
        <v>2331</v>
      </c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</row>
    <row r="205" spans="1:26" ht="21" customHeight="1">
      <c r="A205" s="240" t="str">
        <f ca="1">IFERROR(__xludf.DUMMYFUNCTION("""COMPUTED_VALUE"""),"Araguatins")</f>
        <v>Araguatins</v>
      </c>
      <c r="B205" s="240" t="str">
        <f ca="1">IFERROR(__xludf.DUMMYFUNCTION("""COMPUTED_VALUE"""),"Esperantina")</f>
        <v>Esperantina</v>
      </c>
      <c r="C205" s="240" t="str">
        <f ca="1">IFERROR(__xludf.DUMMYFUNCTION("""COMPUTED_VALUE"""),"A.A. ESC. ESTADUAL ULISSES GUIMARAES")</f>
        <v>A.A. ESC. ESTADUAL ULISSES GUIMARAES</v>
      </c>
      <c r="D205" s="241" t="str">
        <f ca="1">IFERROR(__xludf.DUMMYFUNCTION("""COMPUTED_VALUE"""),"01190183000118")</f>
        <v>01190183000118</v>
      </c>
      <c r="E205" s="241" t="str">
        <f ca="1">IFERROR(__xludf.DUMMYFUNCTION("""COMPUTED_VALUE"""),"001")</f>
        <v>001</v>
      </c>
      <c r="F205" s="241" t="str">
        <f ca="1">IFERROR(__xludf.DUMMYFUNCTION("""COMPUTED_VALUE"""),"1305")</f>
        <v>1305</v>
      </c>
      <c r="G205" s="240" t="str">
        <f ca="1">IFERROR(__xludf.DUMMYFUNCTION("""COMPUTED_VALUE"""),"109363")</f>
        <v>109363</v>
      </c>
      <c r="H205" s="240" t="str">
        <f ca="1">IFERROR(__xludf.DUMMYFUNCTION("""COMPUTED_VALUE"""),"AEE")</f>
        <v>AEE</v>
      </c>
      <c r="I205" s="242">
        <f ca="1">IFERROR(__xludf.DUMMYFUNCTION("""COMPUTED_VALUE"""),168)</f>
        <v>168</v>
      </c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</row>
    <row r="206" spans="1:26" ht="21" customHeight="1">
      <c r="A206" s="240" t="str">
        <f ca="1">IFERROR(__xludf.DUMMYFUNCTION("""COMPUTED_VALUE"""),"Araguatins")</f>
        <v>Araguatins</v>
      </c>
      <c r="B206" s="240" t="str">
        <f ca="1">IFERROR(__xludf.DUMMYFUNCTION("""COMPUTED_VALUE"""),"Esperantina")</f>
        <v>Esperantina</v>
      </c>
      <c r="C206" s="240" t="str">
        <f ca="1">IFERROR(__xludf.DUMMYFUNCTION("""COMPUTED_VALUE"""),"A.A. ESC. ESTADUAL ULISSES GUIMARAES")</f>
        <v>A.A. ESC. ESTADUAL ULISSES GUIMARAES</v>
      </c>
      <c r="D206" s="241" t="str">
        <f ca="1">IFERROR(__xludf.DUMMYFUNCTION("""COMPUTED_VALUE"""),"01190183000118")</f>
        <v>01190183000118</v>
      </c>
      <c r="E206" s="241" t="str">
        <f ca="1">IFERROR(__xludf.DUMMYFUNCTION("""COMPUTED_VALUE"""),"001")</f>
        <v>001</v>
      </c>
      <c r="F206" s="241" t="str">
        <f ca="1">IFERROR(__xludf.DUMMYFUNCTION("""COMPUTED_VALUE"""),"1305")</f>
        <v>1305</v>
      </c>
      <c r="G206" s="240" t="str">
        <f ca="1">IFERROR(__xludf.DUMMYFUNCTION("""COMPUTED_VALUE"""),"109363")</f>
        <v>109363</v>
      </c>
      <c r="H206" s="240" t="str">
        <f ca="1">IFERROR(__xludf.DUMMYFUNCTION("""COMPUTED_VALUE"""),"ENS MEDIO PARCIAL")</f>
        <v>ENS MEDIO PARCIAL</v>
      </c>
      <c r="I206" s="242">
        <f ca="1">IFERROR(__xludf.DUMMYFUNCTION("""COMPUTED_VALUE"""),4242)</f>
        <v>4242</v>
      </c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</row>
    <row r="207" spans="1:26" ht="21" customHeight="1">
      <c r="A207" s="240" t="str">
        <f ca="1">IFERROR(__xludf.DUMMYFUNCTION("""COMPUTED_VALUE"""),"Araguatins")</f>
        <v>Araguatins</v>
      </c>
      <c r="B207" s="240" t="str">
        <f ca="1">IFERROR(__xludf.DUMMYFUNCTION("""COMPUTED_VALUE"""),"Praia Norte")</f>
        <v>Praia Norte</v>
      </c>
      <c r="C207" s="240" t="str">
        <f ca="1">IFERROR(__xludf.DUMMYFUNCTION("""COMPUTED_VALUE"""),"ASS. AP.ESC. ESTADUAL GENESIO GOMES")</f>
        <v>ASS. AP.ESC. ESTADUAL GENESIO GOMES</v>
      </c>
      <c r="D207" s="241" t="str">
        <f ca="1">IFERROR(__xludf.DUMMYFUNCTION("""COMPUTED_VALUE"""),"01192607000183")</f>
        <v>01192607000183</v>
      </c>
      <c r="E207" s="241" t="str">
        <f ca="1">IFERROR(__xludf.DUMMYFUNCTION("""COMPUTED_VALUE"""),"001")</f>
        <v>001</v>
      </c>
      <c r="F207" s="241" t="str">
        <f ca="1">IFERROR(__xludf.DUMMYFUNCTION("""COMPUTED_VALUE"""),"3975")</f>
        <v>3975</v>
      </c>
      <c r="G207" s="240" t="str">
        <f ca="1">IFERROR(__xludf.DUMMYFUNCTION("""COMPUTED_VALUE"""),"19690")</f>
        <v>19690</v>
      </c>
      <c r="H207" s="240" t="str">
        <f ca="1">IFERROR(__xludf.DUMMYFUNCTION("""COMPUTED_VALUE"""),"ENS MEDIO PARCIAL")</f>
        <v>ENS MEDIO PARCIAL</v>
      </c>
      <c r="I207" s="242">
        <f ca="1">IFERROR(__xludf.DUMMYFUNCTION("""COMPUTED_VALUE"""),6888)</f>
        <v>6888</v>
      </c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</row>
    <row r="208" spans="1:26" ht="21" customHeight="1">
      <c r="A208" s="240" t="str">
        <f ca="1">IFERROR(__xludf.DUMMYFUNCTION("""COMPUTED_VALUE"""),"Araguatins")</f>
        <v>Araguatins</v>
      </c>
      <c r="B208" s="240" t="str">
        <f ca="1">IFERROR(__xludf.DUMMYFUNCTION("""COMPUTED_VALUE"""),"Praia Norte")</f>
        <v>Praia Norte</v>
      </c>
      <c r="C208" s="240" t="str">
        <f ca="1">IFERROR(__xludf.DUMMYFUNCTION("""COMPUTED_VALUE"""),"ASS. AP.ESC. ESTADUAL GENESIO GOMES")</f>
        <v>ASS. AP.ESC. ESTADUAL GENESIO GOMES</v>
      </c>
      <c r="D208" s="241" t="str">
        <f ca="1">IFERROR(__xludf.DUMMYFUNCTION("""COMPUTED_VALUE"""),"01192607000183")</f>
        <v>01192607000183</v>
      </c>
      <c r="E208" s="241" t="str">
        <f ca="1">IFERROR(__xludf.DUMMYFUNCTION("""COMPUTED_VALUE"""),"001")</f>
        <v>001</v>
      </c>
      <c r="F208" s="241" t="str">
        <f ca="1">IFERROR(__xludf.DUMMYFUNCTION("""COMPUTED_VALUE"""),"3975")</f>
        <v>3975</v>
      </c>
      <c r="G208" s="240" t="str">
        <f ca="1">IFERROR(__xludf.DUMMYFUNCTION("""COMPUTED_VALUE"""),"19690")</f>
        <v>19690</v>
      </c>
      <c r="H208" s="240" t="str">
        <f ca="1">IFERROR(__xludf.DUMMYFUNCTION("""COMPUTED_VALUE"""),"EJA")</f>
        <v>EJA</v>
      </c>
      <c r="I208" s="242">
        <f ca="1">IFERROR(__xludf.DUMMYFUNCTION("""COMPUTED_VALUE"""),1029)</f>
        <v>1029</v>
      </c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</row>
    <row r="209" spans="1:26" ht="21" customHeight="1">
      <c r="A209" s="240" t="str">
        <f ca="1">IFERROR(__xludf.DUMMYFUNCTION("""COMPUTED_VALUE"""),"Araguatins")</f>
        <v>Araguatins</v>
      </c>
      <c r="B209" s="240" t="str">
        <f ca="1">IFERROR(__xludf.DUMMYFUNCTION("""COMPUTED_VALUE"""),"Sampaio")</f>
        <v>Sampaio</v>
      </c>
      <c r="C209" s="240" t="str">
        <f ca="1">IFERROR(__xludf.DUMMYFUNCTION("""COMPUTED_VALUE"""),"A. DE AP. DA ESCOLA ESTADUAL SAMPAIO")</f>
        <v>A. DE AP. DA ESCOLA ESTADUAL SAMPAIO</v>
      </c>
      <c r="D209" s="241" t="str">
        <f ca="1">IFERROR(__xludf.DUMMYFUNCTION("""COMPUTED_VALUE"""),"01190179000150")</f>
        <v>01190179000150</v>
      </c>
      <c r="E209" s="241" t="str">
        <f ca="1">IFERROR(__xludf.DUMMYFUNCTION("""COMPUTED_VALUE"""),"001")</f>
        <v>001</v>
      </c>
      <c r="F209" s="241" t="str">
        <f ca="1">IFERROR(__xludf.DUMMYFUNCTION("""COMPUTED_VALUE"""),"1305")</f>
        <v>1305</v>
      </c>
      <c r="G209" s="240" t="str">
        <f ca="1">IFERROR(__xludf.DUMMYFUNCTION("""COMPUTED_VALUE"""),"0019178")</f>
        <v>0019178</v>
      </c>
      <c r="H209" s="240" t="str">
        <f ca="1">IFERROR(__xludf.DUMMYFUNCTION("""COMPUTED_VALUE"""),"E.F. PARCIAL")</f>
        <v>E.F. PARCIAL</v>
      </c>
      <c r="I209" s="242">
        <f ca="1">IFERROR(__xludf.DUMMYFUNCTION("""COMPUTED_VALUE"""),8253)</f>
        <v>8253</v>
      </c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</row>
    <row r="210" spans="1:26" ht="21" customHeight="1">
      <c r="A210" s="240" t="str">
        <f ca="1">IFERROR(__xludf.DUMMYFUNCTION("""COMPUTED_VALUE"""),"Araguatins")</f>
        <v>Araguatins</v>
      </c>
      <c r="B210" s="240" t="str">
        <f ca="1">IFERROR(__xludf.DUMMYFUNCTION("""COMPUTED_VALUE"""),"Sampaio")</f>
        <v>Sampaio</v>
      </c>
      <c r="C210" s="240" t="str">
        <f ca="1">IFERROR(__xludf.DUMMYFUNCTION("""COMPUTED_VALUE"""),"A. DE AP. DA ESCOLA ESTADUAL SAMPAIO")</f>
        <v>A. DE AP. DA ESCOLA ESTADUAL SAMPAIO</v>
      </c>
      <c r="D210" s="241" t="str">
        <f ca="1">IFERROR(__xludf.DUMMYFUNCTION("""COMPUTED_VALUE"""),"01190179000150")</f>
        <v>01190179000150</v>
      </c>
      <c r="E210" s="241" t="str">
        <f ca="1">IFERROR(__xludf.DUMMYFUNCTION("""COMPUTED_VALUE"""),"001")</f>
        <v>001</v>
      </c>
      <c r="F210" s="241" t="str">
        <f ca="1">IFERROR(__xludf.DUMMYFUNCTION("""COMPUTED_VALUE"""),"1305")</f>
        <v>1305</v>
      </c>
      <c r="G210" s="240" t="str">
        <f ca="1">IFERROR(__xludf.DUMMYFUNCTION("""COMPUTED_VALUE"""),"0019178")</f>
        <v>0019178</v>
      </c>
      <c r="H210" s="240" t="str">
        <f ca="1">IFERROR(__xludf.DUMMYFUNCTION("""COMPUTED_VALUE"""),"AEE")</f>
        <v>AEE</v>
      </c>
      <c r="I210" s="242">
        <f ca="1">IFERROR(__xludf.DUMMYFUNCTION("""COMPUTED_VALUE"""),252)</f>
        <v>252</v>
      </c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</row>
    <row r="211" spans="1:26" ht="21" customHeight="1">
      <c r="A211" s="240" t="str">
        <f ca="1">IFERROR(__xludf.DUMMYFUNCTION("""COMPUTED_VALUE"""),"Araguatins")</f>
        <v>Araguatins</v>
      </c>
      <c r="B211" s="240" t="str">
        <f ca="1">IFERROR(__xludf.DUMMYFUNCTION("""COMPUTED_VALUE"""),"Sampaio")</f>
        <v>Sampaio</v>
      </c>
      <c r="C211" s="240" t="str">
        <f ca="1">IFERROR(__xludf.DUMMYFUNCTION("""COMPUTED_VALUE"""),"A. DE AP. DA ESCOLA ESTADUAL SAMPAIO")</f>
        <v>A. DE AP. DA ESCOLA ESTADUAL SAMPAIO</v>
      </c>
      <c r="D211" s="241" t="str">
        <f ca="1">IFERROR(__xludf.DUMMYFUNCTION("""COMPUTED_VALUE"""),"01190179000150")</f>
        <v>01190179000150</v>
      </c>
      <c r="E211" s="241" t="str">
        <f ca="1">IFERROR(__xludf.DUMMYFUNCTION("""COMPUTED_VALUE"""),"001")</f>
        <v>001</v>
      </c>
      <c r="F211" s="241" t="str">
        <f ca="1">IFERROR(__xludf.DUMMYFUNCTION("""COMPUTED_VALUE"""),"1305")</f>
        <v>1305</v>
      </c>
      <c r="G211" s="240" t="str">
        <f ca="1">IFERROR(__xludf.DUMMYFUNCTION("""COMPUTED_VALUE"""),"0019178")</f>
        <v>0019178</v>
      </c>
      <c r="H211" s="240" t="str">
        <f ca="1">IFERROR(__xludf.DUMMYFUNCTION("""COMPUTED_VALUE"""),"ENS MEDIO PARCIAL")</f>
        <v>ENS MEDIO PARCIAL</v>
      </c>
      <c r="I211" s="242">
        <f ca="1">IFERROR(__xludf.DUMMYFUNCTION("""COMPUTED_VALUE"""),4788)</f>
        <v>4788</v>
      </c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</row>
    <row r="212" spans="1:26" ht="21" customHeight="1">
      <c r="A212" s="240" t="str">
        <f ca="1">IFERROR(__xludf.DUMMYFUNCTION("""COMPUTED_VALUE"""),"Araguatins")</f>
        <v>Araguatins</v>
      </c>
      <c r="B212" s="240" t="str">
        <f ca="1">IFERROR(__xludf.DUMMYFUNCTION("""COMPUTED_VALUE"""),"Sao Bento do Tocantins")</f>
        <v>Sao Bento do Tocantins</v>
      </c>
      <c r="C212" s="240" t="str">
        <f ca="1">IFERROR(__xludf.DUMMYFUNCTION("""COMPUTED_VALUE"""),"A.A. COLEGIO EST. IRMAOS FILGUEIRAS")</f>
        <v>A.A. COLEGIO EST. IRMAOS FILGUEIRAS</v>
      </c>
      <c r="D212" s="241" t="str">
        <f ca="1">IFERROR(__xludf.DUMMYFUNCTION("""COMPUTED_VALUE"""),"01068348000183")</f>
        <v>01068348000183</v>
      </c>
      <c r="E212" s="241" t="str">
        <f ca="1">IFERROR(__xludf.DUMMYFUNCTION("""COMPUTED_VALUE"""),"001")</f>
        <v>001</v>
      </c>
      <c r="F212" s="241" t="str">
        <f ca="1">IFERROR(__xludf.DUMMYFUNCTION("""COMPUTED_VALUE"""),"1305")</f>
        <v>1305</v>
      </c>
      <c r="G212" s="240" t="str">
        <f ca="1">IFERROR(__xludf.DUMMYFUNCTION("""COMPUTED_VALUE"""),"109134")</f>
        <v>109134</v>
      </c>
      <c r="H212" s="240" t="str">
        <f ca="1">IFERROR(__xludf.DUMMYFUNCTION("""COMPUTED_VALUE"""),"E.F. PARCIAL")</f>
        <v>E.F. PARCIAL</v>
      </c>
      <c r="I212" s="242">
        <f ca="1">IFERROR(__xludf.DUMMYFUNCTION("""COMPUTED_VALUE"""),4032)</f>
        <v>4032</v>
      </c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</row>
    <row r="213" spans="1:26" ht="21" customHeight="1">
      <c r="A213" s="240" t="str">
        <f ca="1">IFERROR(__xludf.DUMMYFUNCTION("""COMPUTED_VALUE"""),"Araguatins")</f>
        <v>Araguatins</v>
      </c>
      <c r="B213" s="240" t="str">
        <f ca="1">IFERROR(__xludf.DUMMYFUNCTION("""COMPUTED_VALUE"""),"Sao Bento do Tocantins")</f>
        <v>Sao Bento do Tocantins</v>
      </c>
      <c r="C213" s="240" t="str">
        <f ca="1">IFERROR(__xludf.DUMMYFUNCTION("""COMPUTED_VALUE"""),"A.A. COLEGIO EST. IRMAOS FILGUEIRAS")</f>
        <v>A.A. COLEGIO EST. IRMAOS FILGUEIRAS</v>
      </c>
      <c r="D213" s="241" t="str">
        <f ca="1">IFERROR(__xludf.DUMMYFUNCTION("""COMPUTED_VALUE"""),"01068348000183")</f>
        <v>01068348000183</v>
      </c>
      <c r="E213" s="241" t="str">
        <f ca="1">IFERROR(__xludf.DUMMYFUNCTION("""COMPUTED_VALUE"""),"001")</f>
        <v>001</v>
      </c>
      <c r="F213" s="241" t="str">
        <f ca="1">IFERROR(__xludf.DUMMYFUNCTION("""COMPUTED_VALUE"""),"1305")</f>
        <v>1305</v>
      </c>
      <c r="G213" s="240" t="str">
        <f ca="1">IFERROR(__xludf.DUMMYFUNCTION("""COMPUTED_VALUE"""),"109134")</f>
        <v>109134</v>
      </c>
      <c r="H213" s="240" t="str">
        <f ca="1">IFERROR(__xludf.DUMMYFUNCTION("""COMPUTED_VALUE"""),"AEE")</f>
        <v>AEE</v>
      </c>
      <c r="I213" s="242">
        <f ca="1">IFERROR(__xludf.DUMMYFUNCTION("""COMPUTED_VALUE"""),378)</f>
        <v>378</v>
      </c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</row>
    <row r="214" spans="1:26" ht="21" customHeight="1">
      <c r="A214" s="240" t="str">
        <f ca="1">IFERROR(__xludf.DUMMYFUNCTION("""COMPUTED_VALUE"""),"Araguatins")</f>
        <v>Araguatins</v>
      </c>
      <c r="B214" s="240" t="str">
        <f ca="1">IFERROR(__xludf.DUMMYFUNCTION("""COMPUTED_VALUE"""),"Sao Bento do Tocantins")</f>
        <v>Sao Bento do Tocantins</v>
      </c>
      <c r="C214" s="240" t="str">
        <f ca="1">IFERROR(__xludf.DUMMYFUNCTION("""COMPUTED_VALUE"""),"A.A. COLEGIO EST. IRMAOS FILGUEIRAS")</f>
        <v>A.A. COLEGIO EST. IRMAOS FILGUEIRAS</v>
      </c>
      <c r="D214" s="241" t="str">
        <f ca="1">IFERROR(__xludf.DUMMYFUNCTION("""COMPUTED_VALUE"""),"01068348000183")</f>
        <v>01068348000183</v>
      </c>
      <c r="E214" s="241" t="str">
        <f ca="1">IFERROR(__xludf.DUMMYFUNCTION("""COMPUTED_VALUE"""),"001")</f>
        <v>001</v>
      </c>
      <c r="F214" s="241" t="str">
        <f ca="1">IFERROR(__xludf.DUMMYFUNCTION("""COMPUTED_VALUE"""),"1305")</f>
        <v>1305</v>
      </c>
      <c r="G214" s="240" t="str">
        <f ca="1">IFERROR(__xludf.DUMMYFUNCTION("""COMPUTED_VALUE"""),"109134")</f>
        <v>109134</v>
      </c>
      <c r="H214" s="240" t="str">
        <f ca="1">IFERROR(__xludf.DUMMYFUNCTION("""COMPUTED_VALUE"""),"ENS MEDIO PARCIAL")</f>
        <v>ENS MEDIO PARCIAL</v>
      </c>
      <c r="I214" s="242">
        <f ca="1">IFERROR(__xludf.DUMMYFUNCTION("""COMPUTED_VALUE"""),4788)</f>
        <v>4788</v>
      </c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</row>
    <row r="215" spans="1:26" ht="21" customHeight="1">
      <c r="A215" s="240" t="str">
        <f ca="1">IFERROR(__xludf.DUMMYFUNCTION("""COMPUTED_VALUE"""),"Araguatins")</f>
        <v>Araguatins</v>
      </c>
      <c r="B215" s="240" t="str">
        <f ca="1">IFERROR(__xludf.DUMMYFUNCTION("""COMPUTED_VALUE"""),"Sao Bento do Tocantins")</f>
        <v>Sao Bento do Tocantins</v>
      </c>
      <c r="C215" s="240" t="str">
        <f ca="1">IFERROR(__xludf.DUMMYFUNCTION("""COMPUTED_VALUE"""),"A.A. COLEGIO EST. IRMAOS FILGUEIRAS")</f>
        <v>A.A. COLEGIO EST. IRMAOS FILGUEIRAS</v>
      </c>
      <c r="D215" s="241" t="str">
        <f ca="1">IFERROR(__xludf.DUMMYFUNCTION("""COMPUTED_VALUE"""),"01068348000183")</f>
        <v>01068348000183</v>
      </c>
      <c r="E215" s="241" t="str">
        <f ca="1">IFERROR(__xludf.DUMMYFUNCTION("""COMPUTED_VALUE"""),"001")</f>
        <v>001</v>
      </c>
      <c r="F215" s="241" t="str">
        <f ca="1">IFERROR(__xludf.DUMMYFUNCTION("""COMPUTED_VALUE"""),"1305")</f>
        <v>1305</v>
      </c>
      <c r="G215" s="240" t="str">
        <f ca="1">IFERROR(__xludf.DUMMYFUNCTION("""COMPUTED_VALUE"""),"109134")</f>
        <v>109134</v>
      </c>
      <c r="H215" s="240" t="str">
        <f ca="1">IFERROR(__xludf.DUMMYFUNCTION("""COMPUTED_VALUE"""),"EJA")</f>
        <v>EJA</v>
      </c>
      <c r="I215" s="242">
        <f ca="1">IFERROR(__xludf.DUMMYFUNCTION("""COMPUTED_VALUE"""),1449)</f>
        <v>1449</v>
      </c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</row>
    <row r="216" spans="1:26" ht="21" customHeight="1">
      <c r="A216" s="240" t="str">
        <f ca="1">IFERROR(__xludf.DUMMYFUNCTION("""COMPUTED_VALUE"""),"Araguatins")</f>
        <v>Araguatins</v>
      </c>
      <c r="B216" s="240" t="str">
        <f ca="1">IFERROR(__xludf.DUMMYFUNCTION("""COMPUTED_VALUE"""),"Sao Bento do Tocantins")</f>
        <v>Sao Bento do Tocantins</v>
      </c>
      <c r="C216" s="240" t="str">
        <f ca="1">IFERROR(__xludf.DUMMYFUNCTION("""COMPUTED_VALUE"""),"A.A. ESC. EST. ANAIDES BRITO MIRANDA")</f>
        <v>A.A. ESC. EST. ANAIDES BRITO MIRANDA</v>
      </c>
      <c r="D216" s="241" t="str">
        <f ca="1">IFERROR(__xludf.DUMMYFUNCTION("""COMPUTED_VALUE"""),"01181993000108")</f>
        <v>01181993000108</v>
      </c>
      <c r="E216" s="241" t="str">
        <f ca="1">IFERROR(__xludf.DUMMYFUNCTION("""COMPUTED_VALUE"""),"001")</f>
        <v>001</v>
      </c>
      <c r="F216" s="241" t="str">
        <f ca="1">IFERROR(__xludf.DUMMYFUNCTION("""COMPUTED_VALUE"""),"1305")</f>
        <v>1305</v>
      </c>
      <c r="G216" s="240" t="str">
        <f ca="1">IFERROR(__xludf.DUMMYFUNCTION("""COMPUTED_VALUE"""),"10938x")</f>
        <v>10938x</v>
      </c>
      <c r="H216" s="240" t="str">
        <f ca="1">IFERROR(__xludf.DUMMYFUNCTION("""COMPUTED_VALUE"""),"E.F. PARCIAL")</f>
        <v>E.F. PARCIAL</v>
      </c>
      <c r="I216" s="242">
        <f ca="1">IFERROR(__xludf.DUMMYFUNCTION("""COMPUTED_VALUE"""),1617)</f>
        <v>1617</v>
      </c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</row>
    <row r="217" spans="1:26" ht="21" customHeight="1">
      <c r="A217" s="240" t="str">
        <f ca="1">IFERROR(__xludf.DUMMYFUNCTION("""COMPUTED_VALUE"""),"Araguatins")</f>
        <v>Araguatins</v>
      </c>
      <c r="B217" s="240" t="str">
        <f ca="1">IFERROR(__xludf.DUMMYFUNCTION("""COMPUTED_VALUE"""),"Sao Bento do Tocantins")</f>
        <v>Sao Bento do Tocantins</v>
      </c>
      <c r="C217" s="240" t="str">
        <f ca="1">IFERROR(__xludf.DUMMYFUNCTION("""COMPUTED_VALUE"""),"A.A. ESC. EST. ANAIDES BRITO MIRANDA")</f>
        <v>A.A. ESC. EST. ANAIDES BRITO MIRANDA</v>
      </c>
      <c r="D217" s="241" t="str">
        <f ca="1">IFERROR(__xludf.DUMMYFUNCTION("""COMPUTED_VALUE"""),"01181993000108")</f>
        <v>01181993000108</v>
      </c>
      <c r="E217" s="241" t="str">
        <f ca="1">IFERROR(__xludf.DUMMYFUNCTION("""COMPUTED_VALUE"""),"001")</f>
        <v>001</v>
      </c>
      <c r="F217" s="241" t="str">
        <f ca="1">IFERROR(__xludf.DUMMYFUNCTION("""COMPUTED_VALUE"""),"1305")</f>
        <v>1305</v>
      </c>
      <c r="G217" s="240" t="str">
        <f ca="1">IFERROR(__xludf.DUMMYFUNCTION("""COMPUTED_VALUE"""),"10938x")</f>
        <v>10938x</v>
      </c>
      <c r="H217" s="240" t="str">
        <f ca="1">IFERROR(__xludf.DUMMYFUNCTION("""COMPUTED_VALUE"""),"AEE")</f>
        <v>AEE</v>
      </c>
      <c r="I217" s="242">
        <f ca="1">IFERROR(__xludf.DUMMYFUNCTION("""COMPUTED_VALUE"""),252)</f>
        <v>252</v>
      </c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</row>
    <row r="218" spans="1:26" ht="21" customHeight="1">
      <c r="A218" s="240" t="str">
        <f ca="1">IFERROR(__xludf.DUMMYFUNCTION("""COMPUTED_VALUE"""),"Araguatins")</f>
        <v>Araguatins</v>
      </c>
      <c r="B218" s="240" t="str">
        <f ca="1">IFERROR(__xludf.DUMMYFUNCTION("""COMPUTED_VALUE"""),"Sao Bento do Tocantins")</f>
        <v>Sao Bento do Tocantins</v>
      </c>
      <c r="C218" s="240" t="str">
        <f ca="1">IFERROR(__xludf.DUMMYFUNCTION("""COMPUTED_VALUE"""),"A.A. ESC. EST. ANAIDES BRITO MIRANDA")</f>
        <v>A.A. ESC. EST. ANAIDES BRITO MIRANDA</v>
      </c>
      <c r="D218" s="241" t="str">
        <f ca="1">IFERROR(__xludf.DUMMYFUNCTION("""COMPUTED_VALUE"""),"01181993000108")</f>
        <v>01181993000108</v>
      </c>
      <c r="E218" s="241" t="str">
        <f ca="1">IFERROR(__xludf.DUMMYFUNCTION("""COMPUTED_VALUE"""),"001")</f>
        <v>001</v>
      </c>
      <c r="F218" s="241" t="str">
        <f ca="1">IFERROR(__xludf.DUMMYFUNCTION("""COMPUTED_VALUE"""),"1305")</f>
        <v>1305</v>
      </c>
      <c r="G218" s="240" t="str">
        <f ca="1">IFERROR(__xludf.DUMMYFUNCTION("""COMPUTED_VALUE"""),"10938x")</f>
        <v>10938x</v>
      </c>
      <c r="H218" s="240" t="str">
        <f ca="1">IFERROR(__xludf.DUMMYFUNCTION("""COMPUTED_VALUE"""),"ENS MEDIO PARCIAL")</f>
        <v>ENS MEDIO PARCIAL</v>
      </c>
      <c r="I218" s="242">
        <f ca="1">IFERROR(__xludf.DUMMYFUNCTION("""COMPUTED_VALUE"""),1029)</f>
        <v>1029</v>
      </c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</row>
    <row r="219" spans="1:26" ht="21" customHeight="1">
      <c r="A219" s="240" t="str">
        <f ca="1">IFERROR(__xludf.DUMMYFUNCTION("""COMPUTED_VALUE"""),"Araguatins")</f>
        <v>Araguatins</v>
      </c>
      <c r="B219" s="240" t="str">
        <f ca="1">IFERROR(__xludf.DUMMYFUNCTION("""COMPUTED_VALUE"""),"Sao Bento do Tocantins")</f>
        <v>Sao Bento do Tocantins</v>
      </c>
      <c r="C219" s="240" t="str">
        <f ca="1">IFERROR(__xludf.DUMMYFUNCTION("""COMPUTED_VALUE"""),"A.A. ESC. EST. ANAIDES BRITO MIRANDA")</f>
        <v>A.A. ESC. EST. ANAIDES BRITO MIRANDA</v>
      </c>
      <c r="D219" s="241" t="str">
        <f ca="1">IFERROR(__xludf.DUMMYFUNCTION("""COMPUTED_VALUE"""),"01181993000108")</f>
        <v>01181993000108</v>
      </c>
      <c r="E219" s="241" t="str">
        <f ca="1">IFERROR(__xludf.DUMMYFUNCTION("""COMPUTED_VALUE"""),"001")</f>
        <v>001</v>
      </c>
      <c r="F219" s="241" t="str">
        <f ca="1">IFERROR(__xludf.DUMMYFUNCTION("""COMPUTED_VALUE"""),"1305")</f>
        <v>1305</v>
      </c>
      <c r="G219" s="240" t="str">
        <f ca="1">IFERROR(__xludf.DUMMYFUNCTION("""COMPUTED_VALUE"""),"10938x")</f>
        <v>10938x</v>
      </c>
      <c r="H219" s="240" t="str">
        <f ca="1">IFERROR(__xludf.DUMMYFUNCTION("""COMPUTED_VALUE"""),"EJA")</f>
        <v>EJA</v>
      </c>
      <c r="I219" s="242">
        <f ca="1">IFERROR(__xludf.DUMMYFUNCTION("""COMPUTED_VALUE"""),315)</f>
        <v>315</v>
      </c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</row>
    <row r="220" spans="1:26" ht="21" customHeight="1">
      <c r="A220" s="240" t="str">
        <f ca="1">IFERROR(__xludf.DUMMYFUNCTION("""COMPUTED_VALUE"""),"Araguatins")</f>
        <v>Araguatins</v>
      </c>
      <c r="B220" s="240" t="str">
        <f ca="1">IFERROR(__xludf.DUMMYFUNCTION("""COMPUTED_VALUE"""),"Sao Miguel do Tocantins")</f>
        <v>Sao Miguel do Tocantins</v>
      </c>
      <c r="C220" s="240" t="str">
        <f ca="1">IFERROR(__xludf.DUMMYFUNCTION("""COMPUTED_VALUE"""),"A.A.  ESCOLA ESTADUAL SAO MIGUEL")</f>
        <v>A.A.  ESCOLA ESTADUAL SAO MIGUEL</v>
      </c>
      <c r="D220" s="241" t="str">
        <f ca="1">IFERROR(__xludf.DUMMYFUNCTION("""COMPUTED_VALUE"""),"01213523000189")</f>
        <v>01213523000189</v>
      </c>
      <c r="E220" s="241" t="str">
        <f ca="1">IFERROR(__xludf.DUMMYFUNCTION("""COMPUTED_VALUE"""),"001")</f>
        <v>001</v>
      </c>
      <c r="F220" s="241" t="str">
        <f ca="1">IFERROR(__xludf.DUMMYFUNCTION("""COMPUTED_VALUE"""),"1305")</f>
        <v>1305</v>
      </c>
      <c r="G220" s="240" t="str">
        <f ca="1">IFERROR(__xludf.DUMMYFUNCTION("""COMPUTED_VALUE"""),"173576")</f>
        <v>173576</v>
      </c>
      <c r="H220" s="240" t="str">
        <f ca="1">IFERROR(__xludf.DUMMYFUNCTION("""COMPUTED_VALUE"""),"E.F. PARCIAL")</f>
        <v>E.F. PARCIAL</v>
      </c>
      <c r="I220" s="242">
        <f ca="1">IFERROR(__xludf.DUMMYFUNCTION("""COMPUTED_VALUE"""),4242)</f>
        <v>4242</v>
      </c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</row>
    <row r="221" spans="1:26" ht="21" customHeight="1">
      <c r="A221" s="240" t="str">
        <f ca="1">IFERROR(__xludf.DUMMYFUNCTION("""COMPUTED_VALUE"""),"Araguatins")</f>
        <v>Araguatins</v>
      </c>
      <c r="B221" s="240" t="str">
        <f ca="1">IFERROR(__xludf.DUMMYFUNCTION("""COMPUTED_VALUE"""),"Sao Miguel do Tocantins")</f>
        <v>Sao Miguel do Tocantins</v>
      </c>
      <c r="C221" s="240" t="str">
        <f ca="1">IFERROR(__xludf.DUMMYFUNCTION("""COMPUTED_VALUE"""),"A.A.  ESCOLA ESTADUAL SAO MIGUEL")</f>
        <v>A.A.  ESCOLA ESTADUAL SAO MIGUEL</v>
      </c>
      <c r="D221" s="241" t="str">
        <f ca="1">IFERROR(__xludf.DUMMYFUNCTION("""COMPUTED_VALUE"""),"01213523000189")</f>
        <v>01213523000189</v>
      </c>
      <c r="E221" s="241" t="str">
        <f ca="1">IFERROR(__xludf.DUMMYFUNCTION("""COMPUTED_VALUE"""),"001")</f>
        <v>001</v>
      </c>
      <c r="F221" s="241" t="str">
        <f ca="1">IFERROR(__xludf.DUMMYFUNCTION("""COMPUTED_VALUE"""),"1305")</f>
        <v>1305</v>
      </c>
      <c r="G221" s="240" t="str">
        <f ca="1">IFERROR(__xludf.DUMMYFUNCTION("""COMPUTED_VALUE"""),"173576")</f>
        <v>173576</v>
      </c>
      <c r="H221" s="240" t="str">
        <f ca="1">IFERROR(__xludf.DUMMYFUNCTION("""COMPUTED_VALUE"""),"AEE")</f>
        <v>AEE</v>
      </c>
      <c r="I221" s="242">
        <f ca="1">IFERROR(__xludf.DUMMYFUNCTION("""COMPUTED_VALUE"""),252)</f>
        <v>252</v>
      </c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</row>
    <row r="222" spans="1:26" ht="21" customHeight="1">
      <c r="A222" s="240" t="str">
        <f ca="1">IFERROR(__xludf.DUMMYFUNCTION("""COMPUTED_VALUE"""),"Araguatins")</f>
        <v>Araguatins</v>
      </c>
      <c r="B222" s="240" t="str">
        <f ca="1">IFERROR(__xludf.DUMMYFUNCTION("""COMPUTED_VALUE"""),"Sao Miguel do Tocantins")</f>
        <v>Sao Miguel do Tocantins</v>
      </c>
      <c r="C222" s="240" t="str">
        <f ca="1">IFERROR(__xludf.DUMMYFUNCTION("""COMPUTED_VALUE"""),"A.A.  ESCOLA ESTADUAL SAO MIGUEL")</f>
        <v>A.A.  ESCOLA ESTADUAL SAO MIGUEL</v>
      </c>
      <c r="D222" s="241" t="str">
        <f ca="1">IFERROR(__xludf.DUMMYFUNCTION("""COMPUTED_VALUE"""),"01213523000189")</f>
        <v>01213523000189</v>
      </c>
      <c r="E222" s="241" t="str">
        <f ca="1">IFERROR(__xludf.DUMMYFUNCTION("""COMPUTED_VALUE"""),"001")</f>
        <v>001</v>
      </c>
      <c r="F222" s="241" t="str">
        <f ca="1">IFERROR(__xludf.DUMMYFUNCTION("""COMPUTED_VALUE"""),"1305")</f>
        <v>1305</v>
      </c>
      <c r="G222" s="240" t="str">
        <f ca="1">IFERROR(__xludf.DUMMYFUNCTION("""COMPUTED_VALUE"""),"173576")</f>
        <v>173576</v>
      </c>
      <c r="H222" s="240" t="str">
        <f ca="1">IFERROR(__xludf.DUMMYFUNCTION("""COMPUTED_VALUE"""),"ENS MEDIO PARCIAL")</f>
        <v>ENS MEDIO PARCIAL</v>
      </c>
      <c r="I222" s="242">
        <f ca="1">IFERROR(__xludf.DUMMYFUNCTION("""COMPUTED_VALUE"""),5838)</f>
        <v>5838</v>
      </c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</row>
    <row r="223" spans="1:26" ht="21" customHeight="1">
      <c r="A223" s="240" t="str">
        <f ca="1">IFERROR(__xludf.DUMMYFUNCTION("""COMPUTED_VALUE"""),"Araguatins")</f>
        <v>Araguatins</v>
      </c>
      <c r="B223" s="240" t="str">
        <f ca="1">IFERROR(__xludf.DUMMYFUNCTION("""COMPUTED_VALUE"""),"Sao Miguel do Tocantins")</f>
        <v>Sao Miguel do Tocantins</v>
      </c>
      <c r="C223" s="240" t="str">
        <f ca="1">IFERROR(__xludf.DUMMYFUNCTION("""COMPUTED_VALUE"""),"A.A.  DA ESCOLA ESTADUAL BELA VISTA")</f>
        <v>A.A.  DA ESCOLA ESTADUAL BELA VISTA</v>
      </c>
      <c r="D223" s="241" t="str">
        <f ca="1">IFERROR(__xludf.DUMMYFUNCTION("""COMPUTED_VALUE"""),"01230238000176")</f>
        <v>01230238000176</v>
      </c>
      <c r="E223" s="241" t="str">
        <f ca="1">IFERROR(__xludf.DUMMYFUNCTION("""COMPUTED_VALUE"""),"001")</f>
        <v>001</v>
      </c>
      <c r="F223" s="241" t="str">
        <f ca="1">IFERROR(__xludf.DUMMYFUNCTION("""COMPUTED_VALUE"""),"1305")</f>
        <v>1305</v>
      </c>
      <c r="G223" s="240" t="str">
        <f ca="1">IFERROR(__xludf.DUMMYFUNCTION("""COMPUTED_VALUE"""),"0217948")</f>
        <v>0217948</v>
      </c>
      <c r="H223" s="240" t="str">
        <f ca="1">IFERROR(__xludf.DUMMYFUNCTION("""COMPUTED_VALUE"""),"E.F. PARCIAL")</f>
        <v>E.F. PARCIAL</v>
      </c>
      <c r="I223" s="242">
        <f ca="1">IFERROR(__xludf.DUMMYFUNCTION("""COMPUTED_VALUE"""),5880)</f>
        <v>5880</v>
      </c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</row>
    <row r="224" spans="1:26" ht="21" customHeight="1">
      <c r="A224" s="240" t="str">
        <f ca="1">IFERROR(__xludf.DUMMYFUNCTION("""COMPUTED_VALUE"""),"Araguatins")</f>
        <v>Araguatins</v>
      </c>
      <c r="B224" s="240" t="str">
        <f ca="1">IFERROR(__xludf.DUMMYFUNCTION("""COMPUTED_VALUE"""),"Sao Miguel do Tocantins")</f>
        <v>Sao Miguel do Tocantins</v>
      </c>
      <c r="C224" s="240" t="str">
        <f ca="1">IFERROR(__xludf.DUMMYFUNCTION("""COMPUTED_VALUE"""),"A.A.  DA ESCOLA ESTADUAL BELA VISTA")</f>
        <v>A.A.  DA ESCOLA ESTADUAL BELA VISTA</v>
      </c>
      <c r="D224" s="241" t="str">
        <f ca="1">IFERROR(__xludf.DUMMYFUNCTION("""COMPUTED_VALUE"""),"01230238000176")</f>
        <v>01230238000176</v>
      </c>
      <c r="E224" s="241" t="str">
        <f ca="1">IFERROR(__xludf.DUMMYFUNCTION("""COMPUTED_VALUE"""),"001")</f>
        <v>001</v>
      </c>
      <c r="F224" s="241" t="str">
        <f ca="1">IFERROR(__xludf.DUMMYFUNCTION("""COMPUTED_VALUE"""),"1305")</f>
        <v>1305</v>
      </c>
      <c r="G224" s="240" t="str">
        <f ca="1">IFERROR(__xludf.DUMMYFUNCTION("""COMPUTED_VALUE"""),"0217948")</f>
        <v>0217948</v>
      </c>
      <c r="H224" s="240" t="str">
        <f ca="1">IFERROR(__xludf.DUMMYFUNCTION("""COMPUTED_VALUE"""),"ENS MEDIO PARCIAL")</f>
        <v>ENS MEDIO PARCIAL</v>
      </c>
      <c r="I224" s="242">
        <f ca="1">IFERROR(__xludf.DUMMYFUNCTION("""COMPUTED_VALUE"""),4599)</f>
        <v>4599</v>
      </c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</row>
    <row r="225" spans="1:26" ht="21" customHeight="1">
      <c r="A225" s="240" t="str">
        <f ca="1">IFERROR(__xludf.DUMMYFUNCTION("""COMPUTED_VALUE"""),"Araguatins")</f>
        <v>Araguatins</v>
      </c>
      <c r="B225" s="240" t="str">
        <f ca="1">IFERROR(__xludf.DUMMYFUNCTION("""COMPUTED_VALUE"""),"Sao Sebastiao do Tocantins")</f>
        <v>Sao Sebastiao do Tocantins</v>
      </c>
      <c r="C225" s="240" t="str">
        <f ca="1">IFERROR(__xludf.DUMMYFUNCTION("""COMPUTED_VALUE"""),"A.A.  DO COL. EST.IRIO OLIVEIRA SOUZA")</f>
        <v>A.A.  DO COL. EST.IRIO OLIVEIRA SOUZA</v>
      </c>
      <c r="D225" s="241" t="str">
        <f ca="1">IFERROR(__xludf.DUMMYFUNCTION("""COMPUTED_VALUE"""),"01112477000121")</f>
        <v>01112477000121</v>
      </c>
      <c r="E225" s="241" t="str">
        <f ca="1">IFERROR(__xludf.DUMMYFUNCTION("""COMPUTED_VALUE"""),"001")</f>
        <v>001</v>
      </c>
      <c r="F225" s="241" t="str">
        <f ca="1">IFERROR(__xludf.DUMMYFUNCTION("""COMPUTED_VALUE"""),"1305")</f>
        <v>1305</v>
      </c>
      <c r="G225" s="240" t="str">
        <f ca="1">IFERROR(__xludf.DUMMYFUNCTION("""COMPUTED_VALUE"""),"0109282")</f>
        <v>0109282</v>
      </c>
      <c r="H225" s="240" t="str">
        <f ca="1">IFERROR(__xludf.DUMMYFUNCTION("""COMPUTED_VALUE"""),"ENS MEDIO PARCIAL")</f>
        <v>ENS MEDIO PARCIAL</v>
      </c>
      <c r="I225" s="242">
        <f ca="1">IFERROR(__xludf.DUMMYFUNCTION("""COMPUTED_VALUE"""),3843)</f>
        <v>3843</v>
      </c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</row>
    <row r="226" spans="1:26" ht="21" customHeight="1">
      <c r="A226" s="240" t="str">
        <f ca="1">IFERROR(__xludf.DUMMYFUNCTION("""COMPUTED_VALUE"""),"Araguatins")</f>
        <v>Araguatins</v>
      </c>
      <c r="B226" s="240" t="str">
        <f ca="1">IFERROR(__xludf.DUMMYFUNCTION("""COMPUTED_VALUE"""),"Sao Sebastiao do Tocantins")</f>
        <v>Sao Sebastiao do Tocantins</v>
      </c>
      <c r="C226" s="240" t="str">
        <f ca="1">IFERROR(__xludf.DUMMYFUNCTION("""COMPUTED_VALUE"""),"A.A. E. E. DR.PEDRO LUDOVICO TEIXEIRA")</f>
        <v>A.A. E. E. DR.PEDRO LUDOVICO TEIXEIRA</v>
      </c>
      <c r="D226" s="241" t="str">
        <f ca="1">IFERROR(__xludf.DUMMYFUNCTION("""COMPUTED_VALUE"""),"01186462000108")</f>
        <v>01186462000108</v>
      </c>
      <c r="E226" s="241" t="str">
        <f ca="1">IFERROR(__xludf.DUMMYFUNCTION("""COMPUTED_VALUE"""),"001")</f>
        <v>001</v>
      </c>
      <c r="F226" s="241" t="str">
        <f ca="1">IFERROR(__xludf.DUMMYFUNCTION("""COMPUTED_VALUE"""),"1305")</f>
        <v>1305</v>
      </c>
      <c r="G226" s="240" t="str">
        <f ca="1">IFERROR(__xludf.DUMMYFUNCTION("""COMPUTED_VALUE"""),"109711")</f>
        <v>109711</v>
      </c>
      <c r="H226" s="240" t="str">
        <f ca="1">IFERROR(__xludf.DUMMYFUNCTION("""COMPUTED_VALUE"""),"E.F. PARCIAL")</f>
        <v>E.F. PARCIAL</v>
      </c>
      <c r="I226" s="242">
        <f ca="1">IFERROR(__xludf.DUMMYFUNCTION("""COMPUTED_VALUE"""),2961)</f>
        <v>2961</v>
      </c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</row>
    <row r="227" spans="1:26" ht="21" customHeight="1">
      <c r="A227" s="240" t="str">
        <f ca="1">IFERROR(__xludf.DUMMYFUNCTION("""COMPUTED_VALUE"""),"Araguatins")</f>
        <v>Araguatins</v>
      </c>
      <c r="B227" s="240" t="str">
        <f ca="1">IFERROR(__xludf.DUMMYFUNCTION("""COMPUTED_VALUE"""),"Sao Sebastiao do Tocantins")</f>
        <v>Sao Sebastiao do Tocantins</v>
      </c>
      <c r="C227" s="240" t="str">
        <f ca="1">IFERROR(__xludf.DUMMYFUNCTION("""COMPUTED_VALUE"""),"A.A. E. E. DR.PEDRO LUDOVICO TEIXEIRA")</f>
        <v>A.A. E. E. DR.PEDRO LUDOVICO TEIXEIRA</v>
      </c>
      <c r="D227" s="241" t="str">
        <f ca="1">IFERROR(__xludf.DUMMYFUNCTION("""COMPUTED_VALUE"""),"01186462000108")</f>
        <v>01186462000108</v>
      </c>
      <c r="E227" s="241" t="str">
        <f ca="1">IFERROR(__xludf.DUMMYFUNCTION("""COMPUTED_VALUE"""),"001")</f>
        <v>001</v>
      </c>
      <c r="F227" s="241" t="str">
        <f ca="1">IFERROR(__xludf.DUMMYFUNCTION("""COMPUTED_VALUE"""),"1305")</f>
        <v>1305</v>
      </c>
      <c r="G227" s="240" t="str">
        <f ca="1">IFERROR(__xludf.DUMMYFUNCTION("""COMPUTED_VALUE"""),"109711")</f>
        <v>109711</v>
      </c>
      <c r="H227" s="240" t="str">
        <f ca="1">IFERROR(__xludf.DUMMYFUNCTION("""COMPUTED_VALUE"""),"AEE")</f>
        <v>AEE</v>
      </c>
      <c r="I227" s="242">
        <f ca="1">IFERROR(__xludf.DUMMYFUNCTION("""COMPUTED_VALUE"""),315)</f>
        <v>315</v>
      </c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</row>
    <row r="228" spans="1:26" ht="21" customHeight="1">
      <c r="A228" s="240" t="str">
        <f ca="1">IFERROR(__xludf.DUMMYFUNCTION("""COMPUTED_VALUE"""),"Araguatins")</f>
        <v>Araguatins</v>
      </c>
      <c r="B228" s="240" t="str">
        <f ca="1">IFERROR(__xludf.DUMMYFUNCTION("""COMPUTED_VALUE"""),"Sao Sebastiao do Tocantins")</f>
        <v>Sao Sebastiao do Tocantins</v>
      </c>
      <c r="C228" s="240" t="str">
        <f ca="1">IFERROR(__xludf.DUMMYFUNCTION("""COMPUTED_VALUE"""),"A.A. E. E. DR.PEDRO LUDOVICO TEIXEIRA")</f>
        <v>A.A. E. E. DR.PEDRO LUDOVICO TEIXEIRA</v>
      </c>
      <c r="D228" s="241" t="str">
        <f ca="1">IFERROR(__xludf.DUMMYFUNCTION("""COMPUTED_VALUE"""),"01186462000108")</f>
        <v>01186462000108</v>
      </c>
      <c r="E228" s="241" t="str">
        <f ca="1">IFERROR(__xludf.DUMMYFUNCTION("""COMPUTED_VALUE"""),"001")</f>
        <v>001</v>
      </c>
      <c r="F228" s="241" t="str">
        <f ca="1">IFERROR(__xludf.DUMMYFUNCTION("""COMPUTED_VALUE"""),"1305")</f>
        <v>1305</v>
      </c>
      <c r="G228" s="240" t="str">
        <f ca="1">IFERROR(__xludf.DUMMYFUNCTION("""COMPUTED_VALUE"""),"109711")</f>
        <v>109711</v>
      </c>
      <c r="H228" s="240" t="str">
        <f ca="1">IFERROR(__xludf.DUMMYFUNCTION("""COMPUTED_VALUE"""),"EJA")</f>
        <v>EJA</v>
      </c>
      <c r="I228" s="242">
        <f ca="1">IFERROR(__xludf.DUMMYFUNCTION("""COMPUTED_VALUE"""),1302)</f>
        <v>1302</v>
      </c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</row>
    <row r="229" spans="1:26" ht="21" customHeight="1">
      <c r="A229" s="240" t="str">
        <f ca="1">IFERROR(__xludf.DUMMYFUNCTION("""COMPUTED_VALUE"""),"Araguatins")</f>
        <v>Araguatins</v>
      </c>
      <c r="B229" s="240" t="str">
        <f ca="1">IFERROR(__xludf.DUMMYFUNCTION("""COMPUTED_VALUE"""),"Sitio Novo do Tocantins")</f>
        <v>Sitio Novo do Tocantins</v>
      </c>
      <c r="C229" s="240" t="str">
        <f ca="1">IFERROR(__xludf.DUMMYFUNCTION("""COMPUTED_VALUE"""),"A.A. ESC. EST. MANOEL ESTEVAO DE SOUZA")</f>
        <v>A.A. ESC. EST. MANOEL ESTEVAO DE SOUZA</v>
      </c>
      <c r="D229" s="241" t="str">
        <f ca="1">IFERROR(__xludf.DUMMYFUNCTION("""COMPUTED_VALUE"""),"01213534000169")</f>
        <v>01213534000169</v>
      </c>
      <c r="E229" s="241" t="str">
        <f ca="1">IFERROR(__xludf.DUMMYFUNCTION("""COMPUTED_VALUE"""),"001")</f>
        <v>001</v>
      </c>
      <c r="F229" s="241" t="str">
        <f ca="1">IFERROR(__xludf.DUMMYFUNCTION("""COMPUTED_VALUE"""),"1305")</f>
        <v>1305</v>
      </c>
      <c r="G229" s="240" t="str">
        <f ca="1">IFERROR(__xludf.DUMMYFUNCTION("""COMPUTED_VALUE"""),"181048")</f>
        <v>181048</v>
      </c>
      <c r="H229" s="240" t="str">
        <f ca="1">IFERROR(__xludf.DUMMYFUNCTION("""COMPUTED_VALUE"""),"E.F. PARCIAL")</f>
        <v>E.F. PARCIAL</v>
      </c>
      <c r="I229" s="242">
        <f ca="1">IFERROR(__xludf.DUMMYFUNCTION("""COMPUTED_VALUE"""),2310)</f>
        <v>2310</v>
      </c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</row>
    <row r="230" spans="1:26" ht="21" customHeight="1">
      <c r="A230" s="240" t="str">
        <f ca="1">IFERROR(__xludf.DUMMYFUNCTION("""COMPUTED_VALUE"""),"Araguatins")</f>
        <v>Araguatins</v>
      </c>
      <c r="B230" s="240" t="str">
        <f ca="1">IFERROR(__xludf.DUMMYFUNCTION("""COMPUTED_VALUE"""),"Sitio Novo do Tocantins")</f>
        <v>Sitio Novo do Tocantins</v>
      </c>
      <c r="C230" s="240" t="str">
        <f ca="1">IFERROR(__xludf.DUMMYFUNCTION("""COMPUTED_VALUE"""),"A.A. ESC. EST. MANOEL ESTEVAO DE SOUZA")</f>
        <v>A.A. ESC. EST. MANOEL ESTEVAO DE SOUZA</v>
      </c>
      <c r="D230" s="241" t="str">
        <f ca="1">IFERROR(__xludf.DUMMYFUNCTION("""COMPUTED_VALUE"""),"01213534000169")</f>
        <v>01213534000169</v>
      </c>
      <c r="E230" s="241" t="str">
        <f ca="1">IFERROR(__xludf.DUMMYFUNCTION("""COMPUTED_VALUE"""),"001")</f>
        <v>001</v>
      </c>
      <c r="F230" s="241" t="str">
        <f ca="1">IFERROR(__xludf.DUMMYFUNCTION("""COMPUTED_VALUE"""),"1305")</f>
        <v>1305</v>
      </c>
      <c r="G230" s="240" t="str">
        <f ca="1">IFERROR(__xludf.DUMMYFUNCTION("""COMPUTED_VALUE"""),"181048")</f>
        <v>181048</v>
      </c>
      <c r="H230" s="240" t="str">
        <f ca="1">IFERROR(__xludf.DUMMYFUNCTION("""COMPUTED_VALUE"""),"AEE")</f>
        <v>AEE</v>
      </c>
      <c r="I230" s="242">
        <f ca="1">IFERROR(__xludf.DUMMYFUNCTION("""COMPUTED_VALUE"""),336)</f>
        <v>336</v>
      </c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</row>
    <row r="231" spans="1:26" ht="21" customHeight="1">
      <c r="A231" s="240" t="str">
        <f ca="1">IFERROR(__xludf.DUMMYFUNCTION("""COMPUTED_VALUE"""),"Araguatins")</f>
        <v>Araguatins</v>
      </c>
      <c r="B231" s="240" t="str">
        <f ca="1">IFERROR(__xludf.DUMMYFUNCTION("""COMPUTED_VALUE"""),"Sitio Novo do Tocantins")</f>
        <v>Sitio Novo do Tocantins</v>
      </c>
      <c r="C231" s="240" t="str">
        <f ca="1">IFERROR(__xludf.DUMMYFUNCTION("""COMPUTED_VALUE"""),"A.A. ESC. EST. RAIMUNDO NONATO LEITE")</f>
        <v>A.A. ESC. EST. RAIMUNDO NONATO LEITE</v>
      </c>
      <c r="D231" s="241" t="str">
        <f ca="1">IFERROR(__xludf.DUMMYFUNCTION("""COMPUTED_VALUE"""),"01230237000121")</f>
        <v>01230237000121</v>
      </c>
      <c r="E231" s="241" t="str">
        <f ca="1">IFERROR(__xludf.DUMMYFUNCTION("""COMPUTED_VALUE"""),"001")</f>
        <v>001</v>
      </c>
      <c r="F231" s="241" t="str">
        <f ca="1">IFERROR(__xludf.DUMMYFUNCTION("""COMPUTED_VALUE"""),"0810")</f>
        <v>0810</v>
      </c>
      <c r="G231" s="240" t="str">
        <f ca="1">IFERROR(__xludf.DUMMYFUNCTION("""COMPUTED_VALUE"""),"217980")</f>
        <v>217980</v>
      </c>
      <c r="H231" s="240" t="str">
        <f ca="1">IFERROR(__xludf.DUMMYFUNCTION("""COMPUTED_VALUE"""),"E.F. PARCIAL")</f>
        <v>E.F. PARCIAL</v>
      </c>
      <c r="I231" s="242">
        <f ca="1">IFERROR(__xludf.DUMMYFUNCTION("""COMPUTED_VALUE"""),966)</f>
        <v>966</v>
      </c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</row>
    <row r="232" spans="1:26" ht="21" customHeight="1">
      <c r="A232" s="240" t="str">
        <f ca="1">IFERROR(__xludf.DUMMYFUNCTION("""COMPUTED_VALUE"""),"Araguatins")</f>
        <v>Araguatins</v>
      </c>
      <c r="B232" s="240" t="str">
        <f ca="1">IFERROR(__xludf.DUMMYFUNCTION("""COMPUTED_VALUE"""),"Sitio Novo do Tocantins")</f>
        <v>Sitio Novo do Tocantins</v>
      </c>
      <c r="C232" s="240" t="str">
        <f ca="1">IFERROR(__xludf.DUMMYFUNCTION("""COMPUTED_VALUE"""),"A.A. ESC. EST. RAIMUNDO NONATO LEITE")</f>
        <v>A.A. ESC. EST. RAIMUNDO NONATO LEITE</v>
      </c>
      <c r="D232" s="241" t="str">
        <f ca="1">IFERROR(__xludf.DUMMYFUNCTION("""COMPUTED_VALUE"""),"01230237000121")</f>
        <v>01230237000121</v>
      </c>
      <c r="E232" s="241" t="str">
        <f ca="1">IFERROR(__xludf.DUMMYFUNCTION("""COMPUTED_VALUE"""),"001")</f>
        <v>001</v>
      </c>
      <c r="F232" s="241" t="str">
        <f ca="1">IFERROR(__xludf.DUMMYFUNCTION("""COMPUTED_VALUE"""),"0810")</f>
        <v>0810</v>
      </c>
      <c r="G232" s="240" t="str">
        <f ca="1">IFERROR(__xludf.DUMMYFUNCTION("""COMPUTED_VALUE"""),"217980")</f>
        <v>217980</v>
      </c>
      <c r="H232" s="240" t="str">
        <f ca="1">IFERROR(__xludf.DUMMYFUNCTION("""COMPUTED_VALUE"""),"ENS MEDIO PARCIAL")</f>
        <v>ENS MEDIO PARCIAL</v>
      </c>
      <c r="I232" s="242">
        <f ca="1">IFERROR(__xludf.DUMMYFUNCTION("""COMPUTED_VALUE"""),1008)</f>
        <v>1008</v>
      </c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</row>
    <row r="233" spans="1:26" ht="21" customHeight="1">
      <c r="A233" s="240" t="str">
        <f ca="1">IFERROR(__xludf.DUMMYFUNCTION("""COMPUTED_VALUE"""),"Araguatins")</f>
        <v>Araguatins</v>
      </c>
      <c r="B233" s="240" t="str">
        <f ca="1">IFERROR(__xludf.DUMMYFUNCTION("""COMPUTED_VALUE"""),"Sitio Novo do Tocantins")</f>
        <v>Sitio Novo do Tocantins</v>
      </c>
      <c r="C233" s="240" t="str">
        <f ca="1">IFERROR(__xludf.DUMMYFUNCTION("""COMPUTED_VALUE"""),"A.A. E. EST. JOAQUIM TEOTONIO SEGURADO")</f>
        <v>A.A. E. EST. JOAQUIM TEOTONIO SEGURADO</v>
      </c>
      <c r="D233" s="241" t="str">
        <f ca="1">IFERROR(__xludf.DUMMYFUNCTION("""COMPUTED_VALUE"""),"01230240000145")</f>
        <v>01230240000145</v>
      </c>
      <c r="E233" s="241" t="str">
        <f ca="1">IFERROR(__xludf.DUMMYFUNCTION("""COMPUTED_VALUE"""),"001")</f>
        <v>001</v>
      </c>
      <c r="F233" s="241" t="str">
        <f ca="1">IFERROR(__xludf.DUMMYFUNCTION("""COMPUTED_VALUE"""),"0810")</f>
        <v>0810</v>
      </c>
      <c r="G233" s="240" t="str">
        <f ca="1">IFERROR(__xludf.DUMMYFUNCTION("""COMPUTED_VALUE"""),"217972")</f>
        <v>217972</v>
      </c>
      <c r="H233" s="240" t="str">
        <f ca="1">IFERROR(__xludf.DUMMYFUNCTION("""COMPUTED_VALUE"""),"E.F. PARCIAL")</f>
        <v>E.F. PARCIAL</v>
      </c>
      <c r="I233" s="242">
        <f ca="1">IFERROR(__xludf.DUMMYFUNCTION("""COMPUTED_VALUE"""),924)</f>
        <v>924</v>
      </c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</row>
    <row r="234" spans="1:26" ht="21" customHeight="1">
      <c r="A234" s="240" t="str">
        <f ca="1">IFERROR(__xludf.DUMMYFUNCTION("""COMPUTED_VALUE"""),"Araguatins")</f>
        <v>Araguatins</v>
      </c>
      <c r="B234" s="240" t="str">
        <f ca="1">IFERROR(__xludf.DUMMYFUNCTION("""COMPUTED_VALUE"""),"Sitio Novo do Tocantins")</f>
        <v>Sitio Novo do Tocantins</v>
      </c>
      <c r="C234" s="240" t="str">
        <f ca="1">IFERROR(__xludf.DUMMYFUNCTION("""COMPUTED_VALUE"""),"A.A. E. EST. JOAQUIM TEOTONIO SEGURADO")</f>
        <v>A.A. E. EST. JOAQUIM TEOTONIO SEGURADO</v>
      </c>
      <c r="D234" s="241" t="str">
        <f ca="1">IFERROR(__xludf.DUMMYFUNCTION("""COMPUTED_VALUE"""),"01230240000145")</f>
        <v>01230240000145</v>
      </c>
      <c r="E234" s="241" t="str">
        <f ca="1">IFERROR(__xludf.DUMMYFUNCTION("""COMPUTED_VALUE"""),"001")</f>
        <v>001</v>
      </c>
      <c r="F234" s="241" t="str">
        <f ca="1">IFERROR(__xludf.DUMMYFUNCTION("""COMPUTED_VALUE"""),"0810")</f>
        <v>0810</v>
      </c>
      <c r="G234" s="240" t="str">
        <f ca="1">IFERROR(__xludf.DUMMYFUNCTION("""COMPUTED_VALUE"""),"217972")</f>
        <v>217972</v>
      </c>
      <c r="H234" s="240" t="str">
        <f ca="1">IFERROR(__xludf.DUMMYFUNCTION("""COMPUTED_VALUE"""),"ENS MEDIO PARCIAL")</f>
        <v>ENS MEDIO PARCIAL</v>
      </c>
      <c r="I234" s="242">
        <f ca="1">IFERROR(__xludf.DUMMYFUNCTION("""COMPUTED_VALUE"""),1512)</f>
        <v>1512</v>
      </c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</row>
    <row r="235" spans="1:26" ht="21" customHeight="1">
      <c r="A235" s="240" t="str">
        <f ca="1">IFERROR(__xludf.DUMMYFUNCTION("""COMPUTED_VALUE"""),"Araguatins")</f>
        <v>Araguatins</v>
      </c>
      <c r="B235" s="240" t="str">
        <f ca="1">IFERROR(__xludf.DUMMYFUNCTION("""COMPUTED_VALUE"""),"Sitio Novo do Tocantins")</f>
        <v>Sitio Novo do Tocantins</v>
      </c>
      <c r="C235" s="240" t="str">
        <f ca="1">IFERROR(__xludf.DUMMYFUNCTION("""COMPUTED_VALUE"""),"A.A. COL. EST. MARECHAEL RIBAS JUNIOR")</f>
        <v>A.A. COL. EST. MARECHAEL RIBAS JUNIOR</v>
      </c>
      <c r="D235" s="241" t="str">
        <f ca="1">IFERROR(__xludf.DUMMYFUNCTION("""COMPUTED_VALUE"""),"01230241000190")</f>
        <v>01230241000190</v>
      </c>
      <c r="E235" s="241" t="str">
        <f ca="1">IFERROR(__xludf.DUMMYFUNCTION("""COMPUTED_VALUE"""),"001")</f>
        <v>001</v>
      </c>
      <c r="F235" s="241" t="str">
        <f ca="1">IFERROR(__xludf.DUMMYFUNCTION("""COMPUTED_VALUE"""),"1305")</f>
        <v>1305</v>
      </c>
      <c r="G235" s="240" t="str">
        <f ca="1">IFERROR(__xludf.DUMMYFUNCTION("""COMPUTED_VALUE"""),"217964")</f>
        <v>217964</v>
      </c>
      <c r="H235" s="240" t="str">
        <f ca="1">IFERROR(__xludf.DUMMYFUNCTION("""COMPUTED_VALUE"""),"E.F. PARCIAL")</f>
        <v>E.F. PARCIAL</v>
      </c>
      <c r="I235" s="242">
        <f ca="1">IFERROR(__xludf.DUMMYFUNCTION("""COMPUTED_VALUE"""),2646)</f>
        <v>2646</v>
      </c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</row>
    <row r="236" spans="1:26" ht="21" customHeight="1">
      <c r="A236" s="240" t="str">
        <f ca="1">IFERROR(__xludf.DUMMYFUNCTION("""COMPUTED_VALUE"""),"Araguatins")</f>
        <v>Araguatins</v>
      </c>
      <c r="B236" s="240" t="str">
        <f ca="1">IFERROR(__xludf.DUMMYFUNCTION("""COMPUTED_VALUE"""),"Sitio Novo do Tocantins")</f>
        <v>Sitio Novo do Tocantins</v>
      </c>
      <c r="C236" s="240" t="str">
        <f ca="1">IFERROR(__xludf.DUMMYFUNCTION("""COMPUTED_VALUE"""),"A.A. COL. EST. MARECHAEL RIBAS JUNIOR")</f>
        <v>A.A. COL. EST. MARECHAEL RIBAS JUNIOR</v>
      </c>
      <c r="D236" s="241" t="str">
        <f ca="1">IFERROR(__xludf.DUMMYFUNCTION("""COMPUTED_VALUE"""),"01230241000190")</f>
        <v>01230241000190</v>
      </c>
      <c r="E236" s="241" t="str">
        <f ca="1">IFERROR(__xludf.DUMMYFUNCTION("""COMPUTED_VALUE"""),"001")</f>
        <v>001</v>
      </c>
      <c r="F236" s="241" t="str">
        <f ca="1">IFERROR(__xludf.DUMMYFUNCTION("""COMPUTED_VALUE"""),"1305")</f>
        <v>1305</v>
      </c>
      <c r="G236" s="240" t="str">
        <f ca="1">IFERROR(__xludf.DUMMYFUNCTION("""COMPUTED_VALUE"""),"217964")</f>
        <v>217964</v>
      </c>
      <c r="H236" s="240" t="str">
        <f ca="1">IFERROR(__xludf.DUMMYFUNCTION("""COMPUTED_VALUE"""),"ENS MEDIO PARCIAL")</f>
        <v>ENS MEDIO PARCIAL</v>
      </c>
      <c r="I236" s="242">
        <f ca="1">IFERROR(__xludf.DUMMYFUNCTION("""COMPUTED_VALUE"""),6342)</f>
        <v>6342</v>
      </c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</row>
    <row r="237" spans="1:26" ht="21" customHeight="1">
      <c r="A237" s="240" t="str">
        <f ca="1">IFERROR(__xludf.DUMMYFUNCTION("""COMPUTED_VALUE"""),"Araguatins")</f>
        <v>Araguatins</v>
      </c>
      <c r="B237" s="240" t="str">
        <f ca="1">IFERROR(__xludf.DUMMYFUNCTION("""COMPUTED_VALUE"""),"Sitio Novo do Tocantins")</f>
        <v>Sitio Novo do Tocantins</v>
      </c>
      <c r="C237" s="240" t="str">
        <f ca="1">IFERROR(__xludf.DUMMYFUNCTION("""COMPUTED_VALUE"""),"A.A. COL. EST. MARECHAEL RIBAS JUNIOR")</f>
        <v>A.A. COL. EST. MARECHAEL RIBAS JUNIOR</v>
      </c>
      <c r="D237" s="241" t="str">
        <f ca="1">IFERROR(__xludf.DUMMYFUNCTION("""COMPUTED_VALUE"""),"01230241000190")</f>
        <v>01230241000190</v>
      </c>
      <c r="E237" s="241" t="str">
        <f ca="1">IFERROR(__xludf.DUMMYFUNCTION("""COMPUTED_VALUE"""),"001")</f>
        <v>001</v>
      </c>
      <c r="F237" s="241" t="str">
        <f ca="1">IFERROR(__xludf.DUMMYFUNCTION("""COMPUTED_VALUE"""),"1305")</f>
        <v>1305</v>
      </c>
      <c r="G237" s="240" t="str">
        <f ca="1">IFERROR(__xludf.DUMMYFUNCTION("""COMPUTED_VALUE"""),"217964")</f>
        <v>217964</v>
      </c>
      <c r="H237" s="240" t="str">
        <f ca="1">IFERROR(__xludf.DUMMYFUNCTION("""COMPUTED_VALUE"""),"EJA")</f>
        <v>EJA</v>
      </c>
      <c r="I237" s="242">
        <f ca="1">IFERROR(__xludf.DUMMYFUNCTION("""COMPUTED_VALUE"""),1449)</f>
        <v>1449</v>
      </c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</row>
    <row r="238" spans="1:26" ht="21" customHeight="1">
      <c r="A238" s="240" t="str">
        <f ca="1">IFERROR(__xludf.DUMMYFUNCTION("""COMPUTED_VALUE"""),"Arraias")</f>
        <v>Arraias</v>
      </c>
      <c r="B238" s="240" t="str">
        <f ca="1">IFERROR(__xludf.DUMMYFUNCTION("""COMPUTED_VALUE"""),"Arraias")</f>
        <v>Arraias</v>
      </c>
      <c r="C238" s="240" t="str">
        <f ca="1">IFERROR(__xludf.DUMMYFUNCTION("""COMPUTED_VALUE"""),"A. E. COM.COL EST PROFA. JOANA B. CORDEIRO")</f>
        <v>A. E. COM.COL EST PROFA. JOANA B. CORDEIRO</v>
      </c>
      <c r="D238" s="241" t="str">
        <f ca="1">IFERROR(__xludf.DUMMYFUNCTION("""COMPUTED_VALUE"""),"00922190000102")</f>
        <v>00922190000102</v>
      </c>
      <c r="E238" s="241" t="str">
        <f ca="1">IFERROR(__xludf.DUMMYFUNCTION("""COMPUTED_VALUE"""),"001")</f>
        <v>001</v>
      </c>
      <c r="F238" s="241" t="str">
        <f ca="1">IFERROR(__xludf.DUMMYFUNCTION("""COMPUTED_VALUE"""),"0541")</f>
        <v>0541</v>
      </c>
      <c r="G238" s="240" t="str">
        <f ca="1">IFERROR(__xludf.DUMMYFUNCTION("""COMPUTED_VALUE"""),"231770")</f>
        <v>231770</v>
      </c>
      <c r="H238" s="240" t="str">
        <f ca="1">IFERROR(__xludf.DUMMYFUNCTION("""COMPUTED_VALUE"""),"AEE")</f>
        <v>AEE</v>
      </c>
      <c r="I238" s="242">
        <f ca="1">IFERROR(__xludf.DUMMYFUNCTION("""COMPUTED_VALUE"""),126)</f>
        <v>126</v>
      </c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</row>
    <row r="239" spans="1:26" ht="21" customHeight="1">
      <c r="A239" s="240" t="str">
        <f ca="1">IFERROR(__xludf.DUMMYFUNCTION("""COMPUTED_VALUE"""),"Arraias")</f>
        <v>Arraias</v>
      </c>
      <c r="B239" s="240" t="str">
        <f ca="1">IFERROR(__xludf.DUMMYFUNCTION("""COMPUTED_VALUE"""),"Arraias")</f>
        <v>Arraias</v>
      </c>
      <c r="C239" s="240" t="str">
        <f ca="1">IFERROR(__xludf.DUMMYFUNCTION("""COMPUTED_VALUE"""),"A.A. ESCOLA ESTADUAL CANABRAVA/ZULMIRA MAGALHÃES")</f>
        <v>A.A. ESCOLA ESTADUAL CANABRAVA/ZULMIRA MAGALHÃES</v>
      </c>
      <c r="D239" s="241" t="str">
        <f ca="1">IFERROR(__xludf.DUMMYFUNCTION("""COMPUTED_VALUE"""),"01284633000131")</f>
        <v>01284633000131</v>
      </c>
      <c r="E239" s="241" t="str">
        <f ca="1">IFERROR(__xludf.DUMMYFUNCTION("""COMPUTED_VALUE"""),"001")</f>
        <v>001</v>
      </c>
      <c r="F239" s="241" t="str">
        <f ca="1">IFERROR(__xludf.DUMMYFUNCTION("""COMPUTED_VALUE"""),"0541")</f>
        <v>0541</v>
      </c>
      <c r="G239" s="240" t="str">
        <f ca="1">IFERROR(__xludf.DUMMYFUNCTION("""COMPUTED_VALUE"""),"23219X")</f>
        <v>23219X</v>
      </c>
      <c r="H239" s="240" t="str">
        <f ca="1">IFERROR(__xludf.DUMMYFUNCTION("""COMPUTED_VALUE"""),"E.F. PARCIAL")</f>
        <v>E.F. PARCIAL</v>
      </c>
      <c r="I239" s="242">
        <f ca="1">IFERROR(__xludf.DUMMYFUNCTION("""COMPUTED_VALUE"""),2352)</f>
        <v>2352</v>
      </c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</row>
    <row r="240" spans="1:26" ht="21" customHeight="1">
      <c r="A240" s="240" t="str">
        <f ca="1">IFERROR(__xludf.DUMMYFUNCTION("""COMPUTED_VALUE"""),"Arraias")</f>
        <v>Arraias</v>
      </c>
      <c r="B240" s="240" t="str">
        <f ca="1">IFERROR(__xludf.DUMMYFUNCTION("""COMPUTED_VALUE"""),"Arraias")</f>
        <v>Arraias</v>
      </c>
      <c r="C240" s="240" t="str">
        <f ca="1">IFERROR(__xludf.DUMMYFUNCTION("""COMPUTED_VALUE"""),"A.A. ESCOLA ESTADUAL CANABRAVA/ZULMIRA MAGALHÃES")</f>
        <v>A.A. ESCOLA ESTADUAL CANABRAVA/ZULMIRA MAGALHÃES</v>
      </c>
      <c r="D240" s="241" t="str">
        <f ca="1">IFERROR(__xludf.DUMMYFUNCTION("""COMPUTED_VALUE"""),"01284633000131")</f>
        <v>01284633000131</v>
      </c>
      <c r="E240" s="241" t="str">
        <f ca="1">IFERROR(__xludf.DUMMYFUNCTION("""COMPUTED_VALUE"""),"001")</f>
        <v>001</v>
      </c>
      <c r="F240" s="241" t="str">
        <f ca="1">IFERROR(__xludf.DUMMYFUNCTION("""COMPUTED_VALUE"""),"0541")</f>
        <v>0541</v>
      </c>
      <c r="G240" s="240" t="str">
        <f ca="1">IFERROR(__xludf.DUMMYFUNCTION("""COMPUTED_VALUE"""),"23219X")</f>
        <v>23219X</v>
      </c>
      <c r="H240" s="240" t="str">
        <f ca="1">IFERROR(__xludf.DUMMYFUNCTION("""COMPUTED_VALUE"""),"AEE")</f>
        <v>AEE</v>
      </c>
      <c r="I240" s="242">
        <f ca="1">IFERROR(__xludf.DUMMYFUNCTION("""COMPUTED_VALUE"""),273)</f>
        <v>273</v>
      </c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</row>
    <row r="241" spans="1:26" ht="21" customHeight="1">
      <c r="A241" s="240" t="str">
        <f ca="1">IFERROR(__xludf.DUMMYFUNCTION("""COMPUTED_VALUE"""),"Arraias")</f>
        <v>Arraias</v>
      </c>
      <c r="B241" s="240" t="str">
        <f ca="1">IFERROR(__xludf.DUMMYFUNCTION("""COMPUTED_VALUE"""),"Arraias")</f>
        <v>Arraias</v>
      </c>
      <c r="C241" s="240" t="str">
        <f ca="1">IFERROR(__xludf.DUMMYFUNCTION("""COMPUTED_VALUE"""),"A.A. ESCOLA ESTADUAL CANABRAVA/ZULMIRA MAGALHÃES")</f>
        <v>A.A. ESCOLA ESTADUAL CANABRAVA/ZULMIRA MAGALHÃES</v>
      </c>
      <c r="D241" s="241" t="str">
        <f ca="1">IFERROR(__xludf.DUMMYFUNCTION("""COMPUTED_VALUE"""),"01284633000131")</f>
        <v>01284633000131</v>
      </c>
      <c r="E241" s="241" t="str">
        <f ca="1">IFERROR(__xludf.DUMMYFUNCTION("""COMPUTED_VALUE"""),"001")</f>
        <v>001</v>
      </c>
      <c r="F241" s="241" t="str">
        <f ca="1">IFERROR(__xludf.DUMMYFUNCTION("""COMPUTED_VALUE"""),"0541")</f>
        <v>0541</v>
      </c>
      <c r="G241" s="240" t="str">
        <f ca="1">IFERROR(__xludf.DUMMYFUNCTION("""COMPUTED_VALUE"""),"23219X")</f>
        <v>23219X</v>
      </c>
      <c r="H241" s="240" t="str">
        <f ca="1">IFERROR(__xludf.DUMMYFUNCTION("""COMPUTED_VALUE"""),"ENS MEDIO PARCIAL")</f>
        <v>ENS MEDIO PARCIAL</v>
      </c>
      <c r="I241" s="242">
        <f ca="1">IFERROR(__xludf.DUMMYFUNCTION("""COMPUTED_VALUE"""),1323)</f>
        <v>1323</v>
      </c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</row>
    <row r="242" spans="1:26" ht="21" customHeight="1">
      <c r="A242" s="240" t="str">
        <f ca="1">IFERROR(__xludf.DUMMYFUNCTION("""COMPUTED_VALUE"""),"Arraias")</f>
        <v>Arraias</v>
      </c>
      <c r="B242" s="240" t="str">
        <f ca="1">IFERROR(__xludf.DUMMYFUNCTION("""COMPUTED_VALUE"""),"Arraias")</f>
        <v>Arraias</v>
      </c>
      <c r="C242" s="240" t="str">
        <f ca="1">IFERROR(__xludf.DUMMYFUNCTION("""COMPUTED_VALUE"""),"ASS. APOIO ESC. EST. JACY ALVES DE BARROS")</f>
        <v>ASS. APOIO ESC. EST. JACY ALVES DE BARROS</v>
      </c>
      <c r="D242" s="241" t="str">
        <f ca="1">IFERROR(__xludf.DUMMYFUNCTION("""COMPUTED_VALUE"""),"01284634000186")</f>
        <v>01284634000186</v>
      </c>
      <c r="E242" s="241" t="str">
        <f ca="1">IFERROR(__xludf.DUMMYFUNCTION("""COMPUTED_VALUE"""),"001")</f>
        <v>001</v>
      </c>
      <c r="F242" s="241" t="str">
        <f ca="1">IFERROR(__xludf.DUMMYFUNCTION("""COMPUTED_VALUE"""),"0541")</f>
        <v>0541</v>
      </c>
      <c r="G242" s="240" t="str">
        <f ca="1">IFERROR(__xludf.DUMMYFUNCTION("""COMPUTED_VALUE"""),"232246")</f>
        <v>232246</v>
      </c>
      <c r="H242" s="240" t="str">
        <f ca="1">IFERROR(__xludf.DUMMYFUNCTION("""COMPUTED_VALUE"""),"E.F. PARCIAL")</f>
        <v>E.F. PARCIAL</v>
      </c>
      <c r="I242" s="242">
        <f ca="1">IFERROR(__xludf.DUMMYFUNCTION("""COMPUTED_VALUE"""),4200)</f>
        <v>4200</v>
      </c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</row>
    <row r="243" spans="1:26" ht="21" customHeight="1">
      <c r="A243" s="240" t="str">
        <f ca="1">IFERROR(__xludf.DUMMYFUNCTION("""COMPUTED_VALUE"""),"Arraias")</f>
        <v>Arraias</v>
      </c>
      <c r="B243" s="240" t="str">
        <f ca="1">IFERROR(__xludf.DUMMYFUNCTION("""COMPUTED_VALUE"""),"Arraias")</f>
        <v>Arraias</v>
      </c>
      <c r="C243" s="240" t="str">
        <f ca="1">IFERROR(__xludf.DUMMYFUNCTION("""COMPUTED_VALUE"""),"ASS. APOIO ESC. EST. JACY ALVES DE BARROS")</f>
        <v>ASS. APOIO ESC. EST. JACY ALVES DE BARROS</v>
      </c>
      <c r="D243" s="241" t="str">
        <f ca="1">IFERROR(__xludf.DUMMYFUNCTION("""COMPUTED_VALUE"""),"01284634000186")</f>
        <v>01284634000186</v>
      </c>
      <c r="E243" s="241" t="str">
        <f ca="1">IFERROR(__xludf.DUMMYFUNCTION("""COMPUTED_VALUE"""),"001")</f>
        <v>001</v>
      </c>
      <c r="F243" s="241" t="str">
        <f ca="1">IFERROR(__xludf.DUMMYFUNCTION("""COMPUTED_VALUE"""),"0541")</f>
        <v>0541</v>
      </c>
      <c r="G243" s="240" t="str">
        <f ca="1">IFERROR(__xludf.DUMMYFUNCTION("""COMPUTED_VALUE"""),"232246")</f>
        <v>232246</v>
      </c>
      <c r="H243" s="240" t="str">
        <f ca="1">IFERROR(__xludf.DUMMYFUNCTION("""COMPUTED_VALUE"""),"AEE")</f>
        <v>AEE</v>
      </c>
      <c r="I243" s="242">
        <f ca="1">IFERROR(__xludf.DUMMYFUNCTION("""COMPUTED_VALUE"""),126)</f>
        <v>126</v>
      </c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</row>
    <row r="244" spans="1:26" ht="21" customHeight="1">
      <c r="A244" s="240" t="str">
        <f ca="1">IFERROR(__xludf.DUMMYFUNCTION("""COMPUTED_VALUE"""),"Arraias")</f>
        <v>Arraias</v>
      </c>
      <c r="B244" s="240" t="str">
        <f ca="1">IFERROR(__xludf.DUMMYFUNCTION("""COMPUTED_VALUE"""),"Arraias")</f>
        <v>Arraias</v>
      </c>
      <c r="C244" s="240" t="str">
        <f ca="1">IFERROR(__xludf.DUMMYFUNCTION("""COMPUTED_VALUE"""),"A.A. ESCOLAR DA ESC. EST. SILVA DOURADO")</f>
        <v>A.A. ESCOLAR DA ESC. EST. SILVA DOURADO</v>
      </c>
      <c r="D244" s="241" t="str">
        <f ca="1">IFERROR(__xludf.DUMMYFUNCTION("""COMPUTED_VALUE"""),"01301519000172")</f>
        <v>01301519000172</v>
      </c>
      <c r="E244" s="241" t="str">
        <f ca="1">IFERROR(__xludf.DUMMYFUNCTION("""COMPUTED_VALUE"""),"001")</f>
        <v>001</v>
      </c>
      <c r="F244" s="241" t="str">
        <f ca="1">IFERROR(__xludf.DUMMYFUNCTION("""COMPUTED_VALUE"""),"0541")</f>
        <v>0541</v>
      </c>
      <c r="G244" s="240" t="str">
        <f ca="1">IFERROR(__xludf.DUMMYFUNCTION("""COMPUTED_VALUE"""),"232297")</f>
        <v>232297</v>
      </c>
      <c r="H244" s="240" t="str">
        <f ca="1">IFERROR(__xludf.DUMMYFUNCTION("""COMPUTED_VALUE"""),"E.F. PARCIAL")</f>
        <v>E.F. PARCIAL</v>
      </c>
      <c r="I244" s="242">
        <f ca="1">IFERROR(__xludf.DUMMYFUNCTION("""COMPUTED_VALUE"""),3507)</f>
        <v>3507</v>
      </c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</row>
    <row r="245" spans="1:26" ht="21" customHeight="1">
      <c r="A245" s="240" t="str">
        <f ca="1">IFERROR(__xludf.DUMMYFUNCTION("""COMPUTED_VALUE"""),"Arraias")</f>
        <v>Arraias</v>
      </c>
      <c r="B245" s="240" t="str">
        <f ca="1">IFERROR(__xludf.DUMMYFUNCTION("""COMPUTED_VALUE"""),"Arraias")</f>
        <v>Arraias</v>
      </c>
      <c r="C245" s="240" t="str">
        <f ca="1">IFERROR(__xludf.DUMMYFUNCTION("""COMPUTED_VALUE"""),"A.A. ESCOLAR DA ESC. EST. SILVA DOURADO")</f>
        <v>A.A. ESCOLAR DA ESC. EST. SILVA DOURADO</v>
      </c>
      <c r="D245" s="241" t="str">
        <f ca="1">IFERROR(__xludf.DUMMYFUNCTION("""COMPUTED_VALUE"""),"01301519000172")</f>
        <v>01301519000172</v>
      </c>
      <c r="E245" s="241" t="str">
        <f ca="1">IFERROR(__xludf.DUMMYFUNCTION("""COMPUTED_VALUE"""),"001")</f>
        <v>001</v>
      </c>
      <c r="F245" s="241" t="str">
        <f ca="1">IFERROR(__xludf.DUMMYFUNCTION("""COMPUTED_VALUE"""),"0541")</f>
        <v>0541</v>
      </c>
      <c r="G245" s="240" t="str">
        <f ca="1">IFERROR(__xludf.DUMMYFUNCTION("""COMPUTED_VALUE"""),"232297")</f>
        <v>232297</v>
      </c>
      <c r="H245" s="240" t="str">
        <f ca="1">IFERROR(__xludf.DUMMYFUNCTION("""COMPUTED_VALUE"""),"AEE")</f>
        <v>AEE</v>
      </c>
      <c r="I245" s="242">
        <f ca="1">IFERROR(__xludf.DUMMYFUNCTION("""COMPUTED_VALUE"""),231)</f>
        <v>231</v>
      </c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</row>
    <row r="246" spans="1:26" ht="21" customHeight="1">
      <c r="A246" s="240" t="str">
        <f ca="1">IFERROR(__xludf.DUMMYFUNCTION("""COMPUTED_VALUE"""),"Arraias")</f>
        <v>Arraias</v>
      </c>
      <c r="B246" s="240" t="str">
        <f ca="1">IFERROR(__xludf.DUMMYFUNCTION("""COMPUTED_VALUE"""),"Arraias")</f>
        <v>Arraias</v>
      </c>
      <c r="C246" s="240" t="str">
        <f ca="1">IFERROR(__xludf.DUMMYFUNCTION("""COMPUTED_VALUE"""),"A.A. ESCOLAR DA ESC. EST. SILVA DOURADO")</f>
        <v>A.A. ESCOLAR DA ESC. EST. SILVA DOURADO</v>
      </c>
      <c r="D246" s="241" t="str">
        <f ca="1">IFERROR(__xludf.DUMMYFUNCTION("""COMPUTED_VALUE"""),"01301519000172")</f>
        <v>01301519000172</v>
      </c>
      <c r="E246" s="241" t="str">
        <f ca="1">IFERROR(__xludf.DUMMYFUNCTION("""COMPUTED_VALUE"""),"001")</f>
        <v>001</v>
      </c>
      <c r="F246" s="241" t="str">
        <f ca="1">IFERROR(__xludf.DUMMYFUNCTION("""COMPUTED_VALUE"""),"0541")</f>
        <v>0541</v>
      </c>
      <c r="G246" s="240" t="str">
        <f ca="1">IFERROR(__xludf.DUMMYFUNCTION("""COMPUTED_VALUE"""),"232297")</f>
        <v>232297</v>
      </c>
      <c r="H246" s="240" t="str">
        <f ca="1">IFERROR(__xludf.DUMMYFUNCTION("""COMPUTED_VALUE"""),"EJA")</f>
        <v>EJA</v>
      </c>
      <c r="I246" s="242">
        <f ca="1">IFERROR(__xludf.DUMMYFUNCTION("""COMPUTED_VALUE"""),1092)</f>
        <v>1092</v>
      </c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</row>
    <row r="247" spans="1:26" ht="21" customHeight="1">
      <c r="A247" s="240" t="str">
        <f ca="1">IFERROR(__xludf.DUMMYFUNCTION("""COMPUTED_VALUE"""),"Arraias")</f>
        <v>Arraias</v>
      </c>
      <c r="B247" s="240" t="str">
        <f ca="1">IFERROR(__xludf.DUMMYFUNCTION("""COMPUTED_VALUE"""),"Aurora do Tocantins")</f>
        <v>Aurora do Tocantins</v>
      </c>
      <c r="C247" s="240" t="str">
        <f ca="1">IFERROR(__xludf.DUMMYFUNCTION("""COMPUTED_VALUE"""),"A.A. A ESCOLA/COL. EST.PROF. RANULFA")</f>
        <v>A.A. A ESCOLA/COL. EST.PROF. RANULFA</v>
      </c>
      <c r="D247" s="241" t="str">
        <f ca="1">IFERROR(__xludf.DUMMYFUNCTION("""COMPUTED_VALUE"""),"01133691000164")</f>
        <v>01133691000164</v>
      </c>
      <c r="E247" s="241" t="str">
        <f ca="1">IFERROR(__xludf.DUMMYFUNCTION("""COMPUTED_VALUE"""),"001")</f>
        <v>001</v>
      </c>
      <c r="F247" s="241" t="str">
        <f ca="1">IFERROR(__xludf.DUMMYFUNCTION("""COMPUTED_VALUE"""),"3977")</f>
        <v>3977</v>
      </c>
      <c r="G247" s="240" t="str">
        <f ca="1">IFERROR(__xludf.DUMMYFUNCTION("""COMPUTED_VALUE"""),"102725")</f>
        <v>102725</v>
      </c>
      <c r="H247" s="240" t="str">
        <f ca="1">IFERROR(__xludf.DUMMYFUNCTION("""COMPUTED_VALUE"""),"E.F. PARCIAL")</f>
        <v>E.F. PARCIAL</v>
      </c>
      <c r="I247" s="242">
        <f ca="1">IFERROR(__xludf.DUMMYFUNCTION("""COMPUTED_VALUE"""),588)</f>
        <v>588</v>
      </c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</row>
    <row r="248" spans="1:26" ht="21" customHeight="1">
      <c r="A248" s="240" t="str">
        <f ca="1">IFERROR(__xludf.DUMMYFUNCTION("""COMPUTED_VALUE"""),"Arraias")</f>
        <v>Arraias</v>
      </c>
      <c r="B248" s="240" t="str">
        <f ca="1">IFERROR(__xludf.DUMMYFUNCTION("""COMPUTED_VALUE"""),"Aurora do Tocantins")</f>
        <v>Aurora do Tocantins</v>
      </c>
      <c r="C248" s="240" t="str">
        <f ca="1">IFERROR(__xludf.DUMMYFUNCTION("""COMPUTED_VALUE"""),"A.A. A ESCOLA/COL. EST.PROF. RANULFA")</f>
        <v>A.A. A ESCOLA/COL. EST.PROF. RANULFA</v>
      </c>
      <c r="D248" s="241" t="str">
        <f ca="1">IFERROR(__xludf.DUMMYFUNCTION("""COMPUTED_VALUE"""),"01133691000164")</f>
        <v>01133691000164</v>
      </c>
      <c r="E248" s="241" t="str">
        <f ca="1">IFERROR(__xludf.DUMMYFUNCTION("""COMPUTED_VALUE"""),"001")</f>
        <v>001</v>
      </c>
      <c r="F248" s="241" t="str">
        <f ca="1">IFERROR(__xludf.DUMMYFUNCTION("""COMPUTED_VALUE"""),"3977")</f>
        <v>3977</v>
      </c>
      <c r="G248" s="240" t="str">
        <f ca="1">IFERROR(__xludf.DUMMYFUNCTION("""COMPUTED_VALUE"""),"102725")</f>
        <v>102725</v>
      </c>
      <c r="H248" s="240" t="str">
        <f ca="1">IFERROR(__xludf.DUMMYFUNCTION("""COMPUTED_VALUE"""),"AEE")</f>
        <v>AEE</v>
      </c>
      <c r="I248" s="242">
        <f ca="1">IFERROR(__xludf.DUMMYFUNCTION("""COMPUTED_VALUE"""),168)</f>
        <v>168</v>
      </c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</row>
    <row r="249" spans="1:26" ht="21" customHeight="1">
      <c r="A249" s="240" t="str">
        <f ca="1">IFERROR(__xludf.DUMMYFUNCTION("""COMPUTED_VALUE"""),"Arraias")</f>
        <v>Arraias</v>
      </c>
      <c r="B249" s="240" t="str">
        <f ca="1">IFERROR(__xludf.DUMMYFUNCTION("""COMPUTED_VALUE"""),"Aurora do Tocantins")</f>
        <v>Aurora do Tocantins</v>
      </c>
      <c r="C249" s="240" t="str">
        <f ca="1">IFERROR(__xludf.DUMMYFUNCTION("""COMPUTED_VALUE"""),"A.A. A ESCOLA/COL. EST.PROF. RANULFA")</f>
        <v>A.A. A ESCOLA/COL. EST.PROF. RANULFA</v>
      </c>
      <c r="D249" s="241" t="str">
        <f ca="1">IFERROR(__xludf.DUMMYFUNCTION("""COMPUTED_VALUE"""),"01133691000164")</f>
        <v>01133691000164</v>
      </c>
      <c r="E249" s="241" t="str">
        <f ca="1">IFERROR(__xludf.DUMMYFUNCTION("""COMPUTED_VALUE"""),"001")</f>
        <v>001</v>
      </c>
      <c r="F249" s="241" t="str">
        <f ca="1">IFERROR(__xludf.DUMMYFUNCTION("""COMPUTED_VALUE"""),"3977")</f>
        <v>3977</v>
      </c>
      <c r="G249" s="240" t="str">
        <f ca="1">IFERROR(__xludf.DUMMYFUNCTION("""COMPUTED_VALUE"""),"102725")</f>
        <v>102725</v>
      </c>
      <c r="H249" s="240" t="str">
        <f ca="1">IFERROR(__xludf.DUMMYFUNCTION("""COMPUTED_VALUE"""),"ENS MEDIO PARCIAL")</f>
        <v>ENS MEDIO PARCIAL</v>
      </c>
      <c r="I249" s="242">
        <f ca="1">IFERROR(__xludf.DUMMYFUNCTION("""COMPUTED_VALUE"""),3528)</f>
        <v>3528</v>
      </c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</row>
    <row r="250" spans="1:26" ht="21" customHeight="1">
      <c r="A250" s="240" t="str">
        <f ca="1">IFERROR(__xludf.DUMMYFUNCTION("""COMPUTED_VALUE"""),"Arraias")</f>
        <v>Arraias</v>
      </c>
      <c r="B250" s="240" t="str">
        <f ca="1">IFERROR(__xludf.DUMMYFUNCTION("""COMPUTED_VALUE"""),"Aurora do Tocantins")</f>
        <v>Aurora do Tocantins</v>
      </c>
      <c r="C250" s="240" t="str">
        <f ca="1">IFERROR(__xludf.DUMMYFUNCTION("""COMPUTED_VALUE"""),"ASS. APOIO ESCOLA ESTADUAL DONA INES")</f>
        <v>ASS. APOIO ESCOLA ESTADUAL DONA INES</v>
      </c>
      <c r="D250" s="241" t="str">
        <f ca="1">IFERROR(__xludf.DUMMYFUNCTION("""COMPUTED_VALUE"""),"01190419000116")</f>
        <v>01190419000116</v>
      </c>
      <c r="E250" s="241" t="str">
        <f ca="1">IFERROR(__xludf.DUMMYFUNCTION("""COMPUTED_VALUE"""),"001")</f>
        <v>001</v>
      </c>
      <c r="F250" s="241" t="str">
        <f ca="1">IFERROR(__xludf.DUMMYFUNCTION("""COMPUTED_VALUE"""),"3977")</f>
        <v>3977</v>
      </c>
      <c r="G250" s="240" t="str">
        <f ca="1">IFERROR(__xludf.DUMMYFUNCTION("""COMPUTED_VALUE"""),"109703")</f>
        <v>109703</v>
      </c>
      <c r="H250" s="240" t="str">
        <f ca="1">IFERROR(__xludf.DUMMYFUNCTION("""COMPUTED_VALUE"""),"E.F. PARCIAL")</f>
        <v>E.F. PARCIAL</v>
      </c>
      <c r="I250" s="242">
        <f ca="1">IFERROR(__xludf.DUMMYFUNCTION("""COMPUTED_VALUE"""),2436)</f>
        <v>2436</v>
      </c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</row>
    <row r="251" spans="1:26" ht="21" customHeight="1">
      <c r="A251" s="240" t="str">
        <f ca="1">IFERROR(__xludf.DUMMYFUNCTION("""COMPUTED_VALUE"""),"Arraias")</f>
        <v>Arraias</v>
      </c>
      <c r="B251" s="240" t="str">
        <f ca="1">IFERROR(__xludf.DUMMYFUNCTION("""COMPUTED_VALUE"""),"Combinado")</f>
        <v>Combinado</v>
      </c>
      <c r="C251" s="240" t="str">
        <f ca="1">IFERROR(__xludf.DUMMYFUNCTION("""COMPUTED_VALUE"""),"A.A. ESC. EST. AUGUSTA VAZ DOS S.TEIXEIRA")</f>
        <v>A.A. ESC. EST. AUGUSTA VAZ DOS S.TEIXEIRA</v>
      </c>
      <c r="D251" s="241" t="str">
        <f ca="1">IFERROR(__xludf.DUMMYFUNCTION("""COMPUTED_VALUE"""),"01186458000140")</f>
        <v>01186458000140</v>
      </c>
      <c r="E251" s="241" t="str">
        <f ca="1">IFERROR(__xludf.DUMMYFUNCTION("""COMPUTED_VALUE"""),"001")</f>
        <v>001</v>
      </c>
      <c r="F251" s="241" t="str">
        <f ca="1">IFERROR(__xludf.DUMMYFUNCTION("""COMPUTED_VALUE"""),"3977")</f>
        <v>3977</v>
      </c>
      <c r="G251" s="240" t="str">
        <f ca="1">IFERROR(__xludf.DUMMYFUNCTION("""COMPUTED_VALUE"""),"56855")</f>
        <v>56855</v>
      </c>
      <c r="H251" s="240" t="str">
        <f ca="1">IFERROR(__xludf.DUMMYFUNCTION("""COMPUTED_VALUE"""),"E.F. PARCIAL")</f>
        <v>E.F. PARCIAL</v>
      </c>
      <c r="I251" s="242">
        <f ca="1">IFERROR(__xludf.DUMMYFUNCTION("""COMPUTED_VALUE"""),3234)</f>
        <v>3234</v>
      </c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</row>
    <row r="252" spans="1:26" ht="21" customHeight="1">
      <c r="A252" s="240" t="str">
        <f ca="1">IFERROR(__xludf.DUMMYFUNCTION("""COMPUTED_VALUE"""),"Arraias")</f>
        <v>Arraias</v>
      </c>
      <c r="B252" s="240" t="str">
        <f ca="1">IFERROR(__xludf.DUMMYFUNCTION("""COMPUTED_VALUE"""),"Combinado")</f>
        <v>Combinado</v>
      </c>
      <c r="C252" s="240" t="str">
        <f ca="1">IFERROR(__xludf.DUMMYFUNCTION("""COMPUTED_VALUE"""),"A.A. ESC. EST. AUGUSTA VAZ DOS S.TEIXEIRA")</f>
        <v>A.A. ESC. EST. AUGUSTA VAZ DOS S.TEIXEIRA</v>
      </c>
      <c r="D252" s="241" t="str">
        <f ca="1">IFERROR(__xludf.DUMMYFUNCTION("""COMPUTED_VALUE"""),"01186458000140")</f>
        <v>01186458000140</v>
      </c>
      <c r="E252" s="241" t="str">
        <f ca="1">IFERROR(__xludf.DUMMYFUNCTION("""COMPUTED_VALUE"""),"001")</f>
        <v>001</v>
      </c>
      <c r="F252" s="241" t="str">
        <f ca="1">IFERROR(__xludf.DUMMYFUNCTION("""COMPUTED_VALUE"""),"3977")</f>
        <v>3977</v>
      </c>
      <c r="G252" s="240" t="str">
        <f ca="1">IFERROR(__xludf.DUMMYFUNCTION("""COMPUTED_VALUE"""),"56855")</f>
        <v>56855</v>
      </c>
      <c r="H252" s="240" t="str">
        <f ca="1">IFERROR(__xludf.DUMMYFUNCTION("""COMPUTED_VALUE"""),"AEE")</f>
        <v>AEE</v>
      </c>
      <c r="I252" s="242">
        <f ca="1">IFERROR(__xludf.DUMMYFUNCTION("""COMPUTED_VALUE"""),336)</f>
        <v>336</v>
      </c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</row>
    <row r="253" spans="1:26" ht="21" customHeight="1">
      <c r="A253" s="240" t="str">
        <f ca="1">IFERROR(__xludf.DUMMYFUNCTION("""COMPUTED_VALUE"""),"Arraias")</f>
        <v>Arraias</v>
      </c>
      <c r="B253" s="240" t="str">
        <f ca="1">IFERROR(__xludf.DUMMYFUNCTION("""COMPUTED_VALUE"""),"Combinado")</f>
        <v>Combinado</v>
      </c>
      <c r="C253" s="240" t="str">
        <f ca="1">IFERROR(__xludf.DUMMYFUNCTION("""COMPUTED_VALUE"""),"A.A. DO COL. E.JOAQUIM DE SENA E SILVA")</f>
        <v>A.A. DO COL. E.JOAQUIM DE SENA E SILVA</v>
      </c>
      <c r="D253" s="241" t="str">
        <f ca="1">IFERROR(__xludf.DUMMYFUNCTION("""COMPUTED_VALUE"""),"01230223000108")</f>
        <v>01230223000108</v>
      </c>
      <c r="E253" s="241" t="str">
        <f ca="1">IFERROR(__xludf.DUMMYFUNCTION("""COMPUTED_VALUE"""),"001")</f>
        <v>001</v>
      </c>
      <c r="F253" s="241" t="str">
        <f ca="1">IFERROR(__xludf.DUMMYFUNCTION("""COMPUTED_VALUE"""),"3977")</f>
        <v>3977</v>
      </c>
      <c r="G253" s="240" t="str">
        <f ca="1">IFERROR(__xludf.DUMMYFUNCTION("""COMPUTED_VALUE"""),"232106")</f>
        <v>232106</v>
      </c>
      <c r="H253" s="240" t="str">
        <f ca="1">IFERROR(__xludf.DUMMYFUNCTION("""COMPUTED_VALUE"""),"ENS MEDIO PARCIAL")</f>
        <v>ENS MEDIO PARCIAL</v>
      </c>
      <c r="I253" s="242">
        <f ca="1">IFERROR(__xludf.DUMMYFUNCTION("""COMPUTED_VALUE"""),4515)</f>
        <v>4515</v>
      </c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</row>
    <row r="254" spans="1:26" ht="21" customHeight="1">
      <c r="A254" s="240" t="str">
        <f ca="1">IFERROR(__xludf.DUMMYFUNCTION("""COMPUTED_VALUE"""),"Arraias")</f>
        <v>Arraias</v>
      </c>
      <c r="B254" s="240" t="str">
        <f ca="1">IFERROR(__xludf.DUMMYFUNCTION("""COMPUTED_VALUE"""),"Lavandeira")</f>
        <v>Lavandeira</v>
      </c>
      <c r="C254" s="240" t="str">
        <f ca="1">IFERROR(__xludf.DUMMYFUNCTION("""COMPUTED_VALUE"""),"ASSOC. DE APOIO ESC. EST. LAVANDEIRA")</f>
        <v>ASSOC. DE APOIO ESC. EST. LAVANDEIRA</v>
      </c>
      <c r="D254" s="241" t="str">
        <f ca="1">IFERROR(__xludf.DUMMYFUNCTION("""COMPUTED_VALUE"""),"01136024000135")</f>
        <v>01136024000135</v>
      </c>
      <c r="E254" s="241" t="str">
        <f ca="1">IFERROR(__xludf.DUMMYFUNCTION("""COMPUTED_VALUE"""),"001")</f>
        <v>001</v>
      </c>
      <c r="F254" s="241" t="str">
        <f ca="1">IFERROR(__xludf.DUMMYFUNCTION("""COMPUTED_VALUE"""),"3977")</f>
        <v>3977</v>
      </c>
      <c r="G254" s="240" t="str">
        <f ca="1">IFERROR(__xludf.DUMMYFUNCTION("""COMPUTED_VALUE"""),"231916")</f>
        <v>231916</v>
      </c>
      <c r="H254" s="240" t="str">
        <f ca="1">IFERROR(__xludf.DUMMYFUNCTION("""COMPUTED_VALUE"""),"E.F. PARCIAL")</f>
        <v>E.F. PARCIAL</v>
      </c>
      <c r="I254" s="242">
        <f ca="1">IFERROR(__xludf.DUMMYFUNCTION("""COMPUTED_VALUE"""),2373)</f>
        <v>2373</v>
      </c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</row>
    <row r="255" spans="1:26" ht="21" customHeight="1">
      <c r="A255" s="240" t="str">
        <f ca="1">IFERROR(__xludf.DUMMYFUNCTION("""COMPUTED_VALUE"""),"Arraias")</f>
        <v>Arraias</v>
      </c>
      <c r="B255" s="240" t="str">
        <f ca="1">IFERROR(__xludf.DUMMYFUNCTION("""COMPUTED_VALUE"""),"Lavandeira")</f>
        <v>Lavandeira</v>
      </c>
      <c r="C255" s="240" t="str">
        <f ca="1">IFERROR(__xludf.DUMMYFUNCTION("""COMPUTED_VALUE"""),"ASSOC. DE APOIO ESC. EST. LAVANDEIRA")</f>
        <v>ASSOC. DE APOIO ESC. EST. LAVANDEIRA</v>
      </c>
      <c r="D255" s="241" t="str">
        <f ca="1">IFERROR(__xludf.DUMMYFUNCTION("""COMPUTED_VALUE"""),"01136024000135")</f>
        <v>01136024000135</v>
      </c>
      <c r="E255" s="241" t="str">
        <f ca="1">IFERROR(__xludf.DUMMYFUNCTION("""COMPUTED_VALUE"""),"001")</f>
        <v>001</v>
      </c>
      <c r="F255" s="241" t="str">
        <f ca="1">IFERROR(__xludf.DUMMYFUNCTION("""COMPUTED_VALUE"""),"3977")</f>
        <v>3977</v>
      </c>
      <c r="G255" s="240" t="str">
        <f ca="1">IFERROR(__xludf.DUMMYFUNCTION("""COMPUTED_VALUE"""),"231916")</f>
        <v>231916</v>
      </c>
      <c r="H255" s="240" t="str">
        <f ca="1">IFERROR(__xludf.DUMMYFUNCTION("""COMPUTED_VALUE"""),"AEE")</f>
        <v>AEE</v>
      </c>
      <c r="I255" s="242">
        <f ca="1">IFERROR(__xludf.DUMMYFUNCTION("""COMPUTED_VALUE"""),420)</f>
        <v>420</v>
      </c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</row>
    <row r="256" spans="1:26" ht="21" customHeight="1">
      <c r="A256" s="240" t="str">
        <f ca="1">IFERROR(__xludf.DUMMYFUNCTION("""COMPUTED_VALUE"""),"Arraias")</f>
        <v>Arraias</v>
      </c>
      <c r="B256" s="240" t="str">
        <f ca="1">IFERROR(__xludf.DUMMYFUNCTION("""COMPUTED_VALUE"""),"Lavandeira")</f>
        <v>Lavandeira</v>
      </c>
      <c r="C256" s="240" t="str">
        <f ca="1">IFERROR(__xludf.DUMMYFUNCTION("""COMPUTED_VALUE"""),"ASSOC. DE APOIO ESC. EST. LAVANDEIRA")</f>
        <v>ASSOC. DE APOIO ESC. EST. LAVANDEIRA</v>
      </c>
      <c r="D256" s="241" t="str">
        <f ca="1">IFERROR(__xludf.DUMMYFUNCTION("""COMPUTED_VALUE"""),"01136024000135")</f>
        <v>01136024000135</v>
      </c>
      <c r="E256" s="241" t="str">
        <f ca="1">IFERROR(__xludf.DUMMYFUNCTION("""COMPUTED_VALUE"""),"001")</f>
        <v>001</v>
      </c>
      <c r="F256" s="241" t="str">
        <f ca="1">IFERROR(__xludf.DUMMYFUNCTION("""COMPUTED_VALUE"""),"3977")</f>
        <v>3977</v>
      </c>
      <c r="G256" s="240" t="str">
        <f ca="1">IFERROR(__xludf.DUMMYFUNCTION("""COMPUTED_VALUE"""),"231916")</f>
        <v>231916</v>
      </c>
      <c r="H256" s="240" t="str">
        <f ca="1">IFERROR(__xludf.DUMMYFUNCTION("""COMPUTED_VALUE"""),"ENS MEDIO PARCIAL")</f>
        <v>ENS MEDIO PARCIAL</v>
      </c>
      <c r="I256" s="242">
        <f ca="1">IFERROR(__xludf.DUMMYFUNCTION("""COMPUTED_VALUE"""),1701)</f>
        <v>1701</v>
      </c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</row>
    <row r="257" spans="1:26" ht="21" customHeight="1">
      <c r="A257" s="240" t="str">
        <f ca="1">IFERROR(__xludf.DUMMYFUNCTION("""COMPUTED_VALUE"""),"Arraias")</f>
        <v>Arraias</v>
      </c>
      <c r="B257" s="240" t="str">
        <f ca="1">IFERROR(__xludf.DUMMYFUNCTION("""COMPUTED_VALUE"""),"Novo Alegre")</f>
        <v>Novo Alegre</v>
      </c>
      <c r="C257" s="240" t="str">
        <f ca="1">IFERROR(__xludf.DUMMYFUNCTION("""COMPUTED_VALUE"""),"ASSOC. DE APOIO COL. EST. DR.JOAO D`ABREU")</f>
        <v>ASSOC. DE APOIO COL. EST. DR.JOAO D`ABREU</v>
      </c>
      <c r="D257" s="241" t="str">
        <f ca="1">IFERROR(__xludf.DUMMYFUNCTION("""COMPUTED_VALUE"""),"01146115000151")</f>
        <v>01146115000151</v>
      </c>
      <c r="E257" s="241" t="str">
        <f ca="1">IFERROR(__xludf.DUMMYFUNCTION("""COMPUTED_VALUE"""),"001")</f>
        <v>001</v>
      </c>
      <c r="F257" s="241" t="str">
        <f ca="1">IFERROR(__xludf.DUMMYFUNCTION("""COMPUTED_VALUE"""),"3977")</f>
        <v>3977</v>
      </c>
      <c r="G257" s="240" t="str">
        <f ca="1">IFERROR(__xludf.DUMMYFUNCTION("""COMPUTED_VALUE"""),"178845")</f>
        <v>178845</v>
      </c>
      <c r="H257" s="240" t="str">
        <f ca="1">IFERROR(__xludf.DUMMYFUNCTION("""COMPUTED_VALUE"""),"E.F. PARCIAL")</f>
        <v>E.F. PARCIAL</v>
      </c>
      <c r="I257" s="242">
        <f ca="1">IFERROR(__xludf.DUMMYFUNCTION("""COMPUTED_VALUE"""),4200)</f>
        <v>4200</v>
      </c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</row>
    <row r="258" spans="1:26" ht="21" customHeight="1">
      <c r="A258" s="240" t="str">
        <f ca="1">IFERROR(__xludf.DUMMYFUNCTION("""COMPUTED_VALUE"""),"Arraias")</f>
        <v>Arraias</v>
      </c>
      <c r="B258" s="240" t="str">
        <f ca="1">IFERROR(__xludf.DUMMYFUNCTION("""COMPUTED_VALUE"""),"Novo Alegre")</f>
        <v>Novo Alegre</v>
      </c>
      <c r="C258" s="240" t="str">
        <f ca="1">IFERROR(__xludf.DUMMYFUNCTION("""COMPUTED_VALUE"""),"ASSOC. DE APOIO COL. EST. DR.JOAO D`ABREU")</f>
        <v>ASSOC. DE APOIO COL. EST. DR.JOAO D`ABREU</v>
      </c>
      <c r="D258" s="241" t="str">
        <f ca="1">IFERROR(__xludf.DUMMYFUNCTION("""COMPUTED_VALUE"""),"01146115000151")</f>
        <v>01146115000151</v>
      </c>
      <c r="E258" s="241" t="str">
        <f ca="1">IFERROR(__xludf.DUMMYFUNCTION("""COMPUTED_VALUE"""),"001")</f>
        <v>001</v>
      </c>
      <c r="F258" s="241" t="str">
        <f ca="1">IFERROR(__xludf.DUMMYFUNCTION("""COMPUTED_VALUE"""),"3977")</f>
        <v>3977</v>
      </c>
      <c r="G258" s="240" t="str">
        <f ca="1">IFERROR(__xludf.DUMMYFUNCTION("""COMPUTED_VALUE"""),"178845")</f>
        <v>178845</v>
      </c>
      <c r="H258" s="240" t="str">
        <f ca="1">IFERROR(__xludf.DUMMYFUNCTION("""COMPUTED_VALUE"""),"AEE")</f>
        <v>AEE</v>
      </c>
      <c r="I258" s="242">
        <f ca="1">IFERROR(__xludf.DUMMYFUNCTION("""COMPUTED_VALUE"""),399)</f>
        <v>399</v>
      </c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</row>
    <row r="259" spans="1:26" ht="21" customHeight="1">
      <c r="A259" s="240" t="str">
        <f ca="1">IFERROR(__xludf.DUMMYFUNCTION("""COMPUTED_VALUE"""),"Arraias")</f>
        <v>Arraias</v>
      </c>
      <c r="B259" s="240" t="str">
        <f ca="1">IFERROR(__xludf.DUMMYFUNCTION("""COMPUTED_VALUE"""),"Novo Alegre")</f>
        <v>Novo Alegre</v>
      </c>
      <c r="C259" s="240" t="str">
        <f ca="1">IFERROR(__xludf.DUMMYFUNCTION("""COMPUTED_VALUE"""),"ASSOC. DE APOIO COL. EST. DR.JOAO D`ABREU")</f>
        <v>ASSOC. DE APOIO COL. EST. DR.JOAO D`ABREU</v>
      </c>
      <c r="D259" s="241" t="str">
        <f ca="1">IFERROR(__xludf.DUMMYFUNCTION("""COMPUTED_VALUE"""),"01146115000151")</f>
        <v>01146115000151</v>
      </c>
      <c r="E259" s="241" t="str">
        <f ca="1">IFERROR(__xludf.DUMMYFUNCTION("""COMPUTED_VALUE"""),"001")</f>
        <v>001</v>
      </c>
      <c r="F259" s="241" t="str">
        <f ca="1">IFERROR(__xludf.DUMMYFUNCTION("""COMPUTED_VALUE"""),"3977")</f>
        <v>3977</v>
      </c>
      <c r="G259" s="240" t="str">
        <f ca="1">IFERROR(__xludf.DUMMYFUNCTION("""COMPUTED_VALUE"""),"178845")</f>
        <v>178845</v>
      </c>
      <c r="H259" s="240" t="str">
        <f ca="1">IFERROR(__xludf.DUMMYFUNCTION("""COMPUTED_VALUE"""),"ENS MEDIO PARCIAL")</f>
        <v>ENS MEDIO PARCIAL</v>
      </c>
      <c r="I259" s="242">
        <f ca="1">IFERROR(__xludf.DUMMYFUNCTION("""COMPUTED_VALUE"""),1491)</f>
        <v>1491</v>
      </c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</row>
    <row r="260" spans="1:26" ht="21" customHeight="1">
      <c r="A260" s="240" t="str">
        <f ca="1">IFERROR(__xludf.DUMMYFUNCTION("""COMPUTED_VALUE"""),"Arraias")</f>
        <v>Arraias</v>
      </c>
      <c r="B260" s="240" t="str">
        <f ca="1">IFERROR(__xludf.DUMMYFUNCTION("""COMPUTED_VALUE"""),"Parana")</f>
        <v>Parana</v>
      </c>
      <c r="C260" s="240" t="str">
        <f ca="1">IFERROR(__xludf.DUMMYFUNCTION("""COMPUTED_VALUE"""),"A.A. DO COL. EST. DES.VIRGILIO DE M.FRANCO")</f>
        <v>A.A. DO COL. EST. DES.VIRGILIO DE M.FRANCO</v>
      </c>
      <c r="D260" s="241" t="str">
        <f ca="1">IFERROR(__xludf.DUMMYFUNCTION("""COMPUTED_VALUE"""),"01284635000120")</f>
        <v>01284635000120</v>
      </c>
      <c r="E260" s="241" t="str">
        <f ca="1">IFERROR(__xludf.DUMMYFUNCTION("""COMPUTED_VALUE"""),"001")</f>
        <v>001</v>
      </c>
      <c r="F260" s="241" t="str">
        <f ca="1">IFERROR(__xludf.DUMMYFUNCTION("""COMPUTED_VALUE"""),"4790")</f>
        <v>4790</v>
      </c>
      <c r="G260" s="240" t="str">
        <f ca="1">IFERROR(__xludf.DUMMYFUNCTION("""COMPUTED_VALUE"""),"232327")</f>
        <v>232327</v>
      </c>
      <c r="H260" s="240" t="str">
        <f ca="1">IFERROR(__xludf.DUMMYFUNCTION("""COMPUTED_VALUE"""),"ENS MEDIO PARCIAL")</f>
        <v>ENS MEDIO PARCIAL</v>
      </c>
      <c r="I260" s="242">
        <f ca="1">IFERROR(__xludf.DUMMYFUNCTION("""COMPUTED_VALUE"""),6699)</f>
        <v>6699</v>
      </c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</row>
    <row r="261" spans="1:26" ht="21" customHeight="1">
      <c r="A261" s="240" t="str">
        <f ca="1">IFERROR(__xludf.DUMMYFUNCTION("""COMPUTED_VALUE"""),"Arraias")</f>
        <v>Arraias</v>
      </c>
      <c r="B261" s="240" t="str">
        <f ca="1">IFERROR(__xludf.DUMMYFUNCTION("""COMPUTED_VALUE"""),"Parana")</f>
        <v>Parana</v>
      </c>
      <c r="C261" s="240" t="str">
        <f ca="1">IFERROR(__xludf.DUMMYFUNCTION("""COMPUTED_VALUE"""),"A.A. DO COL. EST. DES.VIRGILIO DE M.FRANCO")</f>
        <v>A.A. DO COL. EST. DES.VIRGILIO DE M.FRANCO</v>
      </c>
      <c r="D261" s="241" t="str">
        <f ca="1">IFERROR(__xludf.DUMMYFUNCTION("""COMPUTED_VALUE"""),"01284635000120")</f>
        <v>01284635000120</v>
      </c>
      <c r="E261" s="241" t="str">
        <f ca="1">IFERROR(__xludf.DUMMYFUNCTION("""COMPUTED_VALUE"""),"001")</f>
        <v>001</v>
      </c>
      <c r="F261" s="241" t="str">
        <f ca="1">IFERROR(__xludf.DUMMYFUNCTION("""COMPUTED_VALUE"""),"4790")</f>
        <v>4790</v>
      </c>
      <c r="G261" s="240" t="str">
        <f ca="1">IFERROR(__xludf.DUMMYFUNCTION("""COMPUTED_VALUE"""),"232327")</f>
        <v>232327</v>
      </c>
      <c r="H261" s="240" t="str">
        <f ca="1">IFERROR(__xludf.DUMMYFUNCTION("""COMPUTED_VALUE"""),"EJA")</f>
        <v>EJA</v>
      </c>
      <c r="I261" s="242">
        <f ca="1">IFERROR(__xludf.DUMMYFUNCTION("""COMPUTED_VALUE"""),903)</f>
        <v>903</v>
      </c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</row>
    <row r="262" spans="1:26" ht="21" customHeight="1">
      <c r="A262" s="240" t="str">
        <f ca="1">IFERROR(__xludf.DUMMYFUNCTION("""COMPUTED_VALUE"""),"Arraias")</f>
        <v>Arraias</v>
      </c>
      <c r="B262" s="240" t="str">
        <f ca="1">IFERROR(__xludf.DUMMYFUNCTION("""COMPUTED_VALUE"""),"Parana")</f>
        <v>Parana</v>
      </c>
      <c r="C262" s="240" t="str">
        <f ca="1">IFERROR(__xludf.DUMMYFUNCTION("""COMPUTED_VALUE"""),"A.A. DA ESC. EST.EUCLIDES BEZERRA GERAIS")</f>
        <v>A.A. DA ESC. EST.EUCLIDES BEZERRA GERAIS</v>
      </c>
      <c r="D262" s="241" t="str">
        <f ca="1">IFERROR(__xludf.DUMMYFUNCTION("""COMPUTED_VALUE"""),"01401950000190")</f>
        <v>01401950000190</v>
      </c>
      <c r="E262" s="241" t="str">
        <f ca="1">IFERROR(__xludf.DUMMYFUNCTION("""COMPUTED_VALUE"""),"001")</f>
        <v>001</v>
      </c>
      <c r="F262" s="241" t="str">
        <f ca="1">IFERROR(__xludf.DUMMYFUNCTION("""COMPUTED_VALUE"""),"0541")</f>
        <v>0541</v>
      </c>
      <c r="G262" s="240" t="str">
        <f ca="1">IFERROR(__xludf.DUMMYFUNCTION("""COMPUTED_VALUE"""),"232483")</f>
        <v>232483</v>
      </c>
      <c r="H262" s="240" t="str">
        <f ca="1">IFERROR(__xludf.DUMMYFUNCTION("""COMPUTED_VALUE"""),"E.F. PARCIAL")</f>
        <v>E.F. PARCIAL</v>
      </c>
      <c r="I262" s="242">
        <f ca="1">IFERROR(__xludf.DUMMYFUNCTION("""COMPUTED_VALUE"""),9198)</f>
        <v>9198</v>
      </c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</row>
    <row r="263" spans="1:26" ht="21" customHeight="1">
      <c r="A263" s="240" t="str">
        <f ca="1">IFERROR(__xludf.DUMMYFUNCTION("""COMPUTED_VALUE"""),"Arraias")</f>
        <v>Arraias</v>
      </c>
      <c r="B263" s="240" t="str">
        <f ca="1">IFERROR(__xludf.DUMMYFUNCTION("""COMPUTED_VALUE"""),"Parana")</f>
        <v>Parana</v>
      </c>
      <c r="C263" s="240" t="str">
        <f ca="1">IFERROR(__xludf.DUMMYFUNCTION("""COMPUTED_VALUE"""),"A.A. DA ESC. EST.EUCLIDES BEZERRA GERAIS")</f>
        <v>A.A. DA ESC. EST.EUCLIDES BEZERRA GERAIS</v>
      </c>
      <c r="D263" s="241" t="str">
        <f ca="1">IFERROR(__xludf.DUMMYFUNCTION("""COMPUTED_VALUE"""),"01401950000190")</f>
        <v>01401950000190</v>
      </c>
      <c r="E263" s="241" t="str">
        <f ca="1">IFERROR(__xludf.DUMMYFUNCTION("""COMPUTED_VALUE"""),"001")</f>
        <v>001</v>
      </c>
      <c r="F263" s="241" t="str">
        <f ca="1">IFERROR(__xludf.DUMMYFUNCTION("""COMPUTED_VALUE"""),"0541")</f>
        <v>0541</v>
      </c>
      <c r="G263" s="240" t="str">
        <f ca="1">IFERROR(__xludf.DUMMYFUNCTION("""COMPUTED_VALUE"""),"232483")</f>
        <v>232483</v>
      </c>
      <c r="H263" s="240" t="str">
        <f ca="1">IFERROR(__xludf.DUMMYFUNCTION("""COMPUTED_VALUE"""),"AEE")</f>
        <v>AEE</v>
      </c>
      <c r="I263" s="242">
        <f ca="1">IFERROR(__xludf.DUMMYFUNCTION("""COMPUTED_VALUE"""),399)</f>
        <v>399</v>
      </c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</row>
    <row r="264" spans="1:26" ht="21" customHeight="1">
      <c r="A264" s="240" t="str">
        <f ca="1">IFERROR(__xludf.DUMMYFUNCTION("""COMPUTED_VALUE"""),"Arraias")</f>
        <v>Arraias</v>
      </c>
      <c r="B264" s="240" t="str">
        <f ca="1">IFERROR(__xludf.DUMMYFUNCTION("""COMPUTED_VALUE"""),"Parana")</f>
        <v>Parana</v>
      </c>
      <c r="C264" s="240" t="str">
        <f ca="1">IFERROR(__xludf.DUMMYFUNCTION("""COMPUTED_VALUE"""),"A.A. A ESC. EST. REUNIDA SANTA RITA DO RIO PALMA")</f>
        <v>A.A. A ESC. EST. REUNIDA SANTA RITA DO RIO PALMA</v>
      </c>
      <c r="D264" s="241" t="str">
        <f ca="1">IFERROR(__xludf.DUMMYFUNCTION("""COMPUTED_VALUE"""),"03834784000141")</f>
        <v>03834784000141</v>
      </c>
      <c r="E264" s="241" t="str">
        <f ca="1">IFERROR(__xludf.DUMMYFUNCTION("""COMPUTED_VALUE"""),"001")</f>
        <v>001</v>
      </c>
      <c r="F264" s="241" t="str">
        <f ca="1">IFERROR(__xludf.DUMMYFUNCTION("""COMPUTED_VALUE"""),"0541")</f>
        <v>0541</v>
      </c>
      <c r="G264" s="240" t="str">
        <f ca="1">IFERROR(__xludf.DUMMYFUNCTION("""COMPUTED_VALUE"""),"113638")</f>
        <v>113638</v>
      </c>
      <c r="H264" s="240" t="str">
        <f ca="1">IFERROR(__xludf.DUMMYFUNCTION("""COMPUTED_VALUE"""),"E.F. PARCIAL")</f>
        <v>E.F. PARCIAL</v>
      </c>
      <c r="I264" s="242">
        <f ca="1">IFERROR(__xludf.DUMMYFUNCTION("""COMPUTED_VALUE"""),1260)</f>
        <v>1260</v>
      </c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</row>
    <row r="265" spans="1:26" ht="21" customHeight="1">
      <c r="A265" s="240" t="str">
        <f ca="1">IFERROR(__xludf.DUMMYFUNCTION("""COMPUTED_VALUE"""),"Arraias")</f>
        <v>Arraias</v>
      </c>
      <c r="B265" s="240" t="str">
        <f ca="1">IFERROR(__xludf.DUMMYFUNCTION("""COMPUTED_VALUE"""),"Parana")</f>
        <v>Parana</v>
      </c>
      <c r="C265" s="240" t="str">
        <f ca="1">IFERROR(__xludf.DUMMYFUNCTION("""COMPUTED_VALUE"""),"A.A. A ESC. EST. REUNIDA SANTA RITA DO RIO PALMA")</f>
        <v>A.A. A ESC. EST. REUNIDA SANTA RITA DO RIO PALMA</v>
      </c>
      <c r="D265" s="241" t="str">
        <f ca="1">IFERROR(__xludf.DUMMYFUNCTION("""COMPUTED_VALUE"""),"03834784000141")</f>
        <v>03834784000141</v>
      </c>
      <c r="E265" s="241" t="str">
        <f ca="1">IFERROR(__xludf.DUMMYFUNCTION("""COMPUTED_VALUE"""),"001")</f>
        <v>001</v>
      </c>
      <c r="F265" s="241" t="str">
        <f ca="1">IFERROR(__xludf.DUMMYFUNCTION("""COMPUTED_VALUE"""),"0541")</f>
        <v>0541</v>
      </c>
      <c r="G265" s="240" t="str">
        <f ca="1">IFERROR(__xludf.DUMMYFUNCTION("""COMPUTED_VALUE"""),"113638")</f>
        <v>113638</v>
      </c>
      <c r="H265" s="240" t="str">
        <f ca="1">IFERROR(__xludf.DUMMYFUNCTION("""COMPUTED_VALUE"""),"ENS MEDIO PARCIAL")</f>
        <v>ENS MEDIO PARCIAL</v>
      </c>
      <c r="I265" s="242">
        <f ca="1">IFERROR(__xludf.DUMMYFUNCTION("""COMPUTED_VALUE"""),966)</f>
        <v>966</v>
      </c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</row>
    <row r="266" spans="1:26" ht="21" customHeight="1">
      <c r="A266" s="240" t="str">
        <f ca="1">IFERROR(__xludf.DUMMYFUNCTION("""COMPUTED_VALUE"""),"Arraias")</f>
        <v>Arraias</v>
      </c>
      <c r="B266" s="240" t="str">
        <f ca="1">IFERROR(__xludf.DUMMYFUNCTION("""COMPUTED_VALUE"""),"Parana")</f>
        <v>Parana</v>
      </c>
      <c r="C266" s="240" t="str">
        <f ca="1">IFERROR(__xludf.DUMMYFUNCTION("""COMPUTED_VALUE"""),"ASSOC. DE APOIO A ESC. EST. REUNIDA FLORESTA")</f>
        <v>ASSOC. DE APOIO A ESC. EST. REUNIDA FLORESTA</v>
      </c>
      <c r="D266" s="241" t="str">
        <f ca="1">IFERROR(__xludf.DUMMYFUNCTION("""COMPUTED_VALUE"""),"03834797000110")</f>
        <v>03834797000110</v>
      </c>
      <c r="E266" s="241" t="str">
        <f ca="1">IFERROR(__xludf.DUMMYFUNCTION("""COMPUTED_VALUE"""),"001")</f>
        <v>001</v>
      </c>
      <c r="F266" s="241" t="str">
        <f ca="1">IFERROR(__xludf.DUMMYFUNCTION("""COMPUTED_VALUE"""),"0541")</f>
        <v>0541</v>
      </c>
      <c r="G266" s="240" t="str">
        <f ca="1">IFERROR(__xludf.DUMMYFUNCTION("""COMPUTED_VALUE"""),"113247")</f>
        <v>113247</v>
      </c>
      <c r="H266" s="240" t="str">
        <f ca="1">IFERROR(__xludf.DUMMYFUNCTION("""COMPUTED_VALUE"""),"E.F. PARCIAL")</f>
        <v>E.F. PARCIAL</v>
      </c>
      <c r="I266" s="242">
        <f ca="1">IFERROR(__xludf.DUMMYFUNCTION("""COMPUTED_VALUE"""),1008)</f>
        <v>1008</v>
      </c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</row>
    <row r="267" spans="1:26" ht="21" customHeight="1">
      <c r="A267" s="240" t="str">
        <f ca="1">IFERROR(__xludf.DUMMYFUNCTION("""COMPUTED_VALUE"""),"Arraias")</f>
        <v>Arraias</v>
      </c>
      <c r="B267" s="240" t="str">
        <f ca="1">IFERROR(__xludf.DUMMYFUNCTION("""COMPUTED_VALUE"""),"Parana")</f>
        <v>Parana</v>
      </c>
      <c r="C267" s="240" t="str">
        <f ca="1">IFERROR(__xludf.DUMMYFUNCTION("""COMPUTED_VALUE"""),"ASSOC. DE APOIO A ESC. EST. REUNIDA FLORESTA")</f>
        <v>ASSOC. DE APOIO A ESC. EST. REUNIDA FLORESTA</v>
      </c>
      <c r="D267" s="241" t="str">
        <f ca="1">IFERROR(__xludf.DUMMYFUNCTION("""COMPUTED_VALUE"""),"03834797000110")</f>
        <v>03834797000110</v>
      </c>
      <c r="E267" s="241" t="str">
        <f ca="1">IFERROR(__xludf.DUMMYFUNCTION("""COMPUTED_VALUE"""),"001")</f>
        <v>001</v>
      </c>
      <c r="F267" s="241" t="str">
        <f ca="1">IFERROR(__xludf.DUMMYFUNCTION("""COMPUTED_VALUE"""),"0541")</f>
        <v>0541</v>
      </c>
      <c r="G267" s="240" t="str">
        <f ca="1">IFERROR(__xludf.DUMMYFUNCTION("""COMPUTED_VALUE"""),"113247")</f>
        <v>113247</v>
      </c>
      <c r="H267" s="240" t="str">
        <f ca="1">IFERROR(__xludf.DUMMYFUNCTION("""COMPUTED_VALUE"""),"AEE")</f>
        <v>AEE</v>
      </c>
      <c r="I267" s="242">
        <f ca="1">IFERROR(__xludf.DUMMYFUNCTION("""COMPUTED_VALUE"""),105)</f>
        <v>105</v>
      </c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</row>
    <row r="268" spans="1:26" ht="21" customHeight="1">
      <c r="A268" s="240" t="str">
        <f ca="1">IFERROR(__xludf.DUMMYFUNCTION("""COMPUTED_VALUE"""),"Arraias")</f>
        <v>Arraias</v>
      </c>
      <c r="B268" s="240" t="str">
        <f ca="1">IFERROR(__xludf.DUMMYFUNCTION("""COMPUTED_VALUE"""),"Parana")</f>
        <v>Parana</v>
      </c>
      <c r="C268" s="240" t="str">
        <f ca="1">IFERROR(__xludf.DUMMYFUNCTION("""COMPUTED_VALUE"""),"ASSOC. DE APOIO A ESC. EST. REUNIDA FLORESTA")</f>
        <v>ASSOC. DE APOIO A ESC. EST. REUNIDA FLORESTA</v>
      </c>
      <c r="D268" s="241" t="str">
        <f ca="1">IFERROR(__xludf.DUMMYFUNCTION("""COMPUTED_VALUE"""),"03834797000110")</f>
        <v>03834797000110</v>
      </c>
      <c r="E268" s="241" t="str">
        <f ca="1">IFERROR(__xludf.DUMMYFUNCTION("""COMPUTED_VALUE"""),"001")</f>
        <v>001</v>
      </c>
      <c r="F268" s="241" t="str">
        <f ca="1">IFERROR(__xludf.DUMMYFUNCTION("""COMPUTED_VALUE"""),"0541")</f>
        <v>0541</v>
      </c>
      <c r="G268" s="240" t="str">
        <f ca="1">IFERROR(__xludf.DUMMYFUNCTION("""COMPUTED_VALUE"""),"113247")</f>
        <v>113247</v>
      </c>
      <c r="H268" s="240" t="str">
        <f ca="1">IFERROR(__xludf.DUMMYFUNCTION("""COMPUTED_VALUE"""),"ENS MEDIO PARCIAL")</f>
        <v>ENS MEDIO PARCIAL</v>
      </c>
      <c r="I268" s="242">
        <f ca="1">IFERROR(__xludf.DUMMYFUNCTION("""COMPUTED_VALUE"""),651)</f>
        <v>651</v>
      </c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</row>
    <row r="269" spans="1:26" ht="21" customHeight="1">
      <c r="A269" s="240" t="str">
        <f ca="1">IFERROR(__xludf.DUMMYFUNCTION("""COMPUTED_VALUE"""),"Colinas")</f>
        <v>Colinas</v>
      </c>
      <c r="B269" s="240" t="str">
        <f ca="1">IFERROR(__xludf.DUMMYFUNCTION("""COMPUTED_VALUE"""),"Arapoema")</f>
        <v>Arapoema</v>
      </c>
      <c r="C269" s="240" t="str">
        <f ca="1">IFERROR(__xludf.DUMMYFUNCTION("""COMPUTED_VALUE"""),"A.AP. COL. EST.RUILON DIAS CARNEIRO")</f>
        <v>A.AP. COL. EST.RUILON DIAS CARNEIRO</v>
      </c>
      <c r="D269" s="241" t="str">
        <f ca="1">IFERROR(__xludf.DUMMYFUNCTION("""COMPUTED_VALUE"""),"01133714000130")</f>
        <v>01133714000130</v>
      </c>
      <c r="E269" s="241" t="str">
        <f ca="1">IFERROR(__xludf.DUMMYFUNCTION("""COMPUTED_VALUE"""),"001")</f>
        <v>001</v>
      </c>
      <c r="F269" s="241" t="str">
        <f ca="1">IFERROR(__xludf.DUMMYFUNCTION("""COMPUTED_VALUE"""),"3974")</f>
        <v>3974</v>
      </c>
      <c r="G269" s="240" t="str">
        <f ca="1">IFERROR(__xludf.DUMMYFUNCTION("""COMPUTED_VALUE"""),"2290X")</f>
        <v>2290X</v>
      </c>
      <c r="H269" s="240" t="str">
        <f ca="1">IFERROR(__xludf.DUMMYFUNCTION("""COMPUTED_VALUE"""),"ENS MEDIO PARCIAL")</f>
        <v>ENS MEDIO PARCIAL</v>
      </c>
      <c r="I269" s="242">
        <f ca="1">IFERROR(__xludf.DUMMYFUNCTION("""COMPUTED_VALUE"""),5082)</f>
        <v>5082</v>
      </c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</row>
    <row r="270" spans="1:26" ht="21" customHeight="1">
      <c r="A270" s="240" t="str">
        <f ca="1">IFERROR(__xludf.DUMMYFUNCTION("""COMPUTED_VALUE"""),"Colinas")</f>
        <v>Colinas</v>
      </c>
      <c r="B270" s="240" t="str">
        <f ca="1">IFERROR(__xludf.DUMMYFUNCTION("""COMPUTED_VALUE"""),"Arapoema")</f>
        <v>Arapoema</v>
      </c>
      <c r="C270" s="240" t="str">
        <f ca="1">IFERROR(__xludf.DUMMYFUNCTION("""COMPUTED_VALUE"""),"A.A. E. EST. ANTONIO DELFINO GUIMARAES")</f>
        <v>A.A. E. EST. ANTONIO DELFINO GUIMARAES</v>
      </c>
      <c r="D270" s="241" t="str">
        <f ca="1">IFERROR(__xludf.DUMMYFUNCTION("""COMPUTED_VALUE"""),"01135998000102")</f>
        <v>01135998000102</v>
      </c>
      <c r="E270" s="241" t="str">
        <f ca="1">IFERROR(__xludf.DUMMYFUNCTION("""COMPUTED_VALUE"""),"001")</f>
        <v>001</v>
      </c>
      <c r="F270" s="241" t="str">
        <f ca="1">IFERROR(__xludf.DUMMYFUNCTION("""COMPUTED_VALUE"""),"3974")</f>
        <v>3974</v>
      </c>
      <c r="G270" s="240" t="str">
        <f ca="1">IFERROR(__xludf.DUMMYFUNCTION("""COMPUTED_VALUE"""),"2287X")</f>
        <v>2287X</v>
      </c>
      <c r="H270" s="240" t="str">
        <f ca="1">IFERROR(__xludf.DUMMYFUNCTION("""COMPUTED_VALUE"""),"E.F. PARCIAL")</f>
        <v>E.F. PARCIAL</v>
      </c>
      <c r="I270" s="242">
        <f ca="1">IFERROR(__xludf.DUMMYFUNCTION("""COMPUTED_VALUE"""),6804)</f>
        <v>6804</v>
      </c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</row>
    <row r="271" spans="1:26" ht="21" customHeight="1">
      <c r="A271" s="240" t="str">
        <f ca="1">IFERROR(__xludf.DUMMYFUNCTION("""COMPUTED_VALUE"""),"Colinas")</f>
        <v>Colinas</v>
      </c>
      <c r="B271" s="240" t="str">
        <f ca="1">IFERROR(__xludf.DUMMYFUNCTION("""COMPUTED_VALUE"""),"Arapoema")</f>
        <v>Arapoema</v>
      </c>
      <c r="C271" s="240" t="str">
        <f ca="1">IFERROR(__xludf.DUMMYFUNCTION("""COMPUTED_VALUE"""),"A.A. E. EST. ANTONIO DELFINO GUIMARAES")</f>
        <v>A.A. E. EST. ANTONIO DELFINO GUIMARAES</v>
      </c>
      <c r="D271" s="241" t="str">
        <f ca="1">IFERROR(__xludf.DUMMYFUNCTION("""COMPUTED_VALUE"""),"01135998000102")</f>
        <v>01135998000102</v>
      </c>
      <c r="E271" s="241" t="str">
        <f ca="1">IFERROR(__xludf.DUMMYFUNCTION("""COMPUTED_VALUE"""),"001")</f>
        <v>001</v>
      </c>
      <c r="F271" s="241" t="str">
        <f ca="1">IFERROR(__xludf.DUMMYFUNCTION("""COMPUTED_VALUE"""),"3974")</f>
        <v>3974</v>
      </c>
      <c r="G271" s="240" t="str">
        <f ca="1">IFERROR(__xludf.DUMMYFUNCTION("""COMPUTED_VALUE"""),"2287X")</f>
        <v>2287X</v>
      </c>
      <c r="H271" s="240" t="str">
        <f ca="1">IFERROR(__xludf.DUMMYFUNCTION("""COMPUTED_VALUE"""),"AEE")</f>
        <v>AEE</v>
      </c>
      <c r="I271" s="242">
        <f ca="1">IFERROR(__xludf.DUMMYFUNCTION("""COMPUTED_VALUE"""),525)</f>
        <v>525</v>
      </c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</row>
    <row r="272" spans="1:26" ht="21" customHeight="1">
      <c r="A272" s="240" t="str">
        <f ca="1">IFERROR(__xludf.DUMMYFUNCTION("""COMPUTED_VALUE"""),"Colinas")</f>
        <v>Colinas</v>
      </c>
      <c r="B272" s="240" t="str">
        <f ca="1">IFERROR(__xludf.DUMMYFUNCTION("""COMPUTED_VALUE"""),"Bandeirantes do Tocantins")</f>
        <v>Bandeirantes do Tocantins</v>
      </c>
      <c r="C272" s="240" t="str">
        <f ca="1">IFERROR(__xludf.DUMMYFUNCTION("""COMPUTED_VALUE"""),"A.A. E. E. ARCELINO F. DO NASCIMENTO")</f>
        <v>A.A. E. E. ARCELINO F. DO NASCIMENTO</v>
      </c>
      <c r="D272" s="241" t="str">
        <f ca="1">IFERROR(__xludf.DUMMYFUNCTION("""COMPUTED_VALUE"""),"01181179000193")</f>
        <v>01181179000193</v>
      </c>
      <c r="E272" s="241" t="str">
        <f ca="1">IFERROR(__xludf.DUMMYFUNCTION("""COMPUTED_VALUE"""),"001")</f>
        <v>001</v>
      </c>
      <c r="F272" s="241" t="str">
        <f ca="1">IFERROR(__xludf.DUMMYFUNCTION("""COMPUTED_VALUE"""),"0911")</f>
        <v>0911</v>
      </c>
      <c r="G272" s="240" t="str">
        <f ca="1">IFERROR(__xludf.DUMMYFUNCTION("""COMPUTED_VALUE"""),"46578X")</f>
        <v>46578X</v>
      </c>
      <c r="H272" s="240" t="str">
        <f ca="1">IFERROR(__xludf.DUMMYFUNCTION("""COMPUTED_VALUE"""),"E.F. PARCIAL")</f>
        <v>E.F. PARCIAL</v>
      </c>
      <c r="I272" s="242">
        <f ca="1">IFERROR(__xludf.DUMMYFUNCTION("""COMPUTED_VALUE"""),1512)</f>
        <v>1512</v>
      </c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</row>
    <row r="273" spans="1:26" ht="21" customHeight="1">
      <c r="A273" s="240" t="str">
        <f ca="1">IFERROR(__xludf.DUMMYFUNCTION("""COMPUTED_VALUE"""),"Colinas")</f>
        <v>Colinas</v>
      </c>
      <c r="B273" s="240" t="str">
        <f ca="1">IFERROR(__xludf.DUMMYFUNCTION("""COMPUTED_VALUE"""),"Bandeirantes do Tocantins")</f>
        <v>Bandeirantes do Tocantins</v>
      </c>
      <c r="C273" s="240" t="str">
        <f ca="1">IFERROR(__xludf.DUMMYFUNCTION("""COMPUTED_VALUE"""),"A.A. E. E. ARCELINO F. DO NASCIMENTO")</f>
        <v>A.A. E. E. ARCELINO F. DO NASCIMENTO</v>
      </c>
      <c r="D273" s="241" t="str">
        <f ca="1">IFERROR(__xludf.DUMMYFUNCTION("""COMPUTED_VALUE"""),"01181179000193")</f>
        <v>01181179000193</v>
      </c>
      <c r="E273" s="241" t="str">
        <f ca="1">IFERROR(__xludf.DUMMYFUNCTION("""COMPUTED_VALUE"""),"001")</f>
        <v>001</v>
      </c>
      <c r="F273" s="241" t="str">
        <f ca="1">IFERROR(__xludf.DUMMYFUNCTION("""COMPUTED_VALUE"""),"0911")</f>
        <v>0911</v>
      </c>
      <c r="G273" s="240" t="str">
        <f ca="1">IFERROR(__xludf.DUMMYFUNCTION("""COMPUTED_VALUE"""),"46578X")</f>
        <v>46578X</v>
      </c>
      <c r="H273" s="240" t="str">
        <f ca="1">IFERROR(__xludf.DUMMYFUNCTION("""COMPUTED_VALUE"""),"AEE")</f>
        <v>AEE</v>
      </c>
      <c r="I273" s="242">
        <f ca="1">IFERROR(__xludf.DUMMYFUNCTION("""COMPUTED_VALUE"""),105)</f>
        <v>105</v>
      </c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</row>
    <row r="274" spans="1:26" ht="21" customHeight="1">
      <c r="A274" s="240" t="str">
        <f ca="1">IFERROR(__xludf.DUMMYFUNCTION("""COMPUTED_VALUE"""),"Colinas")</f>
        <v>Colinas</v>
      </c>
      <c r="B274" s="240" t="str">
        <f ca="1">IFERROR(__xludf.DUMMYFUNCTION("""COMPUTED_VALUE"""),"Bandeirantes do Tocantins")</f>
        <v>Bandeirantes do Tocantins</v>
      </c>
      <c r="C274" s="240" t="str">
        <f ca="1">IFERROR(__xludf.DUMMYFUNCTION("""COMPUTED_VALUE"""),"A.A. E. E. ARCELINO F. DO NASCIMENTO")</f>
        <v>A.A. E. E. ARCELINO F. DO NASCIMENTO</v>
      </c>
      <c r="D274" s="241" t="str">
        <f ca="1">IFERROR(__xludf.DUMMYFUNCTION("""COMPUTED_VALUE"""),"01181179000193")</f>
        <v>01181179000193</v>
      </c>
      <c r="E274" s="241" t="str">
        <f ca="1">IFERROR(__xludf.DUMMYFUNCTION("""COMPUTED_VALUE"""),"001")</f>
        <v>001</v>
      </c>
      <c r="F274" s="241" t="str">
        <f ca="1">IFERROR(__xludf.DUMMYFUNCTION("""COMPUTED_VALUE"""),"0911")</f>
        <v>0911</v>
      </c>
      <c r="G274" s="240" t="str">
        <f ca="1">IFERROR(__xludf.DUMMYFUNCTION("""COMPUTED_VALUE"""),"46578X")</f>
        <v>46578X</v>
      </c>
      <c r="H274" s="240" t="str">
        <f ca="1">IFERROR(__xludf.DUMMYFUNCTION("""COMPUTED_VALUE"""),"ENS MEDIO PARCIAL")</f>
        <v>ENS MEDIO PARCIAL</v>
      </c>
      <c r="I274" s="242">
        <f ca="1">IFERROR(__xludf.DUMMYFUNCTION("""COMPUTED_VALUE"""),2856)</f>
        <v>2856</v>
      </c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</row>
    <row r="275" spans="1:26" ht="21" customHeight="1">
      <c r="A275" s="240" t="str">
        <f ca="1">IFERROR(__xludf.DUMMYFUNCTION("""COMPUTED_VALUE"""),"Colinas")</f>
        <v>Colinas</v>
      </c>
      <c r="B275" s="240" t="str">
        <f ca="1">IFERROR(__xludf.DUMMYFUNCTION("""COMPUTED_VALUE"""),"Bernardo Sayao")</f>
        <v>Bernardo Sayao</v>
      </c>
      <c r="C275" s="240" t="str">
        <f ca="1">IFERROR(__xludf.DUMMYFUNCTION("""COMPUTED_VALUE"""),"A.A. COL. EST. BERNARDO SAYAO")</f>
        <v>A.A. COL. EST. BERNARDO SAYAO</v>
      </c>
      <c r="D275" s="241" t="str">
        <f ca="1">IFERROR(__xludf.DUMMYFUNCTION("""COMPUTED_VALUE"""),"01190188000140")</f>
        <v>01190188000140</v>
      </c>
      <c r="E275" s="241" t="str">
        <f ca="1">IFERROR(__xludf.DUMMYFUNCTION("""COMPUTED_VALUE"""),"001")</f>
        <v>001</v>
      </c>
      <c r="F275" s="241" t="str">
        <f ca="1">IFERROR(__xludf.DUMMYFUNCTION("""COMPUTED_VALUE"""),"0911")</f>
        <v>0911</v>
      </c>
      <c r="G275" s="240" t="str">
        <f ca="1">IFERROR(__xludf.DUMMYFUNCTION("""COMPUTED_VALUE"""),"369403")</f>
        <v>369403</v>
      </c>
      <c r="H275" s="240" t="str">
        <f ca="1">IFERROR(__xludf.DUMMYFUNCTION("""COMPUTED_VALUE"""),"E.F. PARCIAL")</f>
        <v>E.F. PARCIAL</v>
      </c>
      <c r="I275" s="242">
        <f ca="1">IFERROR(__xludf.DUMMYFUNCTION("""COMPUTED_VALUE"""),1386)</f>
        <v>1386</v>
      </c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</row>
    <row r="276" spans="1:26" ht="21" customHeight="1">
      <c r="A276" s="240" t="str">
        <f ca="1">IFERROR(__xludf.DUMMYFUNCTION("""COMPUTED_VALUE"""),"Colinas")</f>
        <v>Colinas</v>
      </c>
      <c r="B276" s="240" t="str">
        <f ca="1">IFERROR(__xludf.DUMMYFUNCTION("""COMPUTED_VALUE"""),"Bernardo Sayao")</f>
        <v>Bernardo Sayao</v>
      </c>
      <c r="C276" s="240" t="str">
        <f ca="1">IFERROR(__xludf.DUMMYFUNCTION("""COMPUTED_VALUE"""),"A.A. COL. EST. BERNARDO SAYAO")</f>
        <v>A.A. COL. EST. BERNARDO SAYAO</v>
      </c>
      <c r="D276" s="241" t="str">
        <f ca="1">IFERROR(__xludf.DUMMYFUNCTION("""COMPUTED_VALUE"""),"01190188000140")</f>
        <v>01190188000140</v>
      </c>
      <c r="E276" s="241" t="str">
        <f ca="1">IFERROR(__xludf.DUMMYFUNCTION("""COMPUTED_VALUE"""),"001")</f>
        <v>001</v>
      </c>
      <c r="F276" s="241" t="str">
        <f ca="1">IFERROR(__xludf.DUMMYFUNCTION("""COMPUTED_VALUE"""),"0911")</f>
        <v>0911</v>
      </c>
      <c r="G276" s="240" t="str">
        <f ca="1">IFERROR(__xludf.DUMMYFUNCTION("""COMPUTED_VALUE"""),"369403")</f>
        <v>369403</v>
      </c>
      <c r="H276" s="240" t="str">
        <f ca="1">IFERROR(__xludf.DUMMYFUNCTION("""COMPUTED_VALUE"""),"AEE")</f>
        <v>AEE</v>
      </c>
      <c r="I276" s="242">
        <f ca="1">IFERROR(__xludf.DUMMYFUNCTION("""COMPUTED_VALUE"""),147)</f>
        <v>147</v>
      </c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</row>
    <row r="277" spans="1:26" ht="21" customHeight="1">
      <c r="A277" s="240" t="str">
        <f ca="1">IFERROR(__xludf.DUMMYFUNCTION("""COMPUTED_VALUE"""),"Colinas")</f>
        <v>Colinas</v>
      </c>
      <c r="B277" s="240" t="str">
        <f ca="1">IFERROR(__xludf.DUMMYFUNCTION("""COMPUTED_VALUE"""),"Bernardo Sayao")</f>
        <v>Bernardo Sayao</v>
      </c>
      <c r="C277" s="240" t="str">
        <f ca="1">IFERROR(__xludf.DUMMYFUNCTION("""COMPUTED_VALUE"""),"A.A. COL. EST. BERNARDO SAYAO")</f>
        <v>A.A. COL. EST. BERNARDO SAYAO</v>
      </c>
      <c r="D277" s="241" t="str">
        <f ca="1">IFERROR(__xludf.DUMMYFUNCTION("""COMPUTED_VALUE"""),"01190188000140")</f>
        <v>01190188000140</v>
      </c>
      <c r="E277" s="241" t="str">
        <f ca="1">IFERROR(__xludf.DUMMYFUNCTION("""COMPUTED_VALUE"""),"001")</f>
        <v>001</v>
      </c>
      <c r="F277" s="241" t="str">
        <f ca="1">IFERROR(__xludf.DUMMYFUNCTION("""COMPUTED_VALUE"""),"0911")</f>
        <v>0911</v>
      </c>
      <c r="G277" s="240" t="str">
        <f ca="1">IFERROR(__xludf.DUMMYFUNCTION("""COMPUTED_VALUE"""),"369403")</f>
        <v>369403</v>
      </c>
      <c r="H277" s="240" t="str">
        <f ca="1">IFERROR(__xludf.DUMMYFUNCTION("""COMPUTED_VALUE"""),"ENS MEDIO PARCIAL")</f>
        <v>ENS MEDIO PARCIAL</v>
      </c>
      <c r="I277" s="242">
        <f ca="1">IFERROR(__xludf.DUMMYFUNCTION("""COMPUTED_VALUE"""),3297)</f>
        <v>3297</v>
      </c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</row>
    <row r="278" spans="1:26" ht="21" customHeight="1">
      <c r="A278" s="240" t="str">
        <f ca="1">IFERROR(__xludf.DUMMYFUNCTION("""COMPUTED_VALUE"""),"Colinas")</f>
        <v>Colinas</v>
      </c>
      <c r="B278" s="240" t="str">
        <f ca="1">IFERROR(__xludf.DUMMYFUNCTION("""COMPUTED_VALUE"""),"Bernardo Sayao")</f>
        <v>Bernardo Sayao</v>
      </c>
      <c r="C278" s="240" t="str">
        <f ca="1">IFERROR(__xludf.DUMMYFUNCTION("""COMPUTED_VALUE"""),"A.A. COL. EST. BERNARDO SAYAO")</f>
        <v>A.A. COL. EST. BERNARDO SAYAO</v>
      </c>
      <c r="D278" s="241" t="str">
        <f ca="1">IFERROR(__xludf.DUMMYFUNCTION("""COMPUTED_VALUE"""),"01190188000140")</f>
        <v>01190188000140</v>
      </c>
      <c r="E278" s="241" t="str">
        <f ca="1">IFERROR(__xludf.DUMMYFUNCTION("""COMPUTED_VALUE"""),"001")</f>
        <v>001</v>
      </c>
      <c r="F278" s="241" t="str">
        <f ca="1">IFERROR(__xludf.DUMMYFUNCTION("""COMPUTED_VALUE"""),"0911")</f>
        <v>0911</v>
      </c>
      <c r="G278" s="240" t="str">
        <f ca="1">IFERROR(__xludf.DUMMYFUNCTION("""COMPUTED_VALUE"""),"369403")</f>
        <v>369403</v>
      </c>
      <c r="H278" s="240" t="str">
        <f ca="1">IFERROR(__xludf.DUMMYFUNCTION("""COMPUTED_VALUE"""),"EJA")</f>
        <v>EJA</v>
      </c>
      <c r="I278" s="242">
        <f ca="1">IFERROR(__xludf.DUMMYFUNCTION("""COMPUTED_VALUE"""),735)</f>
        <v>735</v>
      </c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</row>
    <row r="279" spans="1:26" ht="21" customHeight="1">
      <c r="A279" s="240" t="str">
        <f ca="1">IFERROR(__xludf.DUMMYFUNCTION("""COMPUTED_VALUE"""),"Colinas")</f>
        <v>Colinas</v>
      </c>
      <c r="B279" s="240" t="str">
        <f ca="1">IFERROR(__xludf.DUMMYFUNCTION("""COMPUTED_VALUE"""),"Brasilandia do Tocantins")</f>
        <v>Brasilandia do Tocantins</v>
      </c>
      <c r="C279" s="240" t="str">
        <f ca="1">IFERROR(__xludf.DUMMYFUNCTION("""COMPUTED_VALUE"""),"A.A. COL. EST. SEBASTIAO RODRIGUES SALES")</f>
        <v>A.A. COL. EST. SEBASTIAO RODRIGUES SALES</v>
      </c>
      <c r="D279" s="241" t="str">
        <f ca="1">IFERROR(__xludf.DUMMYFUNCTION("""COMPUTED_VALUE"""),"01138333000144")</f>
        <v>01138333000144</v>
      </c>
      <c r="E279" s="241" t="str">
        <f ca="1">IFERROR(__xludf.DUMMYFUNCTION("""COMPUTED_VALUE"""),"001")</f>
        <v>001</v>
      </c>
      <c r="F279" s="241" t="str">
        <f ca="1">IFERROR(__xludf.DUMMYFUNCTION("""COMPUTED_VALUE"""),"0911")</f>
        <v>0911</v>
      </c>
      <c r="G279" s="240" t="str">
        <f ca="1">IFERROR(__xludf.DUMMYFUNCTION("""COMPUTED_VALUE"""),"369365")</f>
        <v>369365</v>
      </c>
      <c r="H279" s="240" t="str">
        <f ca="1">IFERROR(__xludf.DUMMYFUNCTION("""COMPUTED_VALUE"""),"E.F. PARCIAL")</f>
        <v>E.F. PARCIAL</v>
      </c>
      <c r="I279" s="242">
        <f ca="1">IFERROR(__xludf.DUMMYFUNCTION("""COMPUTED_VALUE"""),3066)</f>
        <v>3066</v>
      </c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</row>
    <row r="280" spans="1:26" ht="21" customHeight="1">
      <c r="A280" s="240" t="str">
        <f ca="1">IFERROR(__xludf.DUMMYFUNCTION("""COMPUTED_VALUE"""),"Colinas")</f>
        <v>Colinas</v>
      </c>
      <c r="B280" s="240" t="str">
        <f ca="1">IFERROR(__xludf.DUMMYFUNCTION("""COMPUTED_VALUE"""),"Brasilandia do Tocantins")</f>
        <v>Brasilandia do Tocantins</v>
      </c>
      <c r="C280" s="240" t="str">
        <f ca="1">IFERROR(__xludf.DUMMYFUNCTION("""COMPUTED_VALUE"""),"A.A. COL. EST. SEBASTIAO RODRIGUES SALES")</f>
        <v>A.A. COL. EST. SEBASTIAO RODRIGUES SALES</v>
      </c>
      <c r="D280" s="241" t="str">
        <f ca="1">IFERROR(__xludf.DUMMYFUNCTION("""COMPUTED_VALUE"""),"01138333000144")</f>
        <v>01138333000144</v>
      </c>
      <c r="E280" s="241" t="str">
        <f ca="1">IFERROR(__xludf.DUMMYFUNCTION("""COMPUTED_VALUE"""),"001")</f>
        <v>001</v>
      </c>
      <c r="F280" s="241" t="str">
        <f ca="1">IFERROR(__xludf.DUMMYFUNCTION("""COMPUTED_VALUE"""),"0911")</f>
        <v>0911</v>
      </c>
      <c r="G280" s="240" t="str">
        <f ca="1">IFERROR(__xludf.DUMMYFUNCTION("""COMPUTED_VALUE"""),"369365")</f>
        <v>369365</v>
      </c>
      <c r="H280" s="240" t="str">
        <f ca="1">IFERROR(__xludf.DUMMYFUNCTION("""COMPUTED_VALUE"""),"ENS MEDIO PARCIAL")</f>
        <v>ENS MEDIO PARCIAL</v>
      </c>
      <c r="I280" s="242">
        <f ca="1">IFERROR(__xludf.DUMMYFUNCTION("""COMPUTED_VALUE"""),1260)</f>
        <v>1260</v>
      </c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</row>
    <row r="281" spans="1:26" ht="21" customHeight="1">
      <c r="A281" s="240" t="str">
        <f ca="1">IFERROR(__xludf.DUMMYFUNCTION("""COMPUTED_VALUE"""),"Colinas")</f>
        <v>Colinas</v>
      </c>
      <c r="B281" s="240" t="str">
        <f ca="1">IFERROR(__xludf.DUMMYFUNCTION("""COMPUTED_VALUE"""),"Colinas do Tocantins")</f>
        <v>Colinas do Tocantins</v>
      </c>
      <c r="C281" s="240" t="str">
        <f ca="1">IFERROR(__xludf.DUMMYFUNCTION("""COMPUTED_VALUE"""),"A.A. ESCOLA ESTADUAL ERNESTO BARROS")</f>
        <v>A.A. ESCOLA ESTADUAL ERNESTO BARROS</v>
      </c>
      <c r="D281" s="241" t="str">
        <f ca="1">IFERROR(__xludf.DUMMYFUNCTION("""COMPUTED_VALUE"""),"01064857000138")</f>
        <v>01064857000138</v>
      </c>
      <c r="E281" s="241" t="str">
        <f ca="1">IFERROR(__xludf.DUMMYFUNCTION("""COMPUTED_VALUE"""),"001")</f>
        <v>001</v>
      </c>
      <c r="F281" s="241" t="str">
        <f ca="1">IFERROR(__xludf.DUMMYFUNCTION("""COMPUTED_VALUE"""),"0911")</f>
        <v>0911</v>
      </c>
      <c r="G281" s="240" t="str">
        <f ca="1">IFERROR(__xludf.DUMMYFUNCTION("""COMPUTED_VALUE"""),"0368571")</f>
        <v>0368571</v>
      </c>
      <c r="H281" s="240" t="str">
        <f ca="1">IFERROR(__xludf.DUMMYFUNCTION("""COMPUTED_VALUE"""),"AEE")</f>
        <v>AEE</v>
      </c>
      <c r="I281" s="242">
        <f ca="1">IFERROR(__xludf.DUMMYFUNCTION("""COMPUTED_VALUE"""),273)</f>
        <v>273</v>
      </c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</row>
    <row r="282" spans="1:26" ht="21" customHeight="1">
      <c r="A282" s="240" t="str">
        <f ca="1">IFERROR(__xludf.DUMMYFUNCTION("""COMPUTED_VALUE"""),"Colinas")</f>
        <v>Colinas</v>
      </c>
      <c r="B282" s="240" t="str">
        <f ca="1">IFERROR(__xludf.DUMMYFUNCTION("""COMPUTED_VALUE"""),"Colinas do Tocantins")</f>
        <v>Colinas do Tocantins</v>
      </c>
      <c r="C282" s="240" t="str">
        <f ca="1">IFERROR(__xludf.DUMMYFUNCTION("""COMPUTED_VALUE"""),"A.A.  COLEGIO JOAO XXIII")</f>
        <v>A.A.  COLEGIO JOAO XXIII</v>
      </c>
      <c r="D282" s="241" t="str">
        <f ca="1">IFERROR(__xludf.DUMMYFUNCTION("""COMPUTED_VALUE"""),"01064859000127")</f>
        <v>01064859000127</v>
      </c>
      <c r="E282" s="241" t="str">
        <f ca="1">IFERROR(__xludf.DUMMYFUNCTION("""COMPUTED_VALUE"""),"001")</f>
        <v>001</v>
      </c>
      <c r="F282" s="241" t="str">
        <f ca="1">IFERROR(__xludf.DUMMYFUNCTION("""COMPUTED_VALUE"""),"0911")</f>
        <v>0911</v>
      </c>
      <c r="G282" s="240" t="str">
        <f ca="1">IFERROR(__xludf.DUMMYFUNCTION("""COMPUTED_VALUE"""),"368555")</f>
        <v>368555</v>
      </c>
      <c r="H282" s="240" t="str">
        <f ca="1">IFERROR(__xludf.DUMMYFUNCTION("""COMPUTED_VALUE"""),"E.F. PARCIAL")</f>
        <v>E.F. PARCIAL</v>
      </c>
      <c r="I282" s="242">
        <f ca="1">IFERROR(__xludf.DUMMYFUNCTION("""COMPUTED_VALUE"""),9051)</f>
        <v>9051</v>
      </c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</row>
    <row r="283" spans="1:26" ht="21" customHeight="1">
      <c r="A283" s="240" t="str">
        <f ca="1">IFERROR(__xludf.DUMMYFUNCTION("""COMPUTED_VALUE"""),"Colinas")</f>
        <v>Colinas</v>
      </c>
      <c r="B283" s="240" t="str">
        <f ca="1">IFERROR(__xludf.DUMMYFUNCTION("""COMPUTED_VALUE"""),"Colinas do Tocantins")</f>
        <v>Colinas do Tocantins</v>
      </c>
      <c r="C283" s="240" t="str">
        <f ca="1">IFERROR(__xludf.DUMMYFUNCTION("""COMPUTED_VALUE"""),"A.A.  COLEGIO JOAO XXIII")</f>
        <v>A.A.  COLEGIO JOAO XXIII</v>
      </c>
      <c r="D283" s="241" t="str">
        <f ca="1">IFERROR(__xludf.DUMMYFUNCTION("""COMPUTED_VALUE"""),"01064859000127")</f>
        <v>01064859000127</v>
      </c>
      <c r="E283" s="241" t="str">
        <f ca="1">IFERROR(__xludf.DUMMYFUNCTION("""COMPUTED_VALUE"""),"001")</f>
        <v>001</v>
      </c>
      <c r="F283" s="241" t="str">
        <f ca="1">IFERROR(__xludf.DUMMYFUNCTION("""COMPUTED_VALUE"""),"0911")</f>
        <v>0911</v>
      </c>
      <c r="G283" s="240" t="str">
        <f ca="1">IFERROR(__xludf.DUMMYFUNCTION("""COMPUTED_VALUE"""),"368555")</f>
        <v>368555</v>
      </c>
      <c r="H283" s="240" t="str">
        <f ca="1">IFERROR(__xludf.DUMMYFUNCTION("""COMPUTED_VALUE"""),"AEE")</f>
        <v>AEE</v>
      </c>
      <c r="I283" s="242">
        <f ca="1">IFERROR(__xludf.DUMMYFUNCTION("""COMPUTED_VALUE"""),378)</f>
        <v>378</v>
      </c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</row>
    <row r="284" spans="1:26" ht="21" customHeight="1">
      <c r="A284" s="240" t="str">
        <f ca="1">IFERROR(__xludf.DUMMYFUNCTION("""COMPUTED_VALUE"""),"Colinas")</f>
        <v>Colinas</v>
      </c>
      <c r="B284" s="240" t="str">
        <f ca="1">IFERROR(__xludf.DUMMYFUNCTION("""COMPUTED_VALUE"""),"Colinas do Tocantins")</f>
        <v>Colinas do Tocantins</v>
      </c>
      <c r="C284" s="240" t="str">
        <f ca="1">IFERROR(__xludf.DUMMYFUNCTION("""COMPUTED_VALUE"""),"A.A.  COLEGIO JOAO XXIII")</f>
        <v>A.A.  COLEGIO JOAO XXIII</v>
      </c>
      <c r="D284" s="241" t="str">
        <f ca="1">IFERROR(__xludf.DUMMYFUNCTION("""COMPUTED_VALUE"""),"01064859000127")</f>
        <v>01064859000127</v>
      </c>
      <c r="E284" s="241" t="str">
        <f ca="1">IFERROR(__xludf.DUMMYFUNCTION("""COMPUTED_VALUE"""),"001")</f>
        <v>001</v>
      </c>
      <c r="F284" s="241" t="str">
        <f ca="1">IFERROR(__xludf.DUMMYFUNCTION("""COMPUTED_VALUE"""),"0911")</f>
        <v>0911</v>
      </c>
      <c r="G284" s="240" t="str">
        <f ca="1">IFERROR(__xludf.DUMMYFUNCTION("""COMPUTED_VALUE"""),"368555")</f>
        <v>368555</v>
      </c>
      <c r="H284" s="240" t="str">
        <f ca="1">IFERROR(__xludf.DUMMYFUNCTION("""COMPUTED_VALUE"""),"ENS MEDIO PARCIAL")</f>
        <v>ENS MEDIO PARCIAL</v>
      </c>
      <c r="I284" s="242">
        <f ca="1">IFERROR(__xludf.DUMMYFUNCTION("""COMPUTED_VALUE"""),6972)</f>
        <v>6972</v>
      </c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</row>
    <row r="285" spans="1:26" ht="21" customHeight="1">
      <c r="A285" s="240" t="str">
        <f ca="1">IFERROR(__xludf.DUMMYFUNCTION("""COMPUTED_VALUE"""),"Colinas")</f>
        <v>Colinas</v>
      </c>
      <c r="B285" s="240" t="str">
        <f ca="1">IFERROR(__xludf.DUMMYFUNCTION("""COMPUTED_VALUE"""),"Colinas do Tocantins")</f>
        <v>Colinas do Tocantins</v>
      </c>
      <c r="C285" s="240" t="str">
        <f ca="1">IFERROR(__xludf.DUMMYFUNCTION("""COMPUTED_VALUE"""),"ASSOC. DE APOIO DO COL. EST. CASTELO BRANCO")</f>
        <v>ASSOC. DE APOIO DO COL. EST. CASTELO BRANCO</v>
      </c>
      <c r="D285" s="241" t="str">
        <f ca="1">IFERROR(__xludf.DUMMYFUNCTION("""COMPUTED_VALUE"""),"01071413000120")</f>
        <v>01071413000120</v>
      </c>
      <c r="E285" s="241" t="str">
        <f ca="1">IFERROR(__xludf.DUMMYFUNCTION("""COMPUTED_VALUE"""),"001")</f>
        <v>001</v>
      </c>
      <c r="F285" s="241" t="str">
        <f ca="1">IFERROR(__xludf.DUMMYFUNCTION("""COMPUTED_VALUE"""),"0911")</f>
        <v>0911</v>
      </c>
      <c r="G285" s="240" t="str">
        <f ca="1">IFERROR(__xludf.DUMMYFUNCTION("""COMPUTED_VALUE"""),"187275")</f>
        <v>187275</v>
      </c>
      <c r="H285" s="240" t="str">
        <f ca="1">IFERROR(__xludf.DUMMYFUNCTION("""COMPUTED_VALUE"""),"AEE")</f>
        <v>AEE</v>
      </c>
      <c r="I285" s="242">
        <f ca="1">IFERROR(__xludf.DUMMYFUNCTION("""COMPUTED_VALUE"""),273)</f>
        <v>273</v>
      </c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</row>
    <row r="286" spans="1:26" ht="21" customHeight="1">
      <c r="A286" s="240" t="str">
        <f ca="1">IFERROR(__xludf.DUMMYFUNCTION("""COMPUTED_VALUE"""),"Colinas")</f>
        <v>Colinas</v>
      </c>
      <c r="B286" s="240" t="str">
        <f ca="1">IFERROR(__xludf.DUMMYFUNCTION("""COMPUTED_VALUE"""),"Colinas do Tocantins")</f>
        <v>Colinas do Tocantins</v>
      </c>
      <c r="C286" s="240" t="str">
        <f ca="1">IFERROR(__xludf.DUMMYFUNCTION("""COMPUTED_VALUE"""),"ASSOC. DE APOIO DO COL. EST. CASTELO BRANCO")</f>
        <v>ASSOC. DE APOIO DO COL. EST. CASTELO BRANCO</v>
      </c>
      <c r="D286" s="241" t="str">
        <f ca="1">IFERROR(__xludf.DUMMYFUNCTION("""COMPUTED_VALUE"""),"01071413000120")</f>
        <v>01071413000120</v>
      </c>
      <c r="E286" s="241" t="str">
        <f ca="1">IFERROR(__xludf.DUMMYFUNCTION("""COMPUTED_VALUE"""),"001")</f>
        <v>001</v>
      </c>
      <c r="F286" s="241" t="str">
        <f ca="1">IFERROR(__xludf.DUMMYFUNCTION("""COMPUTED_VALUE"""),"0911")</f>
        <v>0911</v>
      </c>
      <c r="G286" s="240" t="str">
        <f ca="1">IFERROR(__xludf.DUMMYFUNCTION("""COMPUTED_VALUE"""),"187275")</f>
        <v>187275</v>
      </c>
      <c r="H286" s="240" t="str">
        <f ca="1">IFERROR(__xludf.DUMMYFUNCTION("""COMPUTED_VALUE"""),"EJA")</f>
        <v>EJA</v>
      </c>
      <c r="I286" s="242">
        <f ca="1">IFERROR(__xludf.DUMMYFUNCTION("""COMPUTED_VALUE"""),1596)</f>
        <v>1596</v>
      </c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</row>
    <row r="287" spans="1:26" ht="21" customHeight="1">
      <c r="A287" s="240" t="str">
        <f ca="1">IFERROR(__xludf.DUMMYFUNCTION("""COMPUTED_VALUE"""),"Colinas")</f>
        <v>Colinas</v>
      </c>
      <c r="B287" s="240" t="str">
        <f ca="1">IFERROR(__xludf.DUMMYFUNCTION("""COMPUTED_VALUE"""),"Colinas do Tocantins")</f>
        <v>Colinas do Tocantins</v>
      </c>
      <c r="C287" s="240" t="str">
        <f ca="1">IFERROR(__xludf.DUMMYFUNCTION("""COMPUTED_VALUE"""),"A.A. E. E. LACERDINO OLIVEIRA CAMPOS")</f>
        <v>A.A. E. E. LACERDINO OLIVEIRA CAMPOS</v>
      </c>
      <c r="D287" s="241" t="str">
        <f ca="1">IFERROR(__xludf.DUMMYFUNCTION("""COMPUTED_VALUE"""),"01077439000185")</f>
        <v>01077439000185</v>
      </c>
      <c r="E287" s="241" t="str">
        <f ca="1">IFERROR(__xludf.DUMMYFUNCTION("""COMPUTED_VALUE"""),"001")</f>
        <v>001</v>
      </c>
      <c r="F287" s="241" t="str">
        <f ca="1">IFERROR(__xludf.DUMMYFUNCTION("""COMPUTED_VALUE"""),"0911")</f>
        <v>0911</v>
      </c>
      <c r="G287" s="240" t="str">
        <f ca="1">IFERROR(__xludf.DUMMYFUNCTION("""COMPUTED_VALUE"""),"368741")</f>
        <v>368741</v>
      </c>
      <c r="H287" s="240" t="str">
        <f ca="1">IFERROR(__xludf.DUMMYFUNCTION("""COMPUTED_VALUE"""),"AEE")</f>
        <v>AEE</v>
      </c>
      <c r="I287" s="242">
        <f ca="1">IFERROR(__xludf.DUMMYFUNCTION("""COMPUTED_VALUE"""),441)</f>
        <v>441</v>
      </c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</row>
    <row r="288" spans="1:26" ht="21" customHeight="1">
      <c r="A288" s="240" t="str">
        <f ca="1">IFERROR(__xludf.DUMMYFUNCTION("""COMPUTED_VALUE"""),"Colinas")</f>
        <v>Colinas</v>
      </c>
      <c r="B288" s="240" t="str">
        <f ca="1">IFERROR(__xludf.DUMMYFUNCTION("""COMPUTED_VALUE"""),"Colinas do Tocantins")</f>
        <v>Colinas do Tocantins</v>
      </c>
      <c r="C288" s="240" t="str">
        <f ca="1">IFERROR(__xludf.DUMMYFUNCTION("""COMPUTED_VALUE"""),"A.A. E. E. LACERDINO OLIVEIRA CAMPOS")</f>
        <v>A.A. E. E. LACERDINO OLIVEIRA CAMPOS</v>
      </c>
      <c r="D288" s="241" t="str">
        <f ca="1">IFERROR(__xludf.DUMMYFUNCTION("""COMPUTED_VALUE"""),"01077439000185")</f>
        <v>01077439000185</v>
      </c>
      <c r="E288" s="241" t="str">
        <f ca="1">IFERROR(__xludf.DUMMYFUNCTION("""COMPUTED_VALUE"""),"001")</f>
        <v>001</v>
      </c>
      <c r="F288" s="241" t="str">
        <f ca="1">IFERROR(__xludf.DUMMYFUNCTION("""COMPUTED_VALUE"""),"0911")</f>
        <v>0911</v>
      </c>
      <c r="G288" s="240" t="str">
        <f ca="1">IFERROR(__xludf.DUMMYFUNCTION("""COMPUTED_VALUE"""),"368741")</f>
        <v>368741</v>
      </c>
      <c r="H288" s="240" t="str">
        <f ca="1">IFERROR(__xludf.DUMMYFUNCTION("""COMPUTED_VALUE"""),"ENS MEDIO PARCIAL")</f>
        <v>ENS MEDIO PARCIAL</v>
      </c>
      <c r="I288" s="242">
        <f ca="1">IFERROR(__xludf.DUMMYFUNCTION("""COMPUTED_VALUE"""),3927)</f>
        <v>3927</v>
      </c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</row>
    <row r="289" spans="1:26" ht="21" customHeight="1">
      <c r="A289" s="240" t="str">
        <f ca="1">IFERROR(__xludf.DUMMYFUNCTION("""COMPUTED_VALUE"""),"Colinas")</f>
        <v>Colinas</v>
      </c>
      <c r="B289" s="240" t="str">
        <f ca="1">IFERROR(__xludf.DUMMYFUNCTION("""COMPUTED_VALUE"""),"Colinas do Tocantins")</f>
        <v>Colinas do Tocantins</v>
      </c>
      <c r="C289" s="240" t="str">
        <f ca="1">IFERROR(__xludf.DUMMYFUNCTION("""COMPUTED_VALUE"""),"A.A. E. E. FRANCISCO PEREIRA FELICIO")</f>
        <v>A.A. E. E. FRANCISCO PEREIRA FELICIO</v>
      </c>
      <c r="D289" s="241" t="str">
        <f ca="1">IFERROR(__xludf.DUMMYFUNCTION("""COMPUTED_VALUE"""),"01086969000190")</f>
        <v>01086969000190</v>
      </c>
      <c r="E289" s="241" t="str">
        <f ca="1">IFERROR(__xludf.DUMMYFUNCTION("""COMPUTED_VALUE"""),"001")</f>
        <v>001</v>
      </c>
      <c r="F289" s="241" t="str">
        <f ca="1">IFERROR(__xludf.DUMMYFUNCTION("""COMPUTED_VALUE"""),"0911")</f>
        <v>0911</v>
      </c>
      <c r="G289" s="240" t="str">
        <f ca="1">IFERROR(__xludf.DUMMYFUNCTION("""COMPUTED_VALUE"""),"368814")</f>
        <v>368814</v>
      </c>
      <c r="H289" s="240" t="str">
        <f ca="1">IFERROR(__xludf.DUMMYFUNCTION("""COMPUTED_VALUE"""),"E.F. PARCIAL")</f>
        <v>E.F. PARCIAL</v>
      </c>
      <c r="I289" s="242">
        <f ca="1">IFERROR(__xludf.DUMMYFUNCTION("""COMPUTED_VALUE"""),2856)</f>
        <v>2856</v>
      </c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</row>
    <row r="290" spans="1:26" ht="21" customHeight="1">
      <c r="A290" s="240" t="str">
        <f ca="1">IFERROR(__xludf.DUMMYFUNCTION("""COMPUTED_VALUE"""),"Colinas")</f>
        <v>Colinas</v>
      </c>
      <c r="B290" s="240" t="str">
        <f ca="1">IFERROR(__xludf.DUMMYFUNCTION("""COMPUTED_VALUE"""),"Colinas do Tocantins")</f>
        <v>Colinas do Tocantins</v>
      </c>
      <c r="C290" s="240" t="str">
        <f ca="1">IFERROR(__xludf.DUMMYFUNCTION("""COMPUTED_VALUE"""),"A.A. E. E. FRANCISCO PEREIRA FELICIO")</f>
        <v>A.A. E. E. FRANCISCO PEREIRA FELICIO</v>
      </c>
      <c r="D290" s="241" t="str">
        <f ca="1">IFERROR(__xludf.DUMMYFUNCTION("""COMPUTED_VALUE"""),"01086969000190")</f>
        <v>01086969000190</v>
      </c>
      <c r="E290" s="241" t="str">
        <f ca="1">IFERROR(__xludf.DUMMYFUNCTION("""COMPUTED_VALUE"""),"001")</f>
        <v>001</v>
      </c>
      <c r="F290" s="241" t="str">
        <f ca="1">IFERROR(__xludf.DUMMYFUNCTION("""COMPUTED_VALUE"""),"0911")</f>
        <v>0911</v>
      </c>
      <c r="G290" s="240" t="str">
        <f ca="1">IFERROR(__xludf.DUMMYFUNCTION("""COMPUTED_VALUE"""),"368814")</f>
        <v>368814</v>
      </c>
      <c r="H290" s="240" t="str">
        <f ca="1">IFERROR(__xludf.DUMMYFUNCTION("""COMPUTED_VALUE"""),"AEE")</f>
        <v>AEE</v>
      </c>
      <c r="I290" s="242">
        <f ca="1">IFERROR(__xludf.DUMMYFUNCTION("""COMPUTED_VALUE"""),588)</f>
        <v>588</v>
      </c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</row>
    <row r="291" spans="1:26" ht="21" customHeight="1">
      <c r="A291" s="240" t="str">
        <f ca="1">IFERROR(__xludf.DUMMYFUNCTION("""COMPUTED_VALUE"""),"Colinas")</f>
        <v>Colinas</v>
      </c>
      <c r="B291" s="240" t="str">
        <f ca="1">IFERROR(__xludf.DUMMYFUNCTION("""COMPUTED_VALUE"""),"Colinas do Tocantins")</f>
        <v>Colinas do Tocantins</v>
      </c>
      <c r="C291" s="240" t="str">
        <f ca="1">IFERROR(__xludf.DUMMYFUNCTION("""COMPUTED_VALUE"""),"A.A. E. E. FRANCISCO PEREIRA FELICIO")</f>
        <v>A.A. E. E. FRANCISCO PEREIRA FELICIO</v>
      </c>
      <c r="D291" s="241" t="str">
        <f ca="1">IFERROR(__xludf.DUMMYFUNCTION("""COMPUTED_VALUE"""),"01086969000190")</f>
        <v>01086969000190</v>
      </c>
      <c r="E291" s="241" t="str">
        <f ca="1">IFERROR(__xludf.DUMMYFUNCTION("""COMPUTED_VALUE"""),"001")</f>
        <v>001</v>
      </c>
      <c r="F291" s="241" t="str">
        <f ca="1">IFERROR(__xludf.DUMMYFUNCTION("""COMPUTED_VALUE"""),"0911")</f>
        <v>0911</v>
      </c>
      <c r="G291" s="240" t="str">
        <f ca="1">IFERROR(__xludf.DUMMYFUNCTION("""COMPUTED_VALUE"""),"368814")</f>
        <v>368814</v>
      </c>
      <c r="H291" s="240" t="str">
        <f ca="1">IFERROR(__xludf.DUMMYFUNCTION("""COMPUTED_VALUE"""),"ENS MEDIO PARCIAL")</f>
        <v>ENS MEDIO PARCIAL</v>
      </c>
      <c r="I291" s="242">
        <f ca="1">IFERROR(__xludf.DUMMYFUNCTION("""COMPUTED_VALUE"""),9093)</f>
        <v>9093</v>
      </c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</row>
    <row r="292" spans="1:26" ht="21" customHeight="1">
      <c r="A292" s="240" t="str">
        <f ca="1">IFERROR(__xludf.DUMMYFUNCTION("""COMPUTED_VALUE"""),"Colinas")</f>
        <v>Colinas</v>
      </c>
      <c r="B292" s="240" t="str">
        <f ca="1">IFERROR(__xludf.DUMMYFUNCTION("""COMPUTED_VALUE"""),"Colinas do Tocantins")</f>
        <v>Colinas do Tocantins</v>
      </c>
      <c r="C292" s="240" t="str">
        <f ca="1">IFERROR(__xludf.DUMMYFUNCTION("""COMPUTED_VALUE"""),"A.A. E. E. FRANCISCO PEREIRA FELICIO")</f>
        <v>A.A. E. E. FRANCISCO PEREIRA FELICIO</v>
      </c>
      <c r="D292" s="241" t="str">
        <f ca="1">IFERROR(__xludf.DUMMYFUNCTION("""COMPUTED_VALUE"""),"01086969000190")</f>
        <v>01086969000190</v>
      </c>
      <c r="E292" s="241" t="str">
        <f ca="1">IFERROR(__xludf.DUMMYFUNCTION("""COMPUTED_VALUE"""),"001")</f>
        <v>001</v>
      </c>
      <c r="F292" s="241" t="str">
        <f ca="1">IFERROR(__xludf.DUMMYFUNCTION("""COMPUTED_VALUE"""),"0911")</f>
        <v>0911</v>
      </c>
      <c r="G292" s="240" t="str">
        <f ca="1">IFERROR(__xludf.DUMMYFUNCTION("""COMPUTED_VALUE"""),"368814")</f>
        <v>368814</v>
      </c>
      <c r="H292" s="240" t="str">
        <f ca="1">IFERROR(__xludf.DUMMYFUNCTION("""COMPUTED_VALUE"""),"EJA")</f>
        <v>EJA</v>
      </c>
      <c r="I292" s="242">
        <f ca="1">IFERROR(__xludf.DUMMYFUNCTION("""COMPUTED_VALUE"""),1680)</f>
        <v>1680</v>
      </c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</row>
    <row r="293" spans="1:26" ht="21" customHeight="1">
      <c r="A293" s="240" t="str">
        <f ca="1">IFERROR(__xludf.DUMMYFUNCTION("""COMPUTED_VALUE"""),"Colinas")</f>
        <v>Colinas</v>
      </c>
      <c r="B293" s="240" t="str">
        <f ca="1">IFERROR(__xludf.DUMMYFUNCTION("""COMPUTED_VALUE"""),"Colinas do Tocantins")</f>
        <v>Colinas do Tocantins</v>
      </c>
      <c r="C293" s="240" t="str">
        <f ca="1">IFERROR(__xludf.DUMMYFUNCTION("""COMPUTED_VALUE"""),"ASSOC. APOIO AO INSTITUTO EDUC. GUNNAR VINGREN")</f>
        <v>ASSOC. APOIO AO INSTITUTO EDUC. GUNNAR VINGREN</v>
      </c>
      <c r="D293" s="241" t="str">
        <f ca="1">IFERROR(__xludf.DUMMYFUNCTION("""COMPUTED_VALUE"""),"05537107000197")</f>
        <v>05537107000197</v>
      </c>
      <c r="E293" s="241" t="str">
        <f ca="1">IFERROR(__xludf.DUMMYFUNCTION("""COMPUTED_VALUE"""),"001")</f>
        <v>001</v>
      </c>
      <c r="F293" s="241" t="str">
        <f ca="1">IFERROR(__xludf.DUMMYFUNCTION("""COMPUTED_VALUE"""),"0911")</f>
        <v>0911</v>
      </c>
      <c r="G293" s="240" t="str">
        <f ca="1">IFERROR(__xludf.DUMMYFUNCTION("""COMPUTED_VALUE"""),"172286")</f>
        <v>172286</v>
      </c>
      <c r="H293" s="240" t="str">
        <f ca="1">IFERROR(__xludf.DUMMYFUNCTION("""COMPUTED_VALUE"""),"E.F. PARCIAL")</f>
        <v>E.F. PARCIAL</v>
      </c>
      <c r="I293" s="242">
        <f ca="1">IFERROR(__xludf.DUMMYFUNCTION("""COMPUTED_VALUE"""),1974)</f>
        <v>1974</v>
      </c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</row>
    <row r="294" spans="1:26" ht="21" customHeight="1">
      <c r="A294" s="240" t="str">
        <f ca="1">IFERROR(__xludf.DUMMYFUNCTION("""COMPUTED_VALUE"""),"Colinas")</f>
        <v>Colinas</v>
      </c>
      <c r="B294" s="240" t="str">
        <f ca="1">IFERROR(__xludf.DUMMYFUNCTION("""COMPUTED_VALUE"""),"Colinas do Tocantins")</f>
        <v>Colinas do Tocantins</v>
      </c>
      <c r="C294" s="240" t="str">
        <f ca="1">IFERROR(__xludf.DUMMYFUNCTION("""COMPUTED_VALUE"""),"ASSOC. APOIO AO INSTITUTO EDUC. GUNNAR VINGREN")</f>
        <v>ASSOC. APOIO AO INSTITUTO EDUC. GUNNAR VINGREN</v>
      </c>
      <c r="D294" s="241" t="str">
        <f ca="1">IFERROR(__xludf.DUMMYFUNCTION("""COMPUTED_VALUE"""),"05537107000197")</f>
        <v>05537107000197</v>
      </c>
      <c r="E294" s="241" t="str">
        <f ca="1">IFERROR(__xludf.DUMMYFUNCTION("""COMPUTED_VALUE"""),"001")</f>
        <v>001</v>
      </c>
      <c r="F294" s="241" t="str">
        <f ca="1">IFERROR(__xludf.DUMMYFUNCTION("""COMPUTED_VALUE"""),"0911")</f>
        <v>0911</v>
      </c>
      <c r="G294" s="240" t="str">
        <f ca="1">IFERROR(__xludf.DUMMYFUNCTION("""COMPUTED_VALUE"""),"172286")</f>
        <v>172286</v>
      </c>
      <c r="H294" s="240" t="str">
        <f ca="1">IFERROR(__xludf.DUMMYFUNCTION("""COMPUTED_VALUE"""),"AEE")</f>
        <v>AEE</v>
      </c>
      <c r="I294" s="242">
        <f ca="1">IFERROR(__xludf.DUMMYFUNCTION("""COMPUTED_VALUE"""),231)</f>
        <v>231</v>
      </c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</row>
    <row r="295" spans="1:26" ht="21" customHeight="1">
      <c r="A295" s="240" t="str">
        <f ca="1">IFERROR(__xludf.DUMMYFUNCTION("""COMPUTED_VALUE"""),"Colinas")</f>
        <v>Colinas</v>
      </c>
      <c r="B295" s="240" t="str">
        <f ca="1">IFERROR(__xludf.DUMMYFUNCTION("""COMPUTED_VALUE"""),"Colinas do Tocantins")</f>
        <v>Colinas do Tocantins</v>
      </c>
      <c r="C295" s="240" t="str">
        <f ca="1">IFERROR(__xludf.DUMMYFUNCTION("""COMPUTED_VALUE"""),"ASSOC. APOIO AO INSTITUTO EDUC. GUNNAR VINGREN")</f>
        <v>ASSOC. APOIO AO INSTITUTO EDUC. GUNNAR VINGREN</v>
      </c>
      <c r="D295" s="241" t="str">
        <f ca="1">IFERROR(__xludf.DUMMYFUNCTION("""COMPUTED_VALUE"""),"05537107000197")</f>
        <v>05537107000197</v>
      </c>
      <c r="E295" s="241" t="str">
        <f ca="1">IFERROR(__xludf.DUMMYFUNCTION("""COMPUTED_VALUE"""),"001")</f>
        <v>001</v>
      </c>
      <c r="F295" s="241" t="str">
        <f ca="1">IFERROR(__xludf.DUMMYFUNCTION("""COMPUTED_VALUE"""),"0911")</f>
        <v>0911</v>
      </c>
      <c r="G295" s="240" t="str">
        <f ca="1">IFERROR(__xludf.DUMMYFUNCTION("""COMPUTED_VALUE"""),"172286")</f>
        <v>172286</v>
      </c>
      <c r="H295" s="240" t="str">
        <f ca="1">IFERROR(__xludf.DUMMYFUNCTION("""COMPUTED_VALUE"""),"ENS MEDIO PARCIAL")</f>
        <v>ENS MEDIO PARCIAL</v>
      </c>
      <c r="I295" s="242">
        <f ca="1">IFERROR(__xludf.DUMMYFUNCTION("""COMPUTED_VALUE"""),441)</f>
        <v>441</v>
      </c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</row>
    <row r="296" spans="1:26" ht="21" customHeight="1">
      <c r="A296" s="240" t="str">
        <f ca="1">IFERROR(__xludf.DUMMYFUNCTION("""COMPUTED_VALUE"""),"Colinas")</f>
        <v>Colinas</v>
      </c>
      <c r="B296" s="240" t="str">
        <f ca="1">IFERROR(__xludf.DUMMYFUNCTION("""COMPUTED_VALUE"""),"Colinas do Tocantins")</f>
        <v>Colinas do Tocantins</v>
      </c>
      <c r="C296" s="240" t="str">
        <f ca="1">IFERROR(__xludf.DUMMYFUNCTION("""COMPUTED_VALUE"""),"AAE ESPECIAL GOTA DE ESPERANÇA")</f>
        <v>AAE ESPECIAL GOTA DE ESPERANÇA</v>
      </c>
      <c r="D296" s="241" t="str">
        <f ca="1">IFERROR(__xludf.DUMMYFUNCTION("""COMPUTED_VALUE"""),"07944635000196")</f>
        <v>07944635000196</v>
      </c>
      <c r="E296" s="241" t="str">
        <f ca="1">IFERROR(__xludf.DUMMYFUNCTION("""COMPUTED_VALUE"""),"001")</f>
        <v>001</v>
      </c>
      <c r="F296" s="241" t="str">
        <f ca="1">IFERROR(__xludf.DUMMYFUNCTION("""COMPUTED_VALUE"""),"0911")</f>
        <v>0911</v>
      </c>
      <c r="G296" s="240" t="str">
        <f ca="1">IFERROR(__xludf.DUMMYFUNCTION("""COMPUTED_VALUE"""),"184861")</f>
        <v>184861</v>
      </c>
      <c r="H296" s="240" t="str">
        <f ca="1">IFERROR(__xludf.DUMMYFUNCTION("""COMPUTED_VALUE"""),"E.F. PARCIAL")</f>
        <v>E.F. PARCIAL</v>
      </c>
      <c r="I296" s="242">
        <f ca="1">IFERROR(__xludf.DUMMYFUNCTION("""COMPUTED_VALUE"""),651)</f>
        <v>651</v>
      </c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</row>
    <row r="297" spans="1:26" ht="21" customHeight="1">
      <c r="A297" s="240" t="str">
        <f ca="1">IFERROR(__xludf.DUMMYFUNCTION("""COMPUTED_VALUE"""),"Colinas")</f>
        <v>Colinas</v>
      </c>
      <c r="B297" s="240" t="str">
        <f ca="1">IFERROR(__xludf.DUMMYFUNCTION("""COMPUTED_VALUE"""),"Colinas do Tocantins")</f>
        <v>Colinas do Tocantins</v>
      </c>
      <c r="C297" s="240" t="str">
        <f ca="1">IFERROR(__xludf.DUMMYFUNCTION("""COMPUTED_VALUE"""),"AAE ESPECIAL GOTA DE ESPERANÇA")</f>
        <v>AAE ESPECIAL GOTA DE ESPERANÇA</v>
      </c>
      <c r="D297" s="241" t="str">
        <f ca="1">IFERROR(__xludf.DUMMYFUNCTION("""COMPUTED_VALUE"""),"07944635000196")</f>
        <v>07944635000196</v>
      </c>
      <c r="E297" s="241" t="str">
        <f ca="1">IFERROR(__xludf.DUMMYFUNCTION("""COMPUTED_VALUE"""),"001")</f>
        <v>001</v>
      </c>
      <c r="F297" s="241" t="str">
        <f ca="1">IFERROR(__xludf.DUMMYFUNCTION("""COMPUTED_VALUE"""),"0911")</f>
        <v>0911</v>
      </c>
      <c r="G297" s="240" t="str">
        <f ca="1">IFERROR(__xludf.DUMMYFUNCTION("""COMPUTED_VALUE"""),"184861")</f>
        <v>184861</v>
      </c>
      <c r="H297" s="240" t="str">
        <f ca="1">IFERROR(__xludf.DUMMYFUNCTION("""COMPUTED_VALUE"""),"AEE")</f>
        <v>AEE</v>
      </c>
      <c r="I297" s="242">
        <f ca="1">IFERROR(__xludf.DUMMYFUNCTION("""COMPUTED_VALUE"""),2541)</f>
        <v>2541</v>
      </c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</row>
    <row r="298" spans="1:26" ht="21" customHeight="1">
      <c r="A298" s="240" t="str">
        <f ca="1">IFERROR(__xludf.DUMMYFUNCTION("""COMPUTED_VALUE"""),"Colinas")</f>
        <v>Colinas</v>
      </c>
      <c r="B298" s="240" t="str">
        <f ca="1">IFERROR(__xludf.DUMMYFUNCTION("""COMPUTED_VALUE"""),"Colinas do Tocantins")</f>
        <v>Colinas do Tocantins</v>
      </c>
      <c r="C298" s="240" t="str">
        <f ca="1">IFERROR(__xludf.DUMMYFUNCTION("""COMPUTED_VALUE"""),"AAE ESPECIAL GOTA DE ESPERANÇA")</f>
        <v>AAE ESPECIAL GOTA DE ESPERANÇA</v>
      </c>
      <c r="D298" s="241" t="str">
        <f ca="1">IFERROR(__xludf.DUMMYFUNCTION("""COMPUTED_VALUE"""),"07944635000196")</f>
        <v>07944635000196</v>
      </c>
      <c r="E298" s="241" t="str">
        <f ca="1">IFERROR(__xludf.DUMMYFUNCTION("""COMPUTED_VALUE"""),"001")</f>
        <v>001</v>
      </c>
      <c r="F298" s="241" t="str">
        <f ca="1">IFERROR(__xludf.DUMMYFUNCTION("""COMPUTED_VALUE"""),"0911")</f>
        <v>0911</v>
      </c>
      <c r="G298" s="240" t="str">
        <f ca="1">IFERROR(__xludf.DUMMYFUNCTION("""COMPUTED_VALUE"""),"184861")</f>
        <v>184861</v>
      </c>
      <c r="H298" s="240" t="str">
        <f ca="1">IFERROR(__xludf.DUMMYFUNCTION("""COMPUTED_VALUE"""),"EJA")</f>
        <v>EJA</v>
      </c>
      <c r="I298" s="242">
        <f ca="1">IFERROR(__xludf.DUMMYFUNCTION("""COMPUTED_VALUE"""),1890)</f>
        <v>1890</v>
      </c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</row>
    <row r="299" spans="1:26" ht="21" customHeight="1">
      <c r="A299" s="240" t="str">
        <f ca="1">IFERROR(__xludf.DUMMYFUNCTION("""COMPUTED_VALUE"""),"Colinas")</f>
        <v>Colinas</v>
      </c>
      <c r="B299" s="240" t="str">
        <f ca="1">IFERROR(__xludf.DUMMYFUNCTION("""COMPUTED_VALUE"""),"Itapiratins")</f>
        <v>Itapiratins</v>
      </c>
      <c r="C299" s="240" t="str">
        <f ca="1">IFERROR(__xludf.DUMMYFUNCTION("""COMPUTED_VALUE"""),"A.A. ESCOLA ESTADUAL REZENDE DE ALMEIDA")</f>
        <v>A.A. ESCOLA ESTADUAL REZENDE DE ALMEIDA</v>
      </c>
      <c r="D299" s="241" t="str">
        <f ca="1">IFERROR(__xludf.DUMMYFUNCTION("""COMPUTED_VALUE"""),"01643863000140")</f>
        <v>01643863000140</v>
      </c>
      <c r="E299" s="241" t="str">
        <f ca="1">IFERROR(__xludf.DUMMYFUNCTION("""COMPUTED_VALUE"""),"001")</f>
        <v>001</v>
      </c>
      <c r="F299" s="241" t="str">
        <f ca="1">IFERROR(__xludf.DUMMYFUNCTION("""COMPUTED_VALUE"""),"2094")</f>
        <v>2094</v>
      </c>
      <c r="G299" s="240" t="str">
        <f ca="1">IFERROR(__xludf.DUMMYFUNCTION("""COMPUTED_VALUE"""),"27278")</f>
        <v>27278</v>
      </c>
      <c r="H299" s="240" t="str">
        <f ca="1">IFERROR(__xludf.DUMMYFUNCTION("""COMPUTED_VALUE"""),"E.F. PARCIAL")</f>
        <v>E.F. PARCIAL</v>
      </c>
      <c r="I299" s="242">
        <f ca="1">IFERROR(__xludf.DUMMYFUNCTION("""COMPUTED_VALUE"""),5733)</f>
        <v>5733</v>
      </c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</row>
    <row r="300" spans="1:26" ht="21" customHeight="1">
      <c r="A300" s="240" t="str">
        <f ca="1">IFERROR(__xludf.DUMMYFUNCTION("""COMPUTED_VALUE"""),"Colinas")</f>
        <v>Colinas</v>
      </c>
      <c r="B300" s="240" t="str">
        <f ca="1">IFERROR(__xludf.DUMMYFUNCTION("""COMPUTED_VALUE"""),"Itapiratins")</f>
        <v>Itapiratins</v>
      </c>
      <c r="C300" s="240" t="str">
        <f ca="1">IFERROR(__xludf.DUMMYFUNCTION("""COMPUTED_VALUE"""),"A.A. ESCOLA ESTADUAL REZENDE DE ALMEIDA")</f>
        <v>A.A. ESCOLA ESTADUAL REZENDE DE ALMEIDA</v>
      </c>
      <c r="D300" s="241" t="str">
        <f ca="1">IFERROR(__xludf.DUMMYFUNCTION("""COMPUTED_VALUE"""),"01643863000140")</f>
        <v>01643863000140</v>
      </c>
      <c r="E300" s="241" t="str">
        <f ca="1">IFERROR(__xludf.DUMMYFUNCTION("""COMPUTED_VALUE"""),"001")</f>
        <v>001</v>
      </c>
      <c r="F300" s="241" t="str">
        <f ca="1">IFERROR(__xludf.DUMMYFUNCTION("""COMPUTED_VALUE"""),"2094")</f>
        <v>2094</v>
      </c>
      <c r="G300" s="240" t="str">
        <f ca="1">IFERROR(__xludf.DUMMYFUNCTION("""COMPUTED_VALUE"""),"27278")</f>
        <v>27278</v>
      </c>
      <c r="H300" s="240" t="str">
        <f ca="1">IFERROR(__xludf.DUMMYFUNCTION("""COMPUTED_VALUE"""),"ENS MEDIO PARCIAL")</f>
        <v>ENS MEDIO PARCIAL</v>
      </c>
      <c r="I300" s="242">
        <f ca="1">IFERROR(__xludf.DUMMYFUNCTION("""COMPUTED_VALUE"""),4515)</f>
        <v>4515</v>
      </c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</row>
    <row r="301" spans="1:26" ht="21" customHeight="1">
      <c r="A301" s="240" t="str">
        <f ca="1">IFERROR(__xludf.DUMMYFUNCTION("""COMPUTED_VALUE"""),"Colinas")</f>
        <v>Colinas</v>
      </c>
      <c r="B301" s="240" t="str">
        <f ca="1">IFERROR(__xludf.DUMMYFUNCTION("""COMPUTED_VALUE"""),"Itapiratins")</f>
        <v>Itapiratins</v>
      </c>
      <c r="C301" s="240" t="str">
        <f ca="1">IFERROR(__xludf.DUMMYFUNCTION("""COMPUTED_VALUE"""),"A.A. ESCOLA ESTADUAL REZENDE DE ALMEIDA")</f>
        <v>A.A. ESCOLA ESTADUAL REZENDE DE ALMEIDA</v>
      </c>
      <c r="D301" s="241" t="str">
        <f ca="1">IFERROR(__xludf.DUMMYFUNCTION("""COMPUTED_VALUE"""),"01643863000140")</f>
        <v>01643863000140</v>
      </c>
      <c r="E301" s="241" t="str">
        <f ca="1">IFERROR(__xludf.DUMMYFUNCTION("""COMPUTED_VALUE"""),"001")</f>
        <v>001</v>
      </c>
      <c r="F301" s="241" t="str">
        <f ca="1">IFERROR(__xludf.DUMMYFUNCTION("""COMPUTED_VALUE"""),"2094")</f>
        <v>2094</v>
      </c>
      <c r="G301" s="240" t="str">
        <f ca="1">IFERROR(__xludf.DUMMYFUNCTION("""COMPUTED_VALUE"""),"27278")</f>
        <v>27278</v>
      </c>
      <c r="H301" s="240" t="str">
        <f ca="1">IFERROR(__xludf.DUMMYFUNCTION("""COMPUTED_VALUE"""),"EJA")</f>
        <v>EJA</v>
      </c>
      <c r="I301" s="242">
        <f ca="1">IFERROR(__xludf.DUMMYFUNCTION("""COMPUTED_VALUE"""),210)</f>
        <v>210</v>
      </c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</row>
    <row r="302" spans="1:26" ht="21" customHeight="1">
      <c r="A302" s="240" t="str">
        <f ca="1">IFERROR(__xludf.DUMMYFUNCTION("""COMPUTED_VALUE"""),"Colinas")</f>
        <v>Colinas</v>
      </c>
      <c r="B302" s="240" t="str">
        <f ca="1">IFERROR(__xludf.DUMMYFUNCTION("""COMPUTED_VALUE"""),"Juarina")</f>
        <v>Juarina</v>
      </c>
      <c r="C302" s="240" t="str">
        <f ca="1">IFERROR(__xludf.DUMMYFUNCTION("""COMPUTED_VALUE"""),"A.A. ESCOLA ESTADUAL ZICO DORNELAS")</f>
        <v>A.A. ESCOLA ESTADUAL ZICO DORNELAS</v>
      </c>
      <c r="D302" s="241" t="str">
        <f ca="1">IFERROR(__xludf.DUMMYFUNCTION("""COMPUTED_VALUE"""),"01136018000188")</f>
        <v>01136018000188</v>
      </c>
      <c r="E302" s="241" t="str">
        <f ca="1">IFERROR(__xludf.DUMMYFUNCTION("""COMPUTED_VALUE"""),"001")</f>
        <v>001</v>
      </c>
      <c r="F302" s="241" t="str">
        <f ca="1">IFERROR(__xludf.DUMMYFUNCTION("""COMPUTED_VALUE"""),"0911")</f>
        <v>0911</v>
      </c>
      <c r="G302" s="240" t="str">
        <f ca="1">IFERROR(__xludf.DUMMYFUNCTION("""COMPUTED_VALUE"""),"369349")</f>
        <v>369349</v>
      </c>
      <c r="H302" s="240" t="str">
        <f ca="1">IFERROR(__xludf.DUMMYFUNCTION("""COMPUTED_VALUE"""),"E.F. PARCIAL")</f>
        <v>E.F. PARCIAL</v>
      </c>
      <c r="I302" s="242">
        <f ca="1">IFERROR(__xludf.DUMMYFUNCTION("""COMPUTED_VALUE"""),1743)</f>
        <v>1743</v>
      </c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</row>
    <row r="303" spans="1:26" ht="21" customHeight="1">
      <c r="A303" s="240" t="str">
        <f ca="1">IFERROR(__xludf.DUMMYFUNCTION("""COMPUTED_VALUE"""),"Colinas")</f>
        <v>Colinas</v>
      </c>
      <c r="B303" s="240" t="str">
        <f ca="1">IFERROR(__xludf.DUMMYFUNCTION("""COMPUTED_VALUE"""),"Juarina")</f>
        <v>Juarina</v>
      </c>
      <c r="C303" s="240" t="str">
        <f ca="1">IFERROR(__xludf.DUMMYFUNCTION("""COMPUTED_VALUE"""),"A.A. ESCOLA ESTADUAL ZICO DORNELAS")</f>
        <v>A.A. ESCOLA ESTADUAL ZICO DORNELAS</v>
      </c>
      <c r="D303" s="241" t="str">
        <f ca="1">IFERROR(__xludf.DUMMYFUNCTION("""COMPUTED_VALUE"""),"01136018000188")</f>
        <v>01136018000188</v>
      </c>
      <c r="E303" s="241" t="str">
        <f ca="1">IFERROR(__xludf.DUMMYFUNCTION("""COMPUTED_VALUE"""),"001")</f>
        <v>001</v>
      </c>
      <c r="F303" s="241" t="str">
        <f ca="1">IFERROR(__xludf.DUMMYFUNCTION("""COMPUTED_VALUE"""),"0911")</f>
        <v>0911</v>
      </c>
      <c r="G303" s="240" t="str">
        <f ca="1">IFERROR(__xludf.DUMMYFUNCTION("""COMPUTED_VALUE"""),"369349")</f>
        <v>369349</v>
      </c>
      <c r="H303" s="240" t="str">
        <f ca="1">IFERROR(__xludf.DUMMYFUNCTION("""COMPUTED_VALUE"""),"AEE")</f>
        <v>AEE</v>
      </c>
      <c r="I303" s="242">
        <f ca="1">IFERROR(__xludf.DUMMYFUNCTION("""COMPUTED_VALUE"""),168)</f>
        <v>168</v>
      </c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</row>
    <row r="304" spans="1:26" ht="21" customHeight="1">
      <c r="A304" s="240" t="str">
        <f ca="1">IFERROR(__xludf.DUMMYFUNCTION("""COMPUTED_VALUE"""),"Colinas")</f>
        <v>Colinas</v>
      </c>
      <c r="B304" s="240" t="str">
        <f ca="1">IFERROR(__xludf.DUMMYFUNCTION("""COMPUTED_VALUE"""),"Juarina")</f>
        <v>Juarina</v>
      </c>
      <c r="C304" s="240" t="str">
        <f ca="1">IFERROR(__xludf.DUMMYFUNCTION("""COMPUTED_VALUE"""),"A.A. ESCOLA ESTADUAL ZICO DORNELAS")</f>
        <v>A.A. ESCOLA ESTADUAL ZICO DORNELAS</v>
      </c>
      <c r="D304" s="241" t="str">
        <f ca="1">IFERROR(__xludf.DUMMYFUNCTION("""COMPUTED_VALUE"""),"01136018000188")</f>
        <v>01136018000188</v>
      </c>
      <c r="E304" s="241" t="str">
        <f ca="1">IFERROR(__xludf.DUMMYFUNCTION("""COMPUTED_VALUE"""),"001")</f>
        <v>001</v>
      </c>
      <c r="F304" s="241" t="str">
        <f ca="1">IFERROR(__xludf.DUMMYFUNCTION("""COMPUTED_VALUE"""),"0911")</f>
        <v>0911</v>
      </c>
      <c r="G304" s="240" t="str">
        <f ca="1">IFERROR(__xludf.DUMMYFUNCTION("""COMPUTED_VALUE"""),"369349")</f>
        <v>369349</v>
      </c>
      <c r="H304" s="240" t="str">
        <f ca="1">IFERROR(__xludf.DUMMYFUNCTION("""COMPUTED_VALUE"""),"ENS MEDIO PARCIAL")</f>
        <v>ENS MEDIO PARCIAL</v>
      </c>
      <c r="I304" s="242">
        <f ca="1">IFERROR(__xludf.DUMMYFUNCTION("""COMPUTED_VALUE"""),2247)</f>
        <v>2247</v>
      </c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</row>
    <row r="305" spans="1:26" ht="21" customHeight="1">
      <c r="A305" s="240" t="str">
        <f ca="1">IFERROR(__xludf.DUMMYFUNCTION("""COMPUTED_VALUE"""),"Colinas")</f>
        <v>Colinas</v>
      </c>
      <c r="B305" s="240" t="str">
        <f ca="1">IFERROR(__xludf.DUMMYFUNCTION("""COMPUTED_VALUE"""),"Palmeirante")</f>
        <v>Palmeirante</v>
      </c>
      <c r="C305" s="240" t="str">
        <f ca="1">IFERROR(__xludf.DUMMYFUNCTION("""COMPUTED_VALUE"""),"ASS. COM. ESC. EST JOAO AIRES GABRIEL")</f>
        <v>ASS. COM. ESC. EST JOAO AIRES GABRIEL</v>
      </c>
      <c r="D305" s="241" t="str">
        <f ca="1">IFERROR(__xludf.DUMMYFUNCTION("""COMPUTED_VALUE"""),"01465793000187")</f>
        <v>01465793000187</v>
      </c>
      <c r="E305" s="241" t="str">
        <f ca="1">IFERROR(__xludf.DUMMYFUNCTION("""COMPUTED_VALUE"""),"001")</f>
        <v>001</v>
      </c>
      <c r="F305" s="241" t="str">
        <f ca="1">IFERROR(__xludf.DUMMYFUNCTION("""COMPUTED_VALUE"""),"0911")</f>
        <v>0911</v>
      </c>
      <c r="G305" s="240" t="str">
        <f ca="1">IFERROR(__xludf.DUMMYFUNCTION("""COMPUTED_VALUE"""),"342246")</f>
        <v>342246</v>
      </c>
      <c r="H305" s="240" t="str">
        <f ca="1">IFERROR(__xludf.DUMMYFUNCTION("""COMPUTED_VALUE"""),"E.F. PARCIAL")</f>
        <v>E.F. PARCIAL</v>
      </c>
      <c r="I305" s="242">
        <f ca="1">IFERROR(__xludf.DUMMYFUNCTION("""COMPUTED_VALUE"""),3654)</f>
        <v>3654</v>
      </c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</row>
    <row r="306" spans="1:26" ht="21" customHeight="1">
      <c r="A306" s="240" t="str">
        <f ca="1">IFERROR(__xludf.DUMMYFUNCTION("""COMPUTED_VALUE"""),"Colinas")</f>
        <v>Colinas</v>
      </c>
      <c r="B306" s="240" t="str">
        <f ca="1">IFERROR(__xludf.DUMMYFUNCTION("""COMPUTED_VALUE"""),"Palmeirante")</f>
        <v>Palmeirante</v>
      </c>
      <c r="C306" s="240" t="str">
        <f ca="1">IFERROR(__xludf.DUMMYFUNCTION("""COMPUTED_VALUE"""),"ASS. COM. ESC. EST JOAO AIRES GABRIEL")</f>
        <v>ASS. COM. ESC. EST JOAO AIRES GABRIEL</v>
      </c>
      <c r="D306" s="241" t="str">
        <f ca="1">IFERROR(__xludf.DUMMYFUNCTION("""COMPUTED_VALUE"""),"01465793000187")</f>
        <v>01465793000187</v>
      </c>
      <c r="E306" s="241" t="str">
        <f ca="1">IFERROR(__xludf.DUMMYFUNCTION("""COMPUTED_VALUE"""),"001")</f>
        <v>001</v>
      </c>
      <c r="F306" s="241" t="str">
        <f ca="1">IFERROR(__xludf.DUMMYFUNCTION("""COMPUTED_VALUE"""),"0911")</f>
        <v>0911</v>
      </c>
      <c r="G306" s="240" t="str">
        <f ca="1">IFERROR(__xludf.DUMMYFUNCTION("""COMPUTED_VALUE"""),"342246")</f>
        <v>342246</v>
      </c>
      <c r="H306" s="240" t="str">
        <f ca="1">IFERROR(__xludf.DUMMYFUNCTION("""COMPUTED_VALUE"""),"AEE")</f>
        <v>AEE</v>
      </c>
      <c r="I306" s="242">
        <f ca="1">IFERROR(__xludf.DUMMYFUNCTION("""COMPUTED_VALUE"""),315)</f>
        <v>315</v>
      </c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</row>
    <row r="307" spans="1:26" ht="21" customHeight="1">
      <c r="A307" s="240" t="str">
        <f ca="1">IFERROR(__xludf.DUMMYFUNCTION("""COMPUTED_VALUE"""),"Colinas")</f>
        <v>Colinas</v>
      </c>
      <c r="B307" s="240" t="str">
        <f ca="1">IFERROR(__xludf.DUMMYFUNCTION("""COMPUTED_VALUE"""),"Palmeirante")</f>
        <v>Palmeirante</v>
      </c>
      <c r="C307" s="240" t="str">
        <f ca="1">IFERROR(__xludf.DUMMYFUNCTION("""COMPUTED_VALUE"""),"ASS. COM. ESC. EST JOAO AIRES GABRIEL")</f>
        <v>ASS. COM. ESC. EST JOAO AIRES GABRIEL</v>
      </c>
      <c r="D307" s="241" t="str">
        <f ca="1">IFERROR(__xludf.DUMMYFUNCTION("""COMPUTED_VALUE"""),"01465793000187")</f>
        <v>01465793000187</v>
      </c>
      <c r="E307" s="241" t="str">
        <f ca="1">IFERROR(__xludf.DUMMYFUNCTION("""COMPUTED_VALUE"""),"001")</f>
        <v>001</v>
      </c>
      <c r="F307" s="241" t="str">
        <f ca="1">IFERROR(__xludf.DUMMYFUNCTION("""COMPUTED_VALUE"""),"0911")</f>
        <v>0911</v>
      </c>
      <c r="G307" s="240" t="str">
        <f ca="1">IFERROR(__xludf.DUMMYFUNCTION("""COMPUTED_VALUE"""),"342246")</f>
        <v>342246</v>
      </c>
      <c r="H307" s="240" t="str">
        <f ca="1">IFERROR(__xludf.DUMMYFUNCTION("""COMPUTED_VALUE"""),"ENS MEDIO PARCIAL")</f>
        <v>ENS MEDIO PARCIAL</v>
      </c>
      <c r="I307" s="242">
        <f ca="1">IFERROR(__xludf.DUMMYFUNCTION("""COMPUTED_VALUE"""),4473)</f>
        <v>4473</v>
      </c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</row>
    <row r="308" spans="1:26" ht="21" customHeight="1">
      <c r="A308" s="240" t="str">
        <f ca="1">IFERROR(__xludf.DUMMYFUNCTION("""COMPUTED_VALUE"""),"Colinas")</f>
        <v>Colinas</v>
      </c>
      <c r="B308" s="240" t="str">
        <f ca="1">IFERROR(__xludf.DUMMYFUNCTION("""COMPUTED_VALUE"""),"Pau D'arco")</f>
        <v>Pau D'arco</v>
      </c>
      <c r="C308" s="240" t="str">
        <f ca="1">IFERROR(__xludf.DUMMYFUNCTION("""COMPUTED_VALUE"""),"A.COM. ESCOLA EST. ULISSES GUIMARAES")</f>
        <v>A.COM. ESCOLA EST. ULISSES GUIMARAES</v>
      </c>
      <c r="D308" s="241" t="str">
        <f ca="1">IFERROR(__xludf.DUMMYFUNCTION("""COMPUTED_VALUE"""),"01181178000149")</f>
        <v>01181178000149</v>
      </c>
      <c r="E308" s="241" t="str">
        <f ca="1">IFERROR(__xludf.DUMMYFUNCTION("""COMPUTED_VALUE"""),"001")</f>
        <v>001</v>
      </c>
      <c r="F308" s="241" t="str">
        <f ca="1">IFERROR(__xludf.DUMMYFUNCTION("""COMPUTED_VALUE"""),"0911")</f>
        <v>0911</v>
      </c>
      <c r="G308" s="240" t="str">
        <f ca="1">IFERROR(__xludf.DUMMYFUNCTION("""COMPUTED_VALUE"""),"23485")</f>
        <v>23485</v>
      </c>
      <c r="H308" s="240" t="str">
        <f ca="1">IFERROR(__xludf.DUMMYFUNCTION("""COMPUTED_VALUE"""),"E.F. PARCIAL")</f>
        <v>E.F. PARCIAL</v>
      </c>
      <c r="I308" s="242">
        <f ca="1">IFERROR(__xludf.DUMMYFUNCTION("""COMPUTED_VALUE"""),6006)</f>
        <v>6006</v>
      </c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</row>
    <row r="309" spans="1:26" ht="21" customHeight="1">
      <c r="A309" s="240" t="str">
        <f ca="1">IFERROR(__xludf.DUMMYFUNCTION("""COMPUTED_VALUE"""),"Colinas")</f>
        <v>Colinas</v>
      </c>
      <c r="B309" s="240" t="str">
        <f ca="1">IFERROR(__xludf.DUMMYFUNCTION("""COMPUTED_VALUE"""),"Pau D'arco")</f>
        <v>Pau D'arco</v>
      </c>
      <c r="C309" s="240" t="str">
        <f ca="1">IFERROR(__xludf.DUMMYFUNCTION("""COMPUTED_VALUE"""),"A.COM. ESCOLA EST. ULISSES GUIMARAES")</f>
        <v>A.COM. ESCOLA EST. ULISSES GUIMARAES</v>
      </c>
      <c r="D309" s="241" t="str">
        <f ca="1">IFERROR(__xludf.DUMMYFUNCTION("""COMPUTED_VALUE"""),"01181178000149")</f>
        <v>01181178000149</v>
      </c>
      <c r="E309" s="241" t="str">
        <f ca="1">IFERROR(__xludf.DUMMYFUNCTION("""COMPUTED_VALUE"""),"001")</f>
        <v>001</v>
      </c>
      <c r="F309" s="241" t="str">
        <f ca="1">IFERROR(__xludf.DUMMYFUNCTION("""COMPUTED_VALUE"""),"0911")</f>
        <v>0911</v>
      </c>
      <c r="G309" s="240" t="str">
        <f ca="1">IFERROR(__xludf.DUMMYFUNCTION("""COMPUTED_VALUE"""),"23485")</f>
        <v>23485</v>
      </c>
      <c r="H309" s="240" t="str">
        <f ca="1">IFERROR(__xludf.DUMMYFUNCTION("""COMPUTED_VALUE"""),"AEE")</f>
        <v>AEE</v>
      </c>
      <c r="I309" s="242">
        <f ca="1">IFERROR(__xludf.DUMMYFUNCTION("""COMPUTED_VALUE"""),546)</f>
        <v>546</v>
      </c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</row>
    <row r="310" spans="1:26" ht="21" customHeight="1">
      <c r="A310" s="240" t="str">
        <f ca="1">IFERROR(__xludf.DUMMYFUNCTION("""COMPUTED_VALUE"""),"Colinas")</f>
        <v>Colinas</v>
      </c>
      <c r="B310" s="240" t="str">
        <f ca="1">IFERROR(__xludf.DUMMYFUNCTION("""COMPUTED_VALUE"""),"Pau D'arco")</f>
        <v>Pau D'arco</v>
      </c>
      <c r="C310" s="240" t="str">
        <f ca="1">IFERROR(__xludf.DUMMYFUNCTION("""COMPUTED_VALUE"""),"A.COM. ESCOLA EST. ULISSES GUIMARAES")</f>
        <v>A.COM. ESCOLA EST. ULISSES GUIMARAES</v>
      </c>
      <c r="D310" s="241" t="str">
        <f ca="1">IFERROR(__xludf.DUMMYFUNCTION("""COMPUTED_VALUE"""),"01181178000149")</f>
        <v>01181178000149</v>
      </c>
      <c r="E310" s="241" t="str">
        <f ca="1">IFERROR(__xludf.DUMMYFUNCTION("""COMPUTED_VALUE"""),"001")</f>
        <v>001</v>
      </c>
      <c r="F310" s="241" t="str">
        <f ca="1">IFERROR(__xludf.DUMMYFUNCTION("""COMPUTED_VALUE"""),"0911")</f>
        <v>0911</v>
      </c>
      <c r="G310" s="240" t="str">
        <f ca="1">IFERROR(__xludf.DUMMYFUNCTION("""COMPUTED_VALUE"""),"23485")</f>
        <v>23485</v>
      </c>
      <c r="H310" s="240" t="str">
        <f ca="1">IFERROR(__xludf.DUMMYFUNCTION("""COMPUTED_VALUE"""),"ENS MEDIO PARCIAL")</f>
        <v>ENS MEDIO PARCIAL</v>
      </c>
      <c r="I310" s="242">
        <f ca="1">IFERROR(__xludf.DUMMYFUNCTION("""COMPUTED_VALUE"""),3444)</f>
        <v>3444</v>
      </c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</row>
    <row r="311" spans="1:26" ht="21" customHeight="1">
      <c r="A311" s="240" t="str">
        <f ca="1">IFERROR(__xludf.DUMMYFUNCTION("""COMPUTED_VALUE"""),"Colinas")</f>
        <v>Colinas</v>
      </c>
      <c r="B311" s="240" t="str">
        <f ca="1">IFERROR(__xludf.DUMMYFUNCTION("""COMPUTED_VALUE"""),"Tupiratins")</f>
        <v>Tupiratins</v>
      </c>
      <c r="C311" s="240" t="str">
        <f ca="1">IFERROR(__xludf.DUMMYFUNCTION("""COMPUTED_VALUE"""),"A. DE AP. DA ESC. EST. SAO TOMAS DE AQUINO")</f>
        <v>A. DE AP. DA ESC. EST. SAO TOMAS DE AQUINO</v>
      </c>
      <c r="D311" s="241" t="str">
        <f ca="1">IFERROR(__xludf.DUMMYFUNCTION("""COMPUTED_VALUE"""),"01334791000159")</f>
        <v>01334791000159</v>
      </c>
      <c r="E311" s="241" t="str">
        <f ca="1">IFERROR(__xludf.DUMMYFUNCTION("""COMPUTED_VALUE"""),"001")</f>
        <v>001</v>
      </c>
      <c r="F311" s="241" t="str">
        <f ca="1">IFERROR(__xludf.DUMMYFUNCTION("""COMPUTED_VALUE"""),"0911")</f>
        <v>0911</v>
      </c>
      <c r="G311" s="240" t="str">
        <f ca="1">IFERROR(__xludf.DUMMYFUNCTION("""COMPUTED_VALUE"""),"370045")</f>
        <v>370045</v>
      </c>
      <c r="H311" s="240" t="str">
        <f ca="1">IFERROR(__xludf.DUMMYFUNCTION("""COMPUTED_VALUE"""),"E.F. PARCIAL")</f>
        <v>E.F. PARCIAL</v>
      </c>
      <c r="I311" s="242">
        <f ca="1">IFERROR(__xludf.DUMMYFUNCTION("""COMPUTED_VALUE"""),3108)</f>
        <v>3108</v>
      </c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</row>
    <row r="312" spans="1:26" ht="21" customHeight="1">
      <c r="A312" s="240" t="str">
        <f ca="1">IFERROR(__xludf.DUMMYFUNCTION("""COMPUTED_VALUE"""),"Colinas")</f>
        <v>Colinas</v>
      </c>
      <c r="B312" s="240" t="str">
        <f ca="1">IFERROR(__xludf.DUMMYFUNCTION("""COMPUTED_VALUE"""),"Tupiratins")</f>
        <v>Tupiratins</v>
      </c>
      <c r="C312" s="240" t="str">
        <f ca="1">IFERROR(__xludf.DUMMYFUNCTION("""COMPUTED_VALUE"""),"A. DE AP. DA ESC. EST. SAO TOMAS DE AQUINO")</f>
        <v>A. DE AP. DA ESC. EST. SAO TOMAS DE AQUINO</v>
      </c>
      <c r="D312" s="241" t="str">
        <f ca="1">IFERROR(__xludf.DUMMYFUNCTION("""COMPUTED_VALUE"""),"01334791000159")</f>
        <v>01334791000159</v>
      </c>
      <c r="E312" s="241" t="str">
        <f ca="1">IFERROR(__xludf.DUMMYFUNCTION("""COMPUTED_VALUE"""),"001")</f>
        <v>001</v>
      </c>
      <c r="F312" s="241" t="str">
        <f ca="1">IFERROR(__xludf.DUMMYFUNCTION("""COMPUTED_VALUE"""),"0911")</f>
        <v>0911</v>
      </c>
      <c r="G312" s="240" t="str">
        <f ca="1">IFERROR(__xludf.DUMMYFUNCTION("""COMPUTED_VALUE"""),"370045")</f>
        <v>370045</v>
      </c>
      <c r="H312" s="240" t="str">
        <f ca="1">IFERROR(__xludf.DUMMYFUNCTION("""COMPUTED_VALUE"""),"ENS MEDIO PARCIAL")</f>
        <v>ENS MEDIO PARCIAL</v>
      </c>
      <c r="I312" s="242">
        <f ca="1">IFERROR(__xludf.DUMMYFUNCTION("""COMPUTED_VALUE"""),1680)</f>
        <v>1680</v>
      </c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</row>
    <row r="313" spans="1:26" ht="21" customHeight="1">
      <c r="A313" s="240" t="str">
        <f ca="1">IFERROR(__xludf.DUMMYFUNCTION("""COMPUTED_VALUE"""),"Dianópolis")</f>
        <v>Dianópolis</v>
      </c>
      <c r="B313" s="240" t="str">
        <f ca="1">IFERROR(__xludf.DUMMYFUNCTION("""COMPUTED_VALUE"""),"Almas")</f>
        <v>Almas</v>
      </c>
      <c r="C313" s="240" t="str">
        <f ca="1">IFERROR(__xludf.DUMMYFUNCTION("""COMPUTED_VALUE"""),"A.A. COL. E.II GRAU DR.ABNER A.PACINI")</f>
        <v>A.A. COL. E.II GRAU DR.ABNER A.PACINI</v>
      </c>
      <c r="D313" s="241" t="str">
        <f ca="1">IFERROR(__xludf.DUMMYFUNCTION("""COMPUTED_VALUE"""),"01197160000135")</f>
        <v>01197160000135</v>
      </c>
      <c r="E313" s="241" t="str">
        <f ca="1">IFERROR(__xludf.DUMMYFUNCTION("""COMPUTED_VALUE"""),"001")</f>
        <v>001</v>
      </c>
      <c r="F313" s="241" t="str">
        <f ca="1">IFERROR(__xludf.DUMMYFUNCTION("""COMPUTED_VALUE"""),"1307")</f>
        <v>1307</v>
      </c>
      <c r="G313" s="240" t="str">
        <f ca="1">IFERROR(__xludf.DUMMYFUNCTION("""COMPUTED_VALUE"""),"0107700")</f>
        <v>0107700</v>
      </c>
      <c r="H313" s="240" t="str">
        <f ca="1">IFERROR(__xludf.DUMMYFUNCTION("""COMPUTED_VALUE"""),"E.F. PARCIAL")</f>
        <v>E.F. PARCIAL</v>
      </c>
      <c r="I313" s="242">
        <f ca="1">IFERROR(__xludf.DUMMYFUNCTION("""COMPUTED_VALUE"""),7581)</f>
        <v>7581</v>
      </c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</row>
    <row r="314" spans="1:26" ht="21" customHeight="1">
      <c r="A314" s="240" t="str">
        <f ca="1">IFERROR(__xludf.DUMMYFUNCTION("""COMPUTED_VALUE"""),"Dianópolis")</f>
        <v>Dianópolis</v>
      </c>
      <c r="B314" s="240" t="str">
        <f ca="1">IFERROR(__xludf.DUMMYFUNCTION("""COMPUTED_VALUE"""),"Almas")</f>
        <v>Almas</v>
      </c>
      <c r="C314" s="240" t="str">
        <f ca="1">IFERROR(__xludf.DUMMYFUNCTION("""COMPUTED_VALUE"""),"A.A. COL. E.II GRAU DR.ABNER A.PACINI")</f>
        <v>A.A. COL. E.II GRAU DR.ABNER A.PACINI</v>
      </c>
      <c r="D314" s="241" t="str">
        <f ca="1">IFERROR(__xludf.DUMMYFUNCTION("""COMPUTED_VALUE"""),"01197160000135")</f>
        <v>01197160000135</v>
      </c>
      <c r="E314" s="241" t="str">
        <f ca="1">IFERROR(__xludf.DUMMYFUNCTION("""COMPUTED_VALUE"""),"001")</f>
        <v>001</v>
      </c>
      <c r="F314" s="241" t="str">
        <f ca="1">IFERROR(__xludf.DUMMYFUNCTION("""COMPUTED_VALUE"""),"1307")</f>
        <v>1307</v>
      </c>
      <c r="G314" s="240" t="str">
        <f ca="1">IFERROR(__xludf.DUMMYFUNCTION("""COMPUTED_VALUE"""),"0107700")</f>
        <v>0107700</v>
      </c>
      <c r="H314" s="240" t="str">
        <f ca="1">IFERROR(__xludf.DUMMYFUNCTION("""COMPUTED_VALUE"""),"AEE")</f>
        <v>AEE</v>
      </c>
      <c r="I314" s="242">
        <f ca="1">IFERROR(__xludf.DUMMYFUNCTION("""COMPUTED_VALUE"""),420)</f>
        <v>420</v>
      </c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</row>
    <row r="315" spans="1:26" ht="21" customHeight="1">
      <c r="A315" s="240" t="str">
        <f ca="1">IFERROR(__xludf.DUMMYFUNCTION("""COMPUTED_VALUE"""),"Dianópolis")</f>
        <v>Dianópolis</v>
      </c>
      <c r="B315" s="240" t="str">
        <f ca="1">IFERROR(__xludf.DUMMYFUNCTION("""COMPUTED_VALUE"""),"Almas")</f>
        <v>Almas</v>
      </c>
      <c r="C315" s="240" t="str">
        <f ca="1">IFERROR(__xludf.DUMMYFUNCTION("""COMPUTED_VALUE"""),"A.A. COL. E.II GRAU DR.ABNER A.PACINI")</f>
        <v>A.A. COL. E.II GRAU DR.ABNER A.PACINI</v>
      </c>
      <c r="D315" s="241" t="str">
        <f ca="1">IFERROR(__xludf.DUMMYFUNCTION("""COMPUTED_VALUE"""),"01197160000135")</f>
        <v>01197160000135</v>
      </c>
      <c r="E315" s="241" t="str">
        <f ca="1">IFERROR(__xludf.DUMMYFUNCTION("""COMPUTED_VALUE"""),"001")</f>
        <v>001</v>
      </c>
      <c r="F315" s="241" t="str">
        <f ca="1">IFERROR(__xludf.DUMMYFUNCTION("""COMPUTED_VALUE"""),"1307")</f>
        <v>1307</v>
      </c>
      <c r="G315" s="240" t="str">
        <f ca="1">IFERROR(__xludf.DUMMYFUNCTION("""COMPUTED_VALUE"""),"0107700")</f>
        <v>0107700</v>
      </c>
      <c r="H315" s="240" t="str">
        <f ca="1">IFERROR(__xludf.DUMMYFUNCTION("""COMPUTED_VALUE"""),"ENS MEDIO PARCIAL")</f>
        <v>ENS MEDIO PARCIAL</v>
      </c>
      <c r="I315" s="242">
        <f ca="1">IFERROR(__xludf.DUMMYFUNCTION("""COMPUTED_VALUE"""),3822)</f>
        <v>3822</v>
      </c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</row>
    <row r="316" spans="1:26" ht="21" customHeight="1">
      <c r="A316" s="240" t="str">
        <f ca="1">IFERROR(__xludf.DUMMYFUNCTION("""COMPUTED_VALUE"""),"Dianópolis")</f>
        <v>Dianópolis</v>
      </c>
      <c r="B316" s="240" t="str">
        <f ca="1">IFERROR(__xludf.DUMMYFUNCTION("""COMPUTED_VALUE"""),"Conceicao do Tocantins")</f>
        <v>Conceicao do Tocantins</v>
      </c>
      <c r="C316" s="240" t="str">
        <f ca="1">IFERROR(__xludf.DUMMYFUNCTION("""COMPUTED_VALUE"""),"A.A. E. CEL JOSE FRANCISCO DE AZEVEDO")</f>
        <v>A.A. E. CEL JOSE FRANCISCO DE AZEVEDO</v>
      </c>
      <c r="D316" s="241" t="str">
        <f ca="1">IFERROR(__xludf.DUMMYFUNCTION("""COMPUTED_VALUE"""),"01136040000128")</f>
        <v>01136040000128</v>
      </c>
      <c r="E316" s="241" t="str">
        <f ca="1">IFERROR(__xludf.DUMMYFUNCTION("""COMPUTED_VALUE"""),"001")</f>
        <v>001</v>
      </c>
      <c r="F316" s="241" t="str">
        <f ca="1">IFERROR(__xludf.DUMMYFUNCTION("""COMPUTED_VALUE"""),"1307")</f>
        <v>1307</v>
      </c>
      <c r="G316" s="240" t="str">
        <f ca="1">IFERROR(__xludf.DUMMYFUNCTION("""COMPUTED_VALUE"""),"106208")</f>
        <v>106208</v>
      </c>
      <c r="H316" s="240" t="str">
        <f ca="1">IFERROR(__xludf.DUMMYFUNCTION("""COMPUTED_VALUE"""),"E.F. PARCIAL")</f>
        <v>E.F. PARCIAL</v>
      </c>
      <c r="I316" s="242">
        <f ca="1">IFERROR(__xludf.DUMMYFUNCTION("""COMPUTED_VALUE"""),5334)</f>
        <v>5334</v>
      </c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</row>
    <row r="317" spans="1:26" ht="21" customHeight="1">
      <c r="A317" s="240" t="str">
        <f ca="1">IFERROR(__xludf.DUMMYFUNCTION("""COMPUTED_VALUE"""),"Dianópolis")</f>
        <v>Dianópolis</v>
      </c>
      <c r="B317" s="240" t="str">
        <f ca="1">IFERROR(__xludf.DUMMYFUNCTION("""COMPUTED_VALUE"""),"Conceicao do Tocantins")</f>
        <v>Conceicao do Tocantins</v>
      </c>
      <c r="C317" s="240" t="str">
        <f ca="1">IFERROR(__xludf.DUMMYFUNCTION("""COMPUTED_VALUE"""),"A.A. E. CEL JOSE FRANCISCO DE AZEVEDO")</f>
        <v>A.A. E. CEL JOSE FRANCISCO DE AZEVEDO</v>
      </c>
      <c r="D317" s="241" t="str">
        <f ca="1">IFERROR(__xludf.DUMMYFUNCTION("""COMPUTED_VALUE"""),"01136040000128")</f>
        <v>01136040000128</v>
      </c>
      <c r="E317" s="241" t="str">
        <f ca="1">IFERROR(__xludf.DUMMYFUNCTION("""COMPUTED_VALUE"""),"001")</f>
        <v>001</v>
      </c>
      <c r="F317" s="241" t="str">
        <f ca="1">IFERROR(__xludf.DUMMYFUNCTION("""COMPUTED_VALUE"""),"1307")</f>
        <v>1307</v>
      </c>
      <c r="G317" s="240" t="str">
        <f ca="1">IFERROR(__xludf.DUMMYFUNCTION("""COMPUTED_VALUE"""),"106208")</f>
        <v>106208</v>
      </c>
      <c r="H317" s="240" t="str">
        <f ca="1">IFERROR(__xludf.DUMMYFUNCTION("""COMPUTED_VALUE"""),"AEE")</f>
        <v>AEE</v>
      </c>
      <c r="I317" s="242">
        <f ca="1">IFERROR(__xludf.DUMMYFUNCTION("""COMPUTED_VALUE"""),357)</f>
        <v>357</v>
      </c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</row>
    <row r="318" spans="1:26" ht="21" customHeight="1">
      <c r="A318" s="240" t="str">
        <f ca="1">IFERROR(__xludf.DUMMYFUNCTION("""COMPUTED_VALUE"""),"Dianópolis")</f>
        <v>Dianópolis</v>
      </c>
      <c r="B318" s="240" t="str">
        <f ca="1">IFERROR(__xludf.DUMMYFUNCTION("""COMPUTED_VALUE"""),"Conceicao do Tocantins")</f>
        <v>Conceicao do Tocantins</v>
      </c>
      <c r="C318" s="240" t="str">
        <f ca="1">IFERROR(__xludf.DUMMYFUNCTION("""COMPUTED_VALUE"""),"A.A. E. CEL JOSE FRANCISCO DE AZEVEDO")</f>
        <v>A.A. E. CEL JOSE FRANCISCO DE AZEVEDO</v>
      </c>
      <c r="D318" s="241" t="str">
        <f ca="1">IFERROR(__xludf.DUMMYFUNCTION("""COMPUTED_VALUE"""),"01136040000128")</f>
        <v>01136040000128</v>
      </c>
      <c r="E318" s="241" t="str">
        <f ca="1">IFERROR(__xludf.DUMMYFUNCTION("""COMPUTED_VALUE"""),"001")</f>
        <v>001</v>
      </c>
      <c r="F318" s="241" t="str">
        <f ca="1">IFERROR(__xludf.DUMMYFUNCTION("""COMPUTED_VALUE"""),"1307")</f>
        <v>1307</v>
      </c>
      <c r="G318" s="240" t="str">
        <f ca="1">IFERROR(__xludf.DUMMYFUNCTION("""COMPUTED_VALUE"""),"106208")</f>
        <v>106208</v>
      </c>
      <c r="H318" s="240" t="str">
        <f ca="1">IFERROR(__xludf.DUMMYFUNCTION("""COMPUTED_VALUE"""),"ENS MEDIO PARCIAL")</f>
        <v>ENS MEDIO PARCIAL</v>
      </c>
      <c r="I318" s="242">
        <f ca="1">IFERROR(__xludf.DUMMYFUNCTION("""COMPUTED_VALUE"""),4284)</f>
        <v>4284</v>
      </c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</row>
    <row r="319" spans="1:26" ht="21" customHeight="1">
      <c r="A319" s="240" t="str">
        <f ca="1">IFERROR(__xludf.DUMMYFUNCTION("""COMPUTED_VALUE"""),"Dianópolis")</f>
        <v>Dianópolis</v>
      </c>
      <c r="B319" s="240" t="str">
        <f ca="1">IFERROR(__xludf.DUMMYFUNCTION("""COMPUTED_VALUE"""),"Dianopolis")</f>
        <v>Dianopolis</v>
      </c>
      <c r="C319" s="240" t="str">
        <f ca="1">IFERROR(__xludf.DUMMYFUNCTION("""COMPUTED_VALUE"""),"A. ESC. COMUN.DA E. EST. ANTONIO POVOA")</f>
        <v>A. ESC. COMUN.DA E. EST. ANTONIO POVOA</v>
      </c>
      <c r="D319" s="241" t="str">
        <f ca="1">IFERROR(__xludf.DUMMYFUNCTION("""COMPUTED_VALUE"""),"00895665000100")</f>
        <v>00895665000100</v>
      </c>
      <c r="E319" s="241" t="str">
        <f ca="1">IFERROR(__xludf.DUMMYFUNCTION("""COMPUTED_VALUE"""),"001")</f>
        <v>001</v>
      </c>
      <c r="F319" s="241" t="str">
        <f ca="1">IFERROR(__xludf.DUMMYFUNCTION("""COMPUTED_VALUE"""),"1307")</f>
        <v>1307</v>
      </c>
      <c r="G319" s="240" t="str">
        <f ca="1">IFERROR(__xludf.DUMMYFUNCTION("""COMPUTED_VALUE"""),"010616X")</f>
        <v>010616X</v>
      </c>
      <c r="H319" s="240" t="str">
        <f ca="1">IFERROR(__xludf.DUMMYFUNCTION("""COMPUTED_VALUE"""),"E.F. PARCIAL")</f>
        <v>E.F. PARCIAL</v>
      </c>
      <c r="I319" s="242">
        <f ca="1">IFERROR(__xludf.DUMMYFUNCTION("""COMPUTED_VALUE"""),630)</f>
        <v>630</v>
      </c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</row>
    <row r="320" spans="1:26" ht="21" customHeight="1">
      <c r="A320" s="240" t="str">
        <f ca="1">IFERROR(__xludf.DUMMYFUNCTION("""COMPUTED_VALUE"""),"Dianópolis")</f>
        <v>Dianópolis</v>
      </c>
      <c r="B320" s="240" t="str">
        <f ca="1">IFERROR(__xludf.DUMMYFUNCTION("""COMPUTED_VALUE"""),"Dianopolis")</f>
        <v>Dianopolis</v>
      </c>
      <c r="C320" s="240" t="str">
        <f ca="1">IFERROR(__xludf.DUMMYFUNCTION("""COMPUTED_VALUE"""),"A. ESC. COMUN.DA E. EST. ANTONIO POVOA")</f>
        <v>A. ESC. COMUN.DA E. EST. ANTONIO POVOA</v>
      </c>
      <c r="D320" s="241" t="str">
        <f ca="1">IFERROR(__xludf.DUMMYFUNCTION("""COMPUTED_VALUE"""),"00895665000100")</f>
        <v>00895665000100</v>
      </c>
      <c r="E320" s="241" t="str">
        <f ca="1">IFERROR(__xludf.DUMMYFUNCTION("""COMPUTED_VALUE"""),"001")</f>
        <v>001</v>
      </c>
      <c r="F320" s="241" t="str">
        <f ca="1">IFERROR(__xludf.DUMMYFUNCTION("""COMPUTED_VALUE"""),"1307")</f>
        <v>1307</v>
      </c>
      <c r="G320" s="240" t="str">
        <f ca="1">IFERROR(__xludf.DUMMYFUNCTION("""COMPUTED_VALUE"""),"010616X")</f>
        <v>010616X</v>
      </c>
      <c r="H320" s="240" t="str">
        <f ca="1">IFERROR(__xludf.DUMMYFUNCTION("""COMPUTED_VALUE"""),"EJA")</f>
        <v>EJA</v>
      </c>
      <c r="I320" s="242">
        <f ca="1">IFERROR(__xludf.DUMMYFUNCTION("""COMPUTED_VALUE"""),2121)</f>
        <v>2121</v>
      </c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</row>
    <row r="321" spans="1:26" ht="21" customHeight="1">
      <c r="A321" s="240" t="str">
        <f ca="1">IFERROR(__xludf.DUMMYFUNCTION("""COMPUTED_VALUE"""),"Dianópolis")</f>
        <v>Dianópolis</v>
      </c>
      <c r="B321" s="240" t="str">
        <f ca="1">IFERROR(__xludf.DUMMYFUNCTION("""COMPUTED_VALUE"""),"Dianopolis")</f>
        <v>Dianopolis</v>
      </c>
      <c r="C321" s="240" t="str">
        <f ca="1">IFERROR(__xludf.DUMMYFUNCTION("""COMPUTED_VALUE"""),"A.A. ESCOLA ESTADUAL JOCA COSTA")</f>
        <v>A.A. ESCOLA ESTADUAL JOCA COSTA</v>
      </c>
      <c r="D321" s="241" t="str">
        <f ca="1">IFERROR(__xludf.DUMMYFUNCTION("""COMPUTED_VALUE"""),"01138323000109")</f>
        <v>01138323000109</v>
      </c>
      <c r="E321" s="241" t="str">
        <f ca="1">IFERROR(__xludf.DUMMYFUNCTION("""COMPUTED_VALUE"""),"001")</f>
        <v>001</v>
      </c>
      <c r="F321" s="241" t="str">
        <f ca="1">IFERROR(__xludf.DUMMYFUNCTION("""COMPUTED_VALUE"""),"1307")</f>
        <v>1307</v>
      </c>
      <c r="G321" s="240" t="str">
        <f ca="1">IFERROR(__xludf.DUMMYFUNCTION("""COMPUTED_VALUE"""),"107492")</f>
        <v>107492</v>
      </c>
      <c r="H321" s="240" t="str">
        <f ca="1">IFERROR(__xludf.DUMMYFUNCTION("""COMPUTED_VALUE"""),"E.F. PARCIAL")</f>
        <v>E.F. PARCIAL</v>
      </c>
      <c r="I321" s="242">
        <f ca="1">IFERROR(__xludf.DUMMYFUNCTION("""COMPUTED_VALUE"""),8022)</f>
        <v>8022</v>
      </c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</row>
    <row r="322" spans="1:26" ht="21" customHeight="1">
      <c r="A322" s="240" t="str">
        <f ca="1">IFERROR(__xludf.DUMMYFUNCTION("""COMPUTED_VALUE"""),"Dianópolis")</f>
        <v>Dianópolis</v>
      </c>
      <c r="B322" s="240" t="str">
        <f ca="1">IFERROR(__xludf.DUMMYFUNCTION("""COMPUTED_VALUE"""),"Dianopolis")</f>
        <v>Dianopolis</v>
      </c>
      <c r="C322" s="240" t="str">
        <f ca="1">IFERROR(__xludf.DUMMYFUNCTION("""COMPUTED_VALUE"""),"A.A. ESCOLA ESTADUAL JOCA COSTA")</f>
        <v>A.A. ESCOLA ESTADUAL JOCA COSTA</v>
      </c>
      <c r="D322" s="241" t="str">
        <f ca="1">IFERROR(__xludf.DUMMYFUNCTION("""COMPUTED_VALUE"""),"01138323000109")</f>
        <v>01138323000109</v>
      </c>
      <c r="E322" s="241" t="str">
        <f ca="1">IFERROR(__xludf.DUMMYFUNCTION("""COMPUTED_VALUE"""),"001")</f>
        <v>001</v>
      </c>
      <c r="F322" s="241" t="str">
        <f ca="1">IFERROR(__xludf.DUMMYFUNCTION("""COMPUTED_VALUE"""),"1307")</f>
        <v>1307</v>
      </c>
      <c r="G322" s="240" t="str">
        <f ca="1">IFERROR(__xludf.DUMMYFUNCTION("""COMPUTED_VALUE"""),"107492")</f>
        <v>107492</v>
      </c>
      <c r="H322" s="240" t="str">
        <f ca="1">IFERROR(__xludf.DUMMYFUNCTION("""COMPUTED_VALUE"""),"AEE")</f>
        <v>AEE</v>
      </c>
      <c r="I322" s="242">
        <f ca="1">IFERROR(__xludf.DUMMYFUNCTION("""COMPUTED_VALUE"""),441)</f>
        <v>441</v>
      </c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</row>
    <row r="323" spans="1:26" ht="21" customHeight="1">
      <c r="A323" s="240" t="str">
        <f ca="1">IFERROR(__xludf.DUMMYFUNCTION("""COMPUTED_VALUE"""),"Dianópolis")</f>
        <v>Dianópolis</v>
      </c>
      <c r="B323" s="240" t="str">
        <f ca="1">IFERROR(__xludf.DUMMYFUNCTION("""COMPUTED_VALUE"""),"Dianopolis")</f>
        <v>Dianopolis</v>
      </c>
      <c r="C323" s="240" t="str">
        <f ca="1">IFERROR(__xludf.DUMMYFUNCTION("""COMPUTED_VALUE"""),"ASS. APOIO ESC. EST.CEL.ABILIO WOLNEY")</f>
        <v>ASS. APOIO ESC. EST.CEL.ABILIO WOLNEY</v>
      </c>
      <c r="D323" s="241" t="str">
        <f ca="1">IFERROR(__xludf.DUMMYFUNCTION("""COMPUTED_VALUE"""),"01197161000180")</f>
        <v>01197161000180</v>
      </c>
      <c r="E323" s="241" t="str">
        <f ca="1">IFERROR(__xludf.DUMMYFUNCTION("""COMPUTED_VALUE"""),"001")</f>
        <v>001</v>
      </c>
      <c r="F323" s="241" t="str">
        <f ca="1">IFERROR(__xludf.DUMMYFUNCTION("""COMPUTED_VALUE"""),"1307")</f>
        <v>1307</v>
      </c>
      <c r="G323" s="240" t="str">
        <f ca="1">IFERROR(__xludf.DUMMYFUNCTION("""COMPUTED_VALUE"""),"120464")</f>
        <v>120464</v>
      </c>
      <c r="H323" s="240" t="str">
        <f ca="1">IFERROR(__xludf.DUMMYFUNCTION("""COMPUTED_VALUE"""),"E.F. PARCIAL")</f>
        <v>E.F. PARCIAL</v>
      </c>
      <c r="I323" s="242">
        <f ca="1">IFERROR(__xludf.DUMMYFUNCTION("""COMPUTED_VALUE"""),4935)</f>
        <v>4935</v>
      </c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</row>
    <row r="324" spans="1:26" ht="21" customHeight="1">
      <c r="A324" s="240" t="str">
        <f ca="1">IFERROR(__xludf.DUMMYFUNCTION("""COMPUTED_VALUE"""),"Dianópolis")</f>
        <v>Dianópolis</v>
      </c>
      <c r="B324" s="240" t="str">
        <f ca="1">IFERROR(__xludf.DUMMYFUNCTION("""COMPUTED_VALUE"""),"Dianopolis")</f>
        <v>Dianopolis</v>
      </c>
      <c r="C324" s="240" t="str">
        <f ca="1">IFERROR(__xludf.DUMMYFUNCTION("""COMPUTED_VALUE"""),"ASS. APOIO ESC. EST.CEL.ABILIO WOLNEY")</f>
        <v>ASS. APOIO ESC. EST.CEL.ABILIO WOLNEY</v>
      </c>
      <c r="D324" s="241" t="str">
        <f ca="1">IFERROR(__xludf.DUMMYFUNCTION("""COMPUTED_VALUE"""),"01197161000180")</f>
        <v>01197161000180</v>
      </c>
      <c r="E324" s="241" t="str">
        <f ca="1">IFERROR(__xludf.DUMMYFUNCTION("""COMPUTED_VALUE"""),"001")</f>
        <v>001</v>
      </c>
      <c r="F324" s="241" t="str">
        <f ca="1">IFERROR(__xludf.DUMMYFUNCTION("""COMPUTED_VALUE"""),"1307")</f>
        <v>1307</v>
      </c>
      <c r="G324" s="240" t="str">
        <f ca="1">IFERROR(__xludf.DUMMYFUNCTION("""COMPUTED_VALUE"""),"120464")</f>
        <v>120464</v>
      </c>
      <c r="H324" s="240" t="str">
        <f ca="1">IFERROR(__xludf.DUMMYFUNCTION("""COMPUTED_VALUE"""),"ENS MEDIO PARCIAL")</f>
        <v>ENS MEDIO PARCIAL</v>
      </c>
      <c r="I324" s="242">
        <f ca="1">IFERROR(__xludf.DUMMYFUNCTION("""COMPUTED_VALUE"""),5103)</f>
        <v>5103</v>
      </c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</row>
    <row r="325" spans="1:26" ht="21" customHeight="1">
      <c r="A325" s="240" t="str">
        <f ca="1">IFERROR(__xludf.DUMMYFUNCTION("""COMPUTED_VALUE"""),"Dianópolis")</f>
        <v>Dianópolis</v>
      </c>
      <c r="B325" s="240" t="str">
        <f ca="1">IFERROR(__xludf.DUMMYFUNCTION("""COMPUTED_VALUE"""),"Dianopolis")</f>
        <v>Dianopolis</v>
      </c>
      <c r="C325" s="240" t="str">
        <f ca="1">IFERROR(__xludf.DUMMYFUNCTION("""COMPUTED_VALUE"""),"A. DE APOIO AO COLEGIO JOAO DE ABREU")</f>
        <v>A. DE APOIO AO COLEGIO JOAO DE ABREU</v>
      </c>
      <c r="D325" s="241" t="str">
        <f ca="1">IFERROR(__xludf.DUMMYFUNCTION("""COMPUTED_VALUE"""),"05059617000104")</f>
        <v>05059617000104</v>
      </c>
      <c r="E325" s="241" t="str">
        <f ca="1">IFERROR(__xludf.DUMMYFUNCTION("""COMPUTED_VALUE"""),"001")</f>
        <v>001</v>
      </c>
      <c r="F325" s="241" t="str">
        <f ca="1">IFERROR(__xludf.DUMMYFUNCTION("""COMPUTED_VALUE"""),"1307")</f>
        <v>1307</v>
      </c>
      <c r="G325" s="240" t="str">
        <f ca="1">IFERROR(__xludf.DUMMYFUNCTION("""COMPUTED_VALUE"""),"127027")</f>
        <v>127027</v>
      </c>
      <c r="H325" s="240" t="str">
        <f ca="1">IFERROR(__xludf.DUMMYFUNCTION("""COMPUTED_VALUE"""),"E.F. PARCIAL")</f>
        <v>E.F. PARCIAL</v>
      </c>
      <c r="I325" s="242">
        <f ca="1">IFERROR(__xludf.DUMMYFUNCTION("""COMPUTED_VALUE"""),12642)</f>
        <v>12642</v>
      </c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</row>
    <row r="326" spans="1:26" ht="21" customHeight="1">
      <c r="A326" s="240" t="str">
        <f ca="1">IFERROR(__xludf.DUMMYFUNCTION("""COMPUTED_VALUE"""),"Dianópolis")</f>
        <v>Dianópolis</v>
      </c>
      <c r="B326" s="240" t="str">
        <f ca="1">IFERROR(__xludf.DUMMYFUNCTION("""COMPUTED_VALUE"""),"Dianopolis")</f>
        <v>Dianopolis</v>
      </c>
      <c r="C326" s="240" t="str">
        <f ca="1">IFERROR(__xludf.DUMMYFUNCTION("""COMPUTED_VALUE"""),"A. DE APOIO AO COLEGIO JOAO DE ABREU")</f>
        <v>A. DE APOIO AO COLEGIO JOAO DE ABREU</v>
      </c>
      <c r="D326" s="241" t="str">
        <f ca="1">IFERROR(__xludf.DUMMYFUNCTION("""COMPUTED_VALUE"""),"05059617000104")</f>
        <v>05059617000104</v>
      </c>
      <c r="E326" s="241" t="str">
        <f ca="1">IFERROR(__xludf.DUMMYFUNCTION("""COMPUTED_VALUE"""),"001")</f>
        <v>001</v>
      </c>
      <c r="F326" s="241" t="str">
        <f ca="1">IFERROR(__xludf.DUMMYFUNCTION("""COMPUTED_VALUE"""),"1307")</f>
        <v>1307</v>
      </c>
      <c r="G326" s="240" t="str">
        <f ca="1">IFERROR(__xludf.DUMMYFUNCTION("""COMPUTED_VALUE"""),"127027")</f>
        <v>127027</v>
      </c>
      <c r="H326" s="240" t="str">
        <f ca="1">IFERROR(__xludf.DUMMYFUNCTION("""COMPUTED_VALUE"""),"AEE")</f>
        <v>AEE</v>
      </c>
      <c r="I326" s="242">
        <f ca="1">IFERROR(__xludf.DUMMYFUNCTION("""COMPUTED_VALUE"""),315)</f>
        <v>315</v>
      </c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</row>
    <row r="327" spans="1:26" ht="21" customHeight="1">
      <c r="A327" s="240" t="str">
        <f ca="1">IFERROR(__xludf.DUMMYFUNCTION("""COMPUTED_VALUE"""),"Dianópolis")</f>
        <v>Dianópolis</v>
      </c>
      <c r="B327" s="240" t="str">
        <f ca="1">IFERROR(__xludf.DUMMYFUNCTION("""COMPUTED_VALUE"""),"Dianopolis")</f>
        <v>Dianopolis</v>
      </c>
      <c r="C327" s="240" t="str">
        <f ca="1">IFERROR(__xludf.DUMMYFUNCTION("""COMPUTED_VALUE"""),"A. DE APOIO AO COLEGIO JOAO DE ABREU")</f>
        <v>A. DE APOIO AO COLEGIO JOAO DE ABREU</v>
      </c>
      <c r="D327" s="241" t="str">
        <f ca="1">IFERROR(__xludf.DUMMYFUNCTION("""COMPUTED_VALUE"""),"05059617000104")</f>
        <v>05059617000104</v>
      </c>
      <c r="E327" s="241" t="str">
        <f ca="1">IFERROR(__xludf.DUMMYFUNCTION("""COMPUTED_VALUE"""),"001")</f>
        <v>001</v>
      </c>
      <c r="F327" s="241" t="str">
        <f ca="1">IFERROR(__xludf.DUMMYFUNCTION("""COMPUTED_VALUE"""),"1307")</f>
        <v>1307</v>
      </c>
      <c r="G327" s="240" t="str">
        <f ca="1">IFERROR(__xludf.DUMMYFUNCTION("""COMPUTED_VALUE"""),"127027")</f>
        <v>127027</v>
      </c>
      <c r="H327" s="240" t="str">
        <f ca="1">IFERROR(__xludf.DUMMYFUNCTION("""COMPUTED_VALUE"""),"ENS MEDIO PARCIAL")</f>
        <v>ENS MEDIO PARCIAL</v>
      </c>
      <c r="I327" s="242">
        <f ca="1">IFERROR(__xludf.DUMMYFUNCTION("""COMPUTED_VALUE"""),7497)</f>
        <v>7497</v>
      </c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</row>
    <row r="328" spans="1:26" ht="21" customHeight="1">
      <c r="A328" s="240" t="str">
        <f ca="1">IFERROR(__xludf.DUMMYFUNCTION("""COMPUTED_VALUE"""),"Dianópolis")</f>
        <v>Dianópolis</v>
      </c>
      <c r="B328" s="240" t="str">
        <f ca="1">IFERROR(__xludf.DUMMYFUNCTION("""COMPUTED_VALUE"""),"Dianopolis")</f>
        <v>Dianopolis</v>
      </c>
      <c r="C328" s="240" t="str">
        <f ca="1">IFERROR(__xludf.DUMMYFUNCTION("""COMPUTED_VALUE"""),"ASSOC. DE APOIO A ESCOLA COOPERATIVA CHAPADÃO/DIANÓPOLIS")</f>
        <v>ASSOC. DE APOIO A ESCOLA COOPERATIVA CHAPADÃO/DIANÓPOLIS</v>
      </c>
      <c r="D328" s="241" t="str">
        <f ca="1">IFERROR(__xludf.DUMMYFUNCTION("""COMPUTED_VALUE"""),"07056712000171")</f>
        <v>07056712000171</v>
      </c>
      <c r="E328" s="241" t="str">
        <f ca="1">IFERROR(__xludf.DUMMYFUNCTION("""COMPUTED_VALUE"""),"001")</f>
        <v>001</v>
      </c>
      <c r="F328" s="241" t="str">
        <f ca="1">IFERROR(__xludf.DUMMYFUNCTION("""COMPUTED_VALUE"""),"1307")</f>
        <v>1307</v>
      </c>
      <c r="G328" s="240" t="str">
        <f ca="1">IFERROR(__xludf.DUMMYFUNCTION("""COMPUTED_VALUE"""),"15704X")</f>
        <v>15704X</v>
      </c>
      <c r="H328" s="240" t="str">
        <f ca="1">IFERROR(__xludf.DUMMYFUNCTION("""COMPUTED_VALUE"""),"E.F. PARCIAL")</f>
        <v>E.F. PARCIAL</v>
      </c>
      <c r="I328" s="242">
        <f ca="1">IFERROR(__xludf.DUMMYFUNCTION("""COMPUTED_VALUE"""),2961)</f>
        <v>2961</v>
      </c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</row>
    <row r="329" spans="1:26" ht="21" customHeight="1">
      <c r="A329" s="240" t="str">
        <f ca="1">IFERROR(__xludf.DUMMYFUNCTION("""COMPUTED_VALUE"""),"Dianópolis")</f>
        <v>Dianópolis</v>
      </c>
      <c r="B329" s="240" t="str">
        <f ca="1">IFERROR(__xludf.DUMMYFUNCTION("""COMPUTED_VALUE"""),"Dianopolis")</f>
        <v>Dianopolis</v>
      </c>
      <c r="C329" s="240" t="str">
        <f ca="1">IFERROR(__xludf.DUMMYFUNCTION("""COMPUTED_VALUE"""),"ASSOC. DE APOIO A ESCOLA COOPERATIVA CHAPADÃO/DIANÓPOLIS")</f>
        <v>ASSOC. DE APOIO A ESCOLA COOPERATIVA CHAPADÃO/DIANÓPOLIS</v>
      </c>
      <c r="D329" s="241" t="str">
        <f ca="1">IFERROR(__xludf.DUMMYFUNCTION("""COMPUTED_VALUE"""),"07056712000171")</f>
        <v>07056712000171</v>
      </c>
      <c r="E329" s="241" t="str">
        <f ca="1">IFERROR(__xludf.DUMMYFUNCTION("""COMPUTED_VALUE"""),"001")</f>
        <v>001</v>
      </c>
      <c r="F329" s="241" t="str">
        <f ca="1">IFERROR(__xludf.DUMMYFUNCTION("""COMPUTED_VALUE"""),"1307")</f>
        <v>1307</v>
      </c>
      <c r="G329" s="240" t="str">
        <f ca="1">IFERROR(__xludf.DUMMYFUNCTION("""COMPUTED_VALUE"""),"15704X")</f>
        <v>15704X</v>
      </c>
      <c r="H329" s="240" t="str">
        <f ca="1">IFERROR(__xludf.DUMMYFUNCTION("""COMPUTED_VALUE"""),"AEE")</f>
        <v>AEE</v>
      </c>
      <c r="I329" s="242">
        <f ca="1">IFERROR(__xludf.DUMMYFUNCTION("""COMPUTED_VALUE"""),315)</f>
        <v>315</v>
      </c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</row>
    <row r="330" spans="1:26" ht="21" customHeight="1">
      <c r="A330" s="240" t="str">
        <f ca="1">IFERROR(__xludf.DUMMYFUNCTION("""COMPUTED_VALUE"""),"Dianópolis")</f>
        <v>Dianópolis</v>
      </c>
      <c r="B330" s="240" t="str">
        <f ca="1">IFERROR(__xludf.DUMMYFUNCTION("""COMPUTED_VALUE"""),"Dianopolis")</f>
        <v>Dianopolis</v>
      </c>
      <c r="C330" s="240" t="str">
        <f ca="1">IFERROR(__xludf.DUMMYFUNCTION("""COMPUTED_VALUE"""),"ASSOC. DE APOIO A ESCOLA COOPERATIVA CHAPADÃO/DIANÓPOLIS")</f>
        <v>ASSOC. DE APOIO A ESCOLA COOPERATIVA CHAPADÃO/DIANÓPOLIS</v>
      </c>
      <c r="D330" s="241" t="str">
        <f ca="1">IFERROR(__xludf.DUMMYFUNCTION("""COMPUTED_VALUE"""),"07056712000171")</f>
        <v>07056712000171</v>
      </c>
      <c r="E330" s="241" t="str">
        <f ca="1">IFERROR(__xludf.DUMMYFUNCTION("""COMPUTED_VALUE"""),"001")</f>
        <v>001</v>
      </c>
      <c r="F330" s="241" t="str">
        <f ca="1">IFERROR(__xludf.DUMMYFUNCTION("""COMPUTED_VALUE"""),"1307")</f>
        <v>1307</v>
      </c>
      <c r="G330" s="240" t="str">
        <f ca="1">IFERROR(__xludf.DUMMYFUNCTION("""COMPUTED_VALUE"""),"15704X")</f>
        <v>15704X</v>
      </c>
      <c r="H330" s="240" t="str">
        <f ca="1">IFERROR(__xludf.DUMMYFUNCTION("""COMPUTED_VALUE"""),"ENS MEDIO PARCIAL")</f>
        <v>ENS MEDIO PARCIAL</v>
      </c>
      <c r="I330" s="242">
        <f ca="1">IFERROR(__xludf.DUMMYFUNCTION("""COMPUTED_VALUE"""),525)</f>
        <v>525</v>
      </c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</row>
    <row r="331" spans="1:26" ht="21" customHeight="1">
      <c r="A331" s="240" t="str">
        <f ca="1">IFERROR(__xludf.DUMMYFUNCTION("""COMPUTED_VALUE"""),"Dianópolis")</f>
        <v>Dianópolis</v>
      </c>
      <c r="B331" s="240" t="str">
        <f ca="1">IFERROR(__xludf.DUMMYFUNCTION("""COMPUTED_VALUE"""),"Dianopolis")</f>
        <v>Dianopolis</v>
      </c>
      <c r="C331" s="240" t="str">
        <f ca="1">IFERROR(__xludf.DUMMYFUNCTION("""COMPUTED_VALUE"""),"ESCOLA ESPECIAL COLIBRI")</f>
        <v>ESCOLA ESPECIAL COLIBRI</v>
      </c>
      <c r="D331" s="241" t="str">
        <f ca="1">IFERROR(__xludf.DUMMYFUNCTION("""COMPUTED_VALUE"""),"15413383000105")</f>
        <v>15413383000105</v>
      </c>
      <c r="E331" s="241" t="str">
        <f ca="1">IFERROR(__xludf.DUMMYFUNCTION("""COMPUTED_VALUE"""),"001")</f>
        <v>001</v>
      </c>
      <c r="F331" s="241" t="str">
        <f ca="1">IFERROR(__xludf.DUMMYFUNCTION("""COMPUTED_VALUE"""),"1307")</f>
        <v>1307</v>
      </c>
      <c r="G331" s="240" t="str">
        <f ca="1">IFERROR(__xludf.DUMMYFUNCTION("""COMPUTED_VALUE"""),"312967")</f>
        <v>312967</v>
      </c>
      <c r="H331" s="240" t="str">
        <f ca="1">IFERROR(__xludf.DUMMYFUNCTION("""COMPUTED_VALUE"""),"E.F. PARCIAL")</f>
        <v>E.F. PARCIAL</v>
      </c>
      <c r="I331" s="242">
        <f ca="1">IFERROR(__xludf.DUMMYFUNCTION("""COMPUTED_VALUE"""),483)</f>
        <v>483</v>
      </c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</row>
    <row r="332" spans="1:26" ht="21" customHeight="1">
      <c r="A332" s="240" t="str">
        <f ca="1">IFERROR(__xludf.DUMMYFUNCTION("""COMPUTED_VALUE"""),"Dianópolis")</f>
        <v>Dianópolis</v>
      </c>
      <c r="B332" s="240" t="str">
        <f ca="1">IFERROR(__xludf.DUMMYFUNCTION("""COMPUTED_VALUE"""),"Dianopolis")</f>
        <v>Dianopolis</v>
      </c>
      <c r="C332" s="240" t="str">
        <f ca="1">IFERROR(__xludf.DUMMYFUNCTION("""COMPUTED_VALUE"""),"ESCOLA ESPECIAL COLIBRI")</f>
        <v>ESCOLA ESPECIAL COLIBRI</v>
      </c>
      <c r="D332" s="241" t="str">
        <f ca="1">IFERROR(__xludf.DUMMYFUNCTION("""COMPUTED_VALUE"""),"15413383000105")</f>
        <v>15413383000105</v>
      </c>
      <c r="E332" s="241" t="str">
        <f ca="1">IFERROR(__xludf.DUMMYFUNCTION("""COMPUTED_VALUE"""),"001")</f>
        <v>001</v>
      </c>
      <c r="F332" s="241" t="str">
        <f ca="1">IFERROR(__xludf.DUMMYFUNCTION("""COMPUTED_VALUE"""),"1307")</f>
        <v>1307</v>
      </c>
      <c r="G332" s="240" t="str">
        <f ca="1">IFERROR(__xludf.DUMMYFUNCTION("""COMPUTED_VALUE"""),"312967")</f>
        <v>312967</v>
      </c>
      <c r="H332" s="240" t="str">
        <f ca="1">IFERROR(__xludf.DUMMYFUNCTION("""COMPUTED_VALUE"""),"AEE")</f>
        <v>AEE</v>
      </c>
      <c r="I332" s="242">
        <f ca="1">IFERROR(__xludf.DUMMYFUNCTION("""COMPUTED_VALUE"""),1491)</f>
        <v>1491</v>
      </c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</row>
    <row r="333" spans="1:26" ht="21" customHeight="1">
      <c r="A333" s="240" t="str">
        <f ca="1">IFERROR(__xludf.DUMMYFUNCTION("""COMPUTED_VALUE"""),"Dianópolis")</f>
        <v>Dianópolis</v>
      </c>
      <c r="B333" s="240" t="str">
        <f ca="1">IFERROR(__xludf.DUMMYFUNCTION("""COMPUTED_VALUE"""),"Dianopolis")</f>
        <v>Dianopolis</v>
      </c>
      <c r="C333" s="240" t="str">
        <f ca="1">IFERROR(__xludf.DUMMYFUNCTION("""COMPUTED_VALUE"""),"ESCOLA ESPECIAL COLIBRI")</f>
        <v>ESCOLA ESPECIAL COLIBRI</v>
      </c>
      <c r="D333" s="241" t="str">
        <f ca="1">IFERROR(__xludf.DUMMYFUNCTION("""COMPUTED_VALUE"""),"15413383000105")</f>
        <v>15413383000105</v>
      </c>
      <c r="E333" s="241" t="str">
        <f ca="1">IFERROR(__xludf.DUMMYFUNCTION("""COMPUTED_VALUE"""),"001")</f>
        <v>001</v>
      </c>
      <c r="F333" s="241" t="str">
        <f ca="1">IFERROR(__xludf.DUMMYFUNCTION("""COMPUTED_VALUE"""),"1307")</f>
        <v>1307</v>
      </c>
      <c r="G333" s="240" t="str">
        <f ca="1">IFERROR(__xludf.DUMMYFUNCTION("""COMPUTED_VALUE"""),"312967")</f>
        <v>312967</v>
      </c>
      <c r="H333" s="240" t="str">
        <f ca="1">IFERROR(__xludf.DUMMYFUNCTION("""COMPUTED_VALUE"""),"EJA")</f>
        <v>EJA</v>
      </c>
      <c r="I333" s="242">
        <f ca="1">IFERROR(__xludf.DUMMYFUNCTION("""COMPUTED_VALUE"""),1071)</f>
        <v>1071</v>
      </c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</row>
    <row r="334" spans="1:26" ht="21" customHeight="1">
      <c r="A334" s="240" t="str">
        <f ca="1">IFERROR(__xludf.DUMMYFUNCTION("""COMPUTED_VALUE"""),"Dianópolis")</f>
        <v>Dianópolis</v>
      </c>
      <c r="B334" s="240" t="str">
        <f ca="1">IFERROR(__xludf.DUMMYFUNCTION("""COMPUTED_VALUE"""),"Novo Jardim")</f>
        <v>Novo Jardim</v>
      </c>
      <c r="C334" s="240" t="str">
        <f ca="1">IFERROR(__xludf.DUMMYFUNCTION("""COMPUTED_VALUE"""),"ASS. DE AP. DA ESCOLA ESTADUAL JARDIM")</f>
        <v>ASS. DE AP. DA ESCOLA ESTADUAL JARDIM</v>
      </c>
      <c r="D334" s="241" t="str">
        <f ca="1">IFERROR(__xludf.DUMMYFUNCTION("""COMPUTED_VALUE"""),"01408711000162")</f>
        <v>01408711000162</v>
      </c>
      <c r="E334" s="241" t="str">
        <f ca="1">IFERROR(__xludf.DUMMYFUNCTION("""COMPUTED_VALUE"""),"001")</f>
        <v>001</v>
      </c>
      <c r="F334" s="241" t="str">
        <f ca="1">IFERROR(__xludf.DUMMYFUNCTION("""COMPUTED_VALUE"""),"1307")</f>
        <v>1307</v>
      </c>
      <c r="G334" s="240" t="str">
        <f ca="1">IFERROR(__xludf.DUMMYFUNCTION("""COMPUTED_VALUE"""),"106453")</f>
        <v>106453</v>
      </c>
      <c r="H334" s="240" t="str">
        <f ca="1">IFERROR(__xludf.DUMMYFUNCTION("""COMPUTED_VALUE"""),"E.F. PARCIAL")</f>
        <v>E.F. PARCIAL</v>
      </c>
      <c r="I334" s="242">
        <f ca="1">IFERROR(__xludf.DUMMYFUNCTION("""COMPUTED_VALUE"""),4683)</f>
        <v>4683</v>
      </c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</row>
    <row r="335" spans="1:26" ht="21" customHeight="1">
      <c r="A335" s="240" t="str">
        <f ca="1">IFERROR(__xludf.DUMMYFUNCTION("""COMPUTED_VALUE"""),"Dianópolis")</f>
        <v>Dianópolis</v>
      </c>
      <c r="B335" s="240" t="str">
        <f ca="1">IFERROR(__xludf.DUMMYFUNCTION("""COMPUTED_VALUE"""),"Novo Jardim")</f>
        <v>Novo Jardim</v>
      </c>
      <c r="C335" s="240" t="str">
        <f ca="1">IFERROR(__xludf.DUMMYFUNCTION("""COMPUTED_VALUE"""),"ASS. DE AP. DA ESCOLA ESTADUAL JARDIM")</f>
        <v>ASS. DE AP. DA ESCOLA ESTADUAL JARDIM</v>
      </c>
      <c r="D335" s="241" t="str">
        <f ca="1">IFERROR(__xludf.DUMMYFUNCTION("""COMPUTED_VALUE"""),"01408711000162")</f>
        <v>01408711000162</v>
      </c>
      <c r="E335" s="241" t="str">
        <f ca="1">IFERROR(__xludf.DUMMYFUNCTION("""COMPUTED_VALUE"""),"001")</f>
        <v>001</v>
      </c>
      <c r="F335" s="241" t="str">
        <f ca="1">IFERROR(__xludf.DUMMYFUNCTION("""COMPUTED_VALUE"""),"1307")</f>
        <v>1307</v>
      </c>
      <c r="G335" s="240" t="str">
        <f ca="1">IFERROR(__xludf.DUMMYFUNCTION("""COMPUTED_VALUE"""),"106453")</f>
        <v>106453</v>
      </c>
      <c r="H335" s="240" t="str">
        <f ca="1">IFERROR(__xludf.DUMMYFUNCTION("""COMPUTED_VALUE"""),"ENS MEDIO PARCIAL")</f>
        <v>ENS MEDIO PARCIAL</v>
      </c>
      <c r="I335" s="242">
        <f ca="1">IFERROR(__xludf.DUMMYFUNCTION("""COMPUTED_VALUE"""),1344)</f>
        <v>1344</v>
      </c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</row>
    <row r="336" spans="1:26" ht="21" customHeight="1">
      <c r="A336" s="240" t="str">
        <f ca="1">IFERROR(__xludf.DUMMYFUNCTION("""COMPUTED_VALUE"""),"Dianópolis")</f>
        <v>Dianópolis</v>
      </c>
      <c r="B336" s="240" t="str">
        <f ca="1">IFERROR(__xludf.DUMMYFUNCTION("""COMPUTED_VALUE"""),"Ponte Alta do Bom Jesus")</f>
        <v>Ponte Alta do Bom Jesus</v>
      </c>
      <c r="C336" s="240" t="str">
        <f ca="1">IFERROR(__xludf.DUMMYFUNCTION("""COMPUTED_VALUE"""),"A.A. E. ESC. EST. BOA VISTA DE BELEM")</f>
        <v>A.A. E. ESC. EST. BOA VISTA DE BELEM</v>
      </c>
      <c r="D336" s="241" t="str">
        <f ca="1">IFERROR(__xludf.DUMMYFUNCTION("""COMPUTED_VALUE"""),"01136045000150")</f>
        <v>01136045000150</v>
      </c>
      <c r="E336" s="241" t="str">
        <f ca="1">IFERROR(__xludf.DUMMYFUNCTION("""COMPUTED_VALUE"""),"001")</f>
        <v>001</v>
      </c>
      <c r="F336" s="241" t="str">
        <f ca="1">IFERROR(__xludf.DUMMYFUNCTION("""COMPUTED_VALUE"""),"1307")</f>
        <v>1307</v>
      </c>
      <c r="G336" s="240" t="str">
        <f ca="1">IFERROR(__xludf.DUMMYFUNCTION("""COMPUTED_VALUE"""),"010762X")</f>
        <v>010762X</v>
      </c>
      <c r="H336" s="240" t="str">
        <f ca="1">IFERROR(__xludf.DUMMYFUNCTION("""COMPUTED_VALUE"""),"E.F. PARCIAL")</f>
        <v>E.F. PARCIAL</v>
      </c>
      <c r="I336" s="242">
        <f ca="1">IFERROR(__xludf.DUMMYFUNCTION("""COMPUTED_VALUE"""),1953)</f>
        <v>1953</v>
      </c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</row>
    <row r="337" spans="1:26" ht="21" customHeight="1">
      <c r="A337" s="240" t="str">
        <f ca="1">IFERROR(__xludf.DUMMYFUNCTION("""COMPUTED_VALUE"""),"Dianópolis")</f>
        <v>Dianópolis</v>
      </c>
      <c r="B337" s="240" t="str">
        <f ca="1">IFERROR(__xludf.DUMMYFUNCTION("""COMPUTED_VALUE"""),"Ponte Alta do Bom Jesus")</f>
        <v>Ponte Alta do Bom Jesus</v>
      </c>
      <c r="C337" s="240" t="str">
        <f ca="1">IFERROR(__xludf.DUMMYFUNCTION("""COMPUTED_VALUE"""),"A.A. E. ESC. EST. BOA VISTA DE BELEM")</f>
        <v>A.A. E. ESC. EST. BOA VISTA DE BELEM</v>
      </c>
      <c r="D337" s="241" t="str">
        <f ca="1">IFERROR(__xludf.DUMMYFUNCTION("""COMPUTED_VALUE"""),"01136045000150")</f>
        <v>01136045000150</v>
      </c>
      <c r="E337" s="241" t="str">
        <f ca="1">IFERROR(__xludf.DUMMYFUNCTION("""COMPUTED_VALUE"""),"001")</f>
        <v>001</v>
      </c>
      <c r="F337" s="241" t="str">
        <f ca="1">IFERROR(__xludf.DUMMYFUNCTION("""COMPUTED_VALUE"""),"1307")</f>
        <v>1307</v>
      </c>
      <c r="G337" s="240" t="str">
        <f ca="1">IFERROR(__xludf.DUMMYFUNCTION("""COMPUTED_VALUE"""),"010762X")</f>
        <v>010762X</v>
      </c>
      <c r="H337" s="240" t="str">
        <f ca="1">IFERROR(__xludf.DUMMYFUNCTION("""COMPUTED_VALUE"""),"ENS MEDIO PARCIAL")</f>
        <v>ENS MEDIO PARCIAL</v>
      </c>
      <c r="I337" s="242">
        <f ca="1">IFERROR(__xludf.DUMMYFUNCTION("""COMPUTED_VALUE"""),399)</f>
        <v>399</v>
      </c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</row>
    <row r="338" spans="1:26" ht="21" customHeight="1">
      <c r="A338" s="240" t="str">
        <f ca="1">IFERROR(__xludf.DUMMYFUNCTION("""COMPUTED_VALUE"""),"Dianópolis")</f>
        <v>Dianópolis</v>
      </c>
      <c r="B338" s="240" t="str">
        <f ca="1">IFERROR(__xludf.DUMMYFUNCTION("""COMPUTED_VALUE"""),"Ponte Alta do Bom Jesus")</f>
        <v>Ponte Alta do Bom Jesus</v>
      </c>
      <c r="C338" s="240" t="str">
        <f ca="1">IFERROR(__xludf.DUMMYFUNCTION("""COMPUTED_VALUE"""),"A.A. ESC. E. ANTONIO CARLOS DE FRANCA")</f>
        <v>A.A. ESC. E. ANTONIO CARLOS DE FRANCA</v>
      </c>
      <c r="D338" s="241" t="str">
        <f ca="1">IFERROR(__xludf.DUMMYFUNCTION("""COMPUTED_VALUE"""),"01223633000121")</f>
        <v>01223633000121</v>
      </c>
      <c r="E338" s="241" t="str">
        <f ca="1">IFERROR(__xludf.DUMMYFUNCTION("""COMPUTED_VALUE"""),"001")</f>
        <v>001</v>
      </c>
      <c r="F338" s="241" t="str">
        <f ca="1">IFERROR(__xludf.DUMMYFUNCTION("""COMPUTED_VALUE"""),"2704")</f>
        <v>2704</v>
      </c>
      <c r="G338" s="240" t="str">
        <f ca="1">IFERROR(__xludf.DUMMYFUNCTION("""COMPUTED_VALUE"""),"102733")</f>
        <v>102733</v>
      </c>
      <c r="H338" s="240" t="str">
        <f ca="1">IFERROR(__xludf.DUMMYFUNCTION("""COMPUTED_VALUE"""),"E.F. PARCIAL")</f>
        <v>E.F. PARCIAL</v>
      </c>
      <c r="I338" s="242">
        <f ca="1">IFERROR(__xludf.DUMMYFUNCTION("""COMPUTED_VALUE"""),4347)</f>
        <v>4347</v>
      </c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</row>
    <row r="339" spans="1:26" ht="21" customHeight="1">
      <c r="A339" s="240" t="str">
        <f ca="1">IFERROR(__xludf.DUMMYFUNCTION("""COMPUTED_VALUE"""),"Dianópolis")</f>
        <v>Dianópolis</v>
      </c>
      <c r="B339" s="240" t="str">
        <f ca="1">IFERROR(__xludf.DUMMYFUNCTION("""COMPUTED_VALUE"""),"Ponte Alta do Bom Jesus")</f>
        <v>Ponte Alta do Bom Jesus</v>
      </c>
      <c r="C339" s="240" t="str">
        <f ca="1">IFERROR(__xludf.DUMMYFUNCTION("""COMPUTED_VALUE"""),"A.A. ESC. E. ANTONIO CARLOS DE FRANCA")</f>
        <v>A.A. ESC. E. ANTONIO CARLOS DE FRANCA</v>
      </c>
      <c r="D339" s="241" t="str">
        <f ca="1">IFERROR(__xludf.DUMMYFUNCTION("""COMPUTED_VALUE"""),"01223633000121")</f>
        <v>01223633000121</v>
      </c>
      <c r="E339" s="241" t="str">
        <f ca="1">IFERROR(__xludf.DUMMYFUNCTION("""COMPUTED_VALUE"""),"001")</f>
        <v>001</v>
      </c>
      <c r="F339" s="241" t="str">
        <f ca="1">IFERROR(__xludf.DUMMYFUNCTION("""COMPUTED_VALUE"""),"2704")</f>
        <v>2704</v>
      </c>
      <c r="G339" s="240" t="str">
        <f ca="1">IFERROR(__xludf.DUMMYFUNCTION("""COMPUTED_VALUE"""),"102733")</f>
        <v>102733</v>
      </c>
      <c r="H339" s="240" t="str">
        <f ca="1">IFERROR(__xludf.DUMMYFUNCTION("""COMPUTED_VALUE"""),"ENS MEDIO PARCIAL")</f>
        <v>ENS MEDIO PARCIAL</v>
      </c>
      <c r="I339" s="242">
        <f ca="1">IFERROR(__xludf.DUMMYFUNCTION("""COMPUTED_VALUE"""),3612)</f>
        <v>3612</v>
      </c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</row>
    <row r="340" spans="1:26" ht="21" customHeight="1">
      <c r="A340" s="240" t="str">
        <f ca="1">IFERROR(__xludf.DUMMYFUNCTION("""COMPUTED_VALUE"""),"Dianópolis")</f>
        <v>Dianópolis</v>
      </c>
      <c r="B340" s="240" t="str">
        <f ca="1">IFERROR(__xludf.DUMMYFUNCTION("""COMPUTED_VALUE"""),"Porto Alegre do Tocantins")</f>
        <v>Porto Alegre do Tocantins</v>
      </c>
      <c r="C340" s="240" t="str">
        <f ca="1">IFERROR(__xludf.DUMMYFUNCTION("""COMPUTED_VALUE"""),"ASSOC. APOIO ESC. EST. ALFREDO NASSER")</f>
        <v>ASSOC. APOIO ESC. EST. ALFREDO NASSER</v>
      </c>
      <c r="D340" s="241" t="str">
        <f ca="1">IFERROR(__xludf.DUMMYFUNCTION("""COMPUTED_VALUE"""),"01105525000154")</f>
        <v>01105525000154</v>
      </c>
      <c r="E340" s="241" t="str">
        <f ca="1">IFERROR(__xludf.DUMMYFUNCTION("""COMPUTED_VALUE"""),"001")</f>
        <v>001</v>
      </c>
      <c r="F340" s="241" t="str">
        <f ca="1">IFERROR(__xludf.DUMMYFUNCTION("""COMPUTED_VALUE"""),"1307")</f>
        <v>1307</v>
      </c>
      <c r="G340" s="240" t="str">
        <f ca="1">IFERROR(__xludf.DUMMYFUNCTION("""COMPUTED_VALUE"""),"0106321")</f>
        <v>0106321</v>
      </c>
      <c r="H340" s="240" t="str">
        <f ca="1">IFERROR(__xludf.DUMMYFUNCTION("""COMPUTED_VALUE"""),"E.F. PARCIAL")</f>
        <v>E.F. PARCIAL</v>
      </c>
      <c r="I340" s="242">
        <f ca="1">IFERROR(__xludf.DUMMYFUNCTION("""COMPUTED_VALUE"""),5208)</f>
        <v>5208</v>
      </c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</row>
    <row r="341" spans="1:26" ht="21" customHeight="1">
      <c r="A341" s="240" t="str">
        <f ca="1">IFERROR(__xludf.DUMMYFUNCTION("""COMPUTED_VALUE"""),"Dianópolis")</f>
        <v>Dianópolis</v>
      </c>
      <c r="B341" s="240" t="str">
        <f ca="1">IFERROR(__xludf.DUMMYFUNCTION("""COMPUTED_VALUE"""),"Porto Alegre do Tocantins")</f>
        <v>Porto Alegre do Tocantins</v>
      </c>
      <c r="C341" s="240" t="str">
        <f ca="1">IFERROR(__xludf.DUMMYFUNCTION("""COMPUTED_VALUE"""),"ASSOC. APOIO ESC. EST. ALFREDO NASSER")</f>
        <v>ASSOC. APOIO ESC. EST. ALFREDO NASSER</v>
      </c>
      <c r="D341" s="241" t="str">
        <f ca="1">IFERROR(__xludf.DUMMYFUNCTION("""COMPUTED_VALUE"""),"01105525000154")</f>
        <v>01105525000154</v>
      </c>
      <c r="E341" s="241" t="str">
        <f ca="1">IFERROR(__xludf.DUMMYFUNCTION("""COMPUTED_VALUE"""),"001")</f>
        <v>001</v>
      </c>
      <c r="F341" s="241" t="str">
        <f ca="1">IFERROR(__xludf.DUMMYFUNCTION("""COMPUTED_VALUE"""),"1307")</f>
        <v>1307</v>
      </c>
      <c r="G341" s="240" t="str">
        <f ca="1">IFERROR(__xludf.DUMMYFUNCTION("""COMPUTED_VALUE"""),"0106321")</f>
        <v>0106321</v>
      </c>
      <c r="H341" s="240" t="str">
        <f ca="1">IFERROR(__xludf.DUMMYFUNCTION("""COMPUTED_VALUE"""),"AEE")</f>
        <v>AEE</v>
      </c>
      <c r="I341" s="242">
        <f ca="1">IFERROR(__xludf.DUMMYFUNCTION("""COMPUTED_VALUE"""),504)</f>
        <v>504</v>
      </c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</row>
    <row r="342" spans="1:26" ht="21" customHeight="1">
      <c r="A342" s="240" t="str">
        <f ca="1">IFERROR(__xludf.DUMMYFUNCTION("""COMPUTED_VALUE"""),"Dianópolis")</f>
        <v>Dianópolis</v>
      </c>
      <c r="B342" s="240" t="str">
        <f ca="1">IFERROR(__xludf.DUMMYFUNCTION("""COMPUTED_VALUE"""),"Porto Alegre do Tocantins")</f>
        <v>Porto Alegre do Tocantins</v>
      </c>
      <c r="C342" s="240" t="str">
        <f ca="1">IFERROR(__xludf.DUMMYFUNCTION("""COMPUTED_VALUE"""),"ASSOC. APOIO ESC. EST. ALFREDO NASSER")</f>
        <v>ASSOC. APOIO ESC. EST. ALFREDO NASSER</v>
      </c>
      <c r="D342" s="241" t="str">
        <f ca="1">IFERROR(__xludf.DUMMYFUNCTION("""COMPUTED_VALUE"""),"01105525000154")</f>
        <v>01105525000154</v>
      </c>
      <c r="E342" s="241" t="str">
        <f ca="1">IFERROR(__xludf.DUMMYFUNCTION("""COMPUTED_VALUE"""),"001")</f>
        <v>001</v>
      </c>
      <c r="F342" s="241" t="str">
        <f ca="1">IFERROR(__xludf.DUMMYFUNCTION("""COMPUTED_VALUE"""),"1307")</f>
        <v>1307</v>
      </c>
      <c r="G342" s="240" t="str">
        <f ca="1">IFERROR(__xludf.DUMMYFUNCTION("""COMPUTED_VALUE"""),"0106321")</f>
        <v>0106321</v>
      </c>
      <c r="H342" s="240" t="str">
        <f ca="1">IFERROR(__xludf.DUMMYFUNCTION("""COMPUTED_VALUE"""),"ENS MEDIO PARCIAL")</f>
        <v>ENS MEDIO PARCIAL</v>
      </c>
      <c r="I342" s="242">
        <f ca="1">IFERROR(__xludf.DUMMYFUNCTION("""COMPUTED_VALUE"""),2583)</f>
        <v>2583</v>
      </c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</row>
    <row r="343" spans="1:26" ht="21" customHeight="1">
      <c r="A343" s="240" t="str">
        <f ca="1">IFERROR(__xludf.DUMMYFUNCTION("""COMPUTED_VALUE"""),"Dianópolis")</f>
        <v>Dianópolis</v>
      </c>
      <c r="B343" s="240" t="str">
        <f ca="1">IFERROR(__xludf.DUMMYFUNCTION("""COMPUTED_VALUE"""),"Rio da Conceicao")</f>
        <v>Rio da Conceicao</v>
      </c>
      <c r="C343" s="240" t="str">
        <f ca="1">IFERROR(__xludf.DUMMYFUNCTION("""COMPUTED_VALUE"""),"A.A. E. E.VIRGILIO FERREIRA DE FRANCA")</f>
        <v>A.A. E. E.VIRGILIO FERREIRA DE FRANCA</v>
      </c>
      <c r="D343" s="241" t="str">
        <f ca="1">IFERROR(__xludf.DUMMYFUNCTION("""COMPUTED_VALUE"""),"01136115000170")</f>
        <v>01136115000170</v>
      </c>
      <c r="E343" s="241" t="str">
        <f ca="1">IFERROR(__xludf.DUMMYFUNCTION("""COMPUTED_VALUE"""),"001")</f>
        <v>001</v>
      </c>
      <c r="F343" s="241" t="str">
        <f ca="1">IFERROR(__xludf.DUMMYFUNCTION("""COMPUTED_VALUE"""),"1307")</f>
        <v>1307</v>
      </c>
      <c r="G343" s="240" t="str">
        <f ca="1">IFERROR(__xludf.DUMMYFUNCTION("""COMPUTED_VALUE"""),"106305")</f>
        <v>106305</v>
      </c>
      <c r="H343" s="240" t="str">
        <f ca="1">IFERROR(__xludf.DUMMYFUNCTION("""COMPUTED_VALUE"""),"E.F. PARCIAL")</f>
        <v>E.F. PARCIAL</v>
      </c>
      <c r="I343" s="242">
        <f ca="1">IFERROR(__xludf.DUMMYFUNCTION("""COMPUTED_VALUE"""),2793)</f>
        <v>2793</v>
      </c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</row>
    <row r="344" spans="1:26" ht="21" customHeight="1">
      <c r="A344" s="240" t="str">
        <f ca="1">IFERROR(__xludf.DUMMYFUNCTION("""COMPUTED_VALUE"""),"Dianópolis")</f>
        <v>Dianópolis</v>
      </c>
      <c r="B344" s="240" t="str">
        <f ca="1">IFERROR(__xludf.DUMMYFUNCTION("""COMPUTED_VALUE"""),"Rio da Conceicao")</f>
        <v>Rio da Conceicao</v>
      </c>
      <c r="C344" s="240" t="str">
        <f ca="1">IFERROR(__xludf.DUMMYFUNCTION("""COMPUTED_VALUE"""),"A.A. E. E.VIRGILIO FERREIRA DE FRANCA")</f>
        <v>A.A. E. E.VIRGILIO FERREIRA DE FRANCA</v>
      </c>
      <c r="D344" s="241" t="str">
        <f ca="1">IFERROR(__xludf.DUMMYFUNCTION("""COMPUTED_VALUE"""),"01136115000170")</f>
        <v>01136115000170</v>
      </c>
      <c r="E344" s="241" t="str">
        <f ca="1">IFERROR(__xludf.DUMMYFUNCTION("""COMPUTED_VALUE"""),"001")</f>
        <v>001</v>
      </c>
      <c r="F344" s="241" t="str">
        <f ca="1">IFERROR(__xludf.DUMMYFUNCTION("""COMPUTED_VALUE"""),"1307")</f>
        <v>1307</v>
      </c>
      <c r="G344" s="240" t="str">
        <f ca="1">IFERROR(__xludf.DUMMYFUNCTION("""COMPUTED_VALUE"""),"106305")</f>
        <v>106305</v>
      </c>
      <c r="H344" s="240" t="str">
        <f ca="1">IFERROR(__xludf.DUMMYFUNCTION("""COMPUTED_VALUE"""),"AEE")</f>
        <v>AEE</v>
      </c>
      <c r="I344" s="242">
        <f ca="1">IFERROR(__xludf.DUMMYFUNCTION("""COMPUTED_VALUE"""),147)</f>
        <v>147</v>
      </c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</row>
    <row r="345" spans="1:26" ht="21" customHeight="1">
      <c r="A345" s="240" t="str">
        <f ca="1">IFERROR(__xludf.DUMMYFUNCTION("""COMPUTED_VALUE"""),"Dianópolis")</f>
        <v>Dianópolis</v>
      </c>
      <c r="B345" s="240" t="str">
        <f ca="1">IFERROR(__xludf.DUMMYFUNCTION("""COMPUTED_VALUE"""),"Rio da Conceicao")</f>
        <v>Rio da Conceicao</v>
      </c>
      <c r="C345" s="240" t="str">
        <f ca="1">IFERROR(__xludf.DUMMYFUNCTION("""COMPUTED_VALUE"""),"A.A. E. E.VIRGILIO FERREIRA DE FRANCA")</f>
        <v>A.A. E. E.VIRGILIO FERREIRA DE FRANCA</v>
      </c>
      <c r="D345" s="241" t="str">
        <f ca="1">IFERROR(__xludf.DUMMYFUNCTION("""COMPUTED_VALUE"""),"01136115000170")</f>
        <v>01136115000170</v>
      </c>
      <c r="E345" s="241" t="str">
        <f ca="1">IFERROR(__xludf.DUMMYFUNCTION("""COMPUTED_VALUE"""),"001")</f>
        <v>001</v>
      </c>
      <c r="F345" s="241" t="str">
        <f ca="1">IFERROR(__xludf.DUMMYFUNCTION("""COMPUTED_VALUE"""),"1307")</f>
        <v>1307</v>
      </c>
      <c r="G345" s="240" t="str">
        <f ca="1">IFERROR(__xludf.DUMMYFUNCTION("""COMPUTED_VALUE"""),"106305")</f>
        <v>106305</v>
      </c>
      <c r="H345" s="240" t="str">
        <f ca="1">IFERROR(__xludf.DUMMYFUNCTION("""COMPUTED_VALUE"""),"ENS MEDIO PARCIAL")</f>
        <v>ENS MEDIO PARCIAL</v>
      </c>
      <c r="I345" s="242">
        <f ca="1">IFERROR(__xludf.DUMMYFUNCTION("""COMPUTED_VALUE"""),1302)</f>
        <v>1302</v>
      </c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</row>
    <row r="346" spans="1:26" ht="21" customHeight="1">
      <c r="A346" s="240" t="str">
        <f ca="1">IFERROR(__xludf.DUMMYFUNCTION("""COMPUTED_VALUE"""),"Dianópolis")</f>
        <v>Dianópolis</v>
      </c>
      <c r="B346" s="240" t="str">
        <f ca="1">IFERROR(__xludf.DUMMYFUNCTION("""COMPUTED_VALUE"""),"Taguatinga")</f>
        <v>Taguatinga</v>
      </c>
      <c r="C346" s="240" t="str">
        <f ca="1">IFERROR(__xludf.DUMMYFUNCTION("""COMPUTED_VALUE"""),"A.A. COL. EST. PROFESSOR AURELIANO")</f>
        <v>A.A. COL. EST. PROFESSOR AURELIANO</v>
      </c>
      <c r="D346" s="241" t="str">
        <f ca="1">IFERROR(__xludf.DUMMYFUNCTION("""COMPUTED_VALUE"""),"01133709000128")</f>
        <v>01133709000128</v>
      </c>
      <c r="E346" s="241" t="str">
        <f ca="1">IFERROR(__xludf.DUMMYFUNCTION("""COMPUTED_VALUE"""),"001")</f>
        <v>001</v>
      </c>
      <c r="F346" s="241" t="str">
        <f ca="1">IFERROR(__xludf.DUMMYFUNCTION("""COMPUTED_VALUE"""),"2704")</f>
        <v>2704</v>
      </c>
      <c r="G346" s="240" t="str">
        <f ca="1">IFERROR(__xludf.DUMMYFUNCTION("""COMPUTED_VALUE"""),"102717")</f>
        <v>102717</v>
      </c>
      <c r="H346" s="240" t="str">
        <f ca="1">IFERROR(__xludf.DUMMYFUNCTION("""COMPUTED_VALUE"""),"AEE")</f>
        <v>AEE</v>
      </c>
      <c r="I346" s="242">
        <f ca="1">IFERROR(__xludf.DUMMYFUNCTION("""COMPUTED_VALUE"""),231)</f>
        <v>231</v>
      </c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</row>
    <row r="347" spans="1:26" ht="21" customHeight="1">
      <c r="A347" s="240" t="str">
        <f ca="1">IFERROR(__xludf.DUMMYFUNCTION("""COMPUTED_VALUE"""),"Dianópolis")</f>
        <v>Dianópolis</v>
      </c>
      <c r="B347" s="240" t="str">
        <f ca="1">IFERROR(__xludf.DUMMYFUNCTION("""COMPUTED_VALUE"""),"Taguatinga")</f>
        <v>Taguatinga</v>
      </c>
      <c r="C347" s="240" t="str">
        <f ca="1">IFERROR(__xludf.DUMMYFUNCTION("""COMPUTED_VALUE"""),"A.A.  ESCOLA EST. JUSTINO DE ALMEIDA")</f>
        <v>A.A.  ESCOLA EST. JUSTINO DE ALMEIDA</v>
      </c>
      <c r="D347" s="241" t="str">
        <f ca="1">IFERROR(__xludf.DUMMYFUNCTION("""COMPUTED_VALUE"""),"01184379000108")</f>
        <v>01184379000108</v>
      </c>
      <c r="E347" s="241" t="str">
        <f ca="1">IFERROR(__xludf.DUMMYFUNCTION("""COMPUTED_VALUE"""),"001")</f>
        <v>001</v>
      </c>
      <c r="F347" s="241" t="str">
        <f ca="1">IFERROR(__xludf.DUMMYFUNCTION("""COMPUTED_VALUE"""),"2704")</f>
        <v>2704</v>
      </c>
      <c r="G347" s="240" t="str">
        <f ca="1">IFERROR(__xludf.DUMMYFUNCTION("""COMPUTED_VALUE"""),"102563")</f>
        <v>102563</v>
      </c>
      <c r="H347" s="240" t="str">
        <f ca="1">IFERROR(__xludf.DUMMYFUNCTION("""COMPUTED_VALUE"""),"E.F. PARCIAL")</f>
        <v>E.F. PARCIAL</v>
      </c>
      <c r="I347" s="242">
        <f ca="1">IFERROR(__xludf.DUMMYFUNCTION("""COMPUTED_VALUE"""),5208)</f>
        <v>5208</v>
      </c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</row>
    <row r="348" spans="1:26" ht="21" customHeight="1">
      <c r="A348" s="240" t="str">
        <f ca="1">IFERROR(__xludf.DUMMYFUNCTION("""COMPUTED_VALUE"""),"Dianópolis")</f>
        <v>Dianópolis</v>
      </c>
      <c r="B348" s="240" t="str">
        <f ca="1">IFERROR(__xludf.DUMMYFUNCTION("""COMPUTED_VALUE"""),"Taguatinga")</f>
        <v>Taguatinga</v>
      </c>
      <c r="C348" s="240" t="str">
        <f ca="1">IFERROR(__xludf.DUMMYFUNCTION("""COMPUTED_VALUE"""),"A.A.  ESCOLA EST. JUSTINO DE ALMEIDA")</f>
        <v>A.A.  ESCOLA EST. JUSTINO DE ALMEIDA</v>
      </c>
      <c r="D348" s="241" t="str">
        <f ca="1">IFERROR(__xludf.DUMMYFUNCTION("""COMPUTED_VALUE"""),"01184379000108")</f>
        <v>01184379000108</v>
      </c>
      <c r="E348" s="241" t="str">
        <f ca="1">IFERROR(__xludf.DUMMYFUNCTION("""COMPUTED_VALUE"""),"001")</f>
        <v>001</v>
      </c>
      <c r="F348" s="241" t="str">
        <f ca="1">IFERROR(__xludf.DUMMYFUNCTION("""COMPUTED_VALUE"""),"2704")</f>
        <v>2704</v>
      </c>
      <c r="G348" s="240" t="str">
        <f ca="1">IFERROR(__xludf.DUMMYFUNCTION("""COMPUTED_VALUE"""),"102563")</f>
        <v>102563</v>
      </c>
      <c r="H348" s="240" t="str">
        <f ca="1">IFERROR(__xludf.DUMMYFUNCTION("""COMPUTED_VALUE"""),"AEE")</f>
        <v>AEE</v>
      </c>
      <c r="I348" s="242">
        <f ca="1">IFERROR(__xludf.DUMMYFUNCTION("""COMPUTED_VALUE"""),252)</f>
        <v>252</v>
      </c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</row>
    <row r="349" spans="1:26" ht="21" customHeight="1">
      <c r="A349" s="240" t="str">
        <f ca="1">IFERROR(__xludf.DUMMYFUNCTION("""COMPUTED_VALUE"""),"Dianópolis")</f>
        <v>Dianópolis</v>
      </c>
      <c r="B349" s="240" t="str">
        <f ca="1">IFERROR(__xludf.DUMMYFUNCTION("""COMPUTED_VALUE"""),"Taguatinga")</f>
        <v>Taguatinga</v>
      </c>
      <c r="C349" s="240" t="str">
        <f ca="1">IFERROR(__xludf.DUMMYFUNCTION("""COMPUTED_VALUE"""),"A.A.  ESCOLA EST. JUSTINO DE ALMEIDA")</f>
        <v>A.A.  ESCOLA EST. JUSTINO DE ALMEIDA</v>
      </c>
      <c r="D349" s="241" t="str">
        <f ca="1">IFERROR(__xludf.DUMMYFUNCTION("""COMPUTED_VALUE"""),"01184379000108")</f>
        <v>01184379000108</v>
      </c>
      <c r="E349" s="241" t="str">
        <f ca="1">IFERROR(__xludf.DUMMYFUNCTION("""COMPUTED_VALUE"""),"001")</f>
        <v>001</v>
      </c>
      <c r="F349" s="241" t="str">
        <f ca="1">IFERROR(__xludf.DUMMYFUNCTION("""COMPUTED_VALUE"""),"2704")</f>
        <v>2704</v>
      </c>
      <c r="G349" s="240" t="str">
        <f ca="1">IFERROR(__xludf.DUMMYFUNCTION("""COMPUTED_VALUE"""),"102563")</f>
        <v>102563</v>
      </c>
      <c r="H349" s="240" t="str">
        <f ca="1">IFERROR(__xludf.DUMMYFUNCTION("""COMPUTED_VALUE"""),"ENS MEDIO PARCIAL")</f>
        <v>ENS MEDIO PARCIAL</v>
      </c>
      <c r="I349" s="242">
        <f ca="1">IFERROR(__xludf.DUMMYFUNCTION("""COMPUTED_VALUE"""),7665)</f>
        <v>7665</v>
      </c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</row>
    <row r="350" spans="1:26" ht="21" customHeight="1">
      <c r="A350" s="240" t="str">
        <f ca="1">IFERROR(__xludf.DUMMYFUNCTION("""COMPUTED_VALUE"""),"Dianópolis")</f>
        <v>Dianópolis</v>
      </c>
      <c r="B350" s="240" t="str">
        <f ca="1">IFERROR(__xludf.DUMMYFUNCTION("""COMPUTED_VALUE"""),"Taguatinga")</f>
        <v>Taguatinga</v>
      </c>
      <c r="C350" s="240" t="str">
        <f ca="1">IFERROR(__xludf.DUMMYFUNCTION("""COMPUTED_VALUE"""),"A.A.  ESCOLA EST. JUSTINO DE ALMEIDA")</f>
        <v>A.A.  ESCOLA EST. JUSTINO DE ALMEIDA</v>
      </c>
      <c r="D350" s="241" t="str">
        <f ca="1">IFERROR(__xludf.DUMMYFUNCTION("""COMPUTED_VALUE"""),"01184379000108")</f>
        <v>01184379000108</v>
      </c>
      <c r="E350" s="241" t="str">
        <f ca="1">IFERROR(__xludf.DUMMYFUNCTION("""COMPUTED_VALUE"""),"001")</f>
        <v>001</v>
      </c>
      <c r="F350" s="241" t="str">
        <f ca="1">IFERROR(__xludf.DUMMYFUNCTION("""COMPUTED_VALUE"""),"2704")</f>
        <v>2704</v>
      </c>
      <c r="G350" s="240" t="str">
        <f ca="1">IFERROR(__xludf.DUMMYFUNCTION("""COMPUTED_VALUE"""),"102563")</f>
        <v>102563</v>
      </c>
      <c r="H350" s="240" t="str">
        <f ca="1">IFERROR(__xludf.DUMMYFUNCTION("""COMPUTED_VALUE"""),"EJA")</f>
        <v>EJA</v>
      </c>
      <c r="I350" s="242">
        <f ca="1">IFERROR(__xludf.DUMMYFUNCTION("""COMPUTED_VALUE"""),3192)</f>
        <v>3192</v>
      </c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</row>
    <row r="351" spans="1:26" ht="21" customHeight="1">
      <c r="A351" s="240" t="str">
        <f ca="1">IFERROR(__xludf.DUMMYFUNCTION("""COMPUTED_VALUE"""),"Dianópolis")</f>
        <v>Dianópolis</v>
      </c>
      <c r="B351" s="240" t="str">
        <f ca="1">IFERROR(__xludf.DUMMYFUNCTION("""COMPUTED_VALUE"""),"Taguatinga")</f>
        <v>Taguatinga</v>
      </c>
      <c r="C351" s="240" t="str">
        <f ca="1">IFERROR(__xludf.DUMMYFUNCTION("""COMPUTED_VALUE"""),"A.A. ESC. EST. AGOSTINHO DE ALMEIDA")</f>
        <v>A.A. ESC. EST. AGOSTINHO DE ALMEIDA</v>
      </c>
      <c r="D351" s="241" t="str">
        <f ca="1">IFERROR(__xludf.DUMMYFUNCTION("""COMPUTED_VALUE"""),"01197159000100")</f>
        <v>01197159000100</v>
      </c>
      <c r="E351" s="241" t="str">
        <f ca="1">IFERROR(__xludf.DUMMYFUNCTION("""COMPUTED_VALUE"""),"001")</f>
        <v>001</v>
      </c>
      <c r="F351" s="241" t="str">
        <f ca="1">IFERROR(__xludf.DUMMYFUNCTION("""COMPUTED_VALUE"""),"2704")</f>
        <v>2704</v>
      </c>
      <c r="G351" s="240" t="str">
        <f ca="1">IFERROR(__xludf.DUMMYFUNCTION("""COMPUTED_VALUE"""),"102555")</f>
        <v>102555</v>
      </c>
      <c r="H351" s="240" t="str">
        <f ca="1">IFERROR(__xludf.DUMMYFUNCTION("""COMPUTED_VALUE"""),"E.F. PARCIAL")</f>
        <v>E.F. PARCIAL</v>
      </c>
      <c r="I351" s="242">
        <f ca="1">IFERROR(__xludf.DUMMYFUNCTION("""COMPUTED_VALUE"""),6888)</f>
        <v>6888</v>
      </c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</row>
    <row r="352" spans="1:26" ht="21" customHeight="1">
      <c r="A352" s="240" t="str">
        <f ca="1">IFERROR(__xludf.DUMMYFUNCTION("""COMPUTED_VALUE"""),"Dianópolis")</f>
        <v>Dianópolis</v>
      </c>
      <c r="B352" s="240" t="str">
        <f ca="1">IFERROR(__xludf.DUMMYFUNCTION("""COMPUTED_VALUE"""),"Taguatinga")</f>
        <v>Taguatinga</v>
      </c>
      <c r="C352" s="240" t="str">
        <f ca="1">IFERROR(__xludf.DUMMYFUNCTION("""COMPUTED_VALUE"""),"A.A. ESC. EST. AGOSTINHO DE ALMEIDA")</f>
        <v>A.A. ESC. EST. AGOSTINHO DE ALMEIDA</v>
      </c>
      <c r="D352" s="241" t="str">
        <f ca="1">IFERROR(__xludf.DUMMYFUNCTION("""COMPUTED_VALUE"""),"01197159000100")</f>
        <v>01197159000100</v>
      </c>
      <c r="E352" s="241" t="str">
        <f ca="1">IFERROR(__xludf.DUMMYFUNCTION("""COMPUTED_VALUE"""),"001")</f>
        <v>001</v>
      </c>
      <c r="F352" s="241" t="str">
        <f ca="1">IFERROR(__xludf.DUMMYFUNCTION("""COMPUTED_VALUE"""),"2704")</f>
        <v>2704</v>
      </c>
      <c r="G352" s="240" t="str">
        <f ca="1">IFERROR(__xludf.DUMMYFUNCTION("""COMPUTED_VALUE"""),"102555")</f>
        <v>102555</v>
      </c>
      <c r="H352" s="240" t="str">
        <f ca="1">IFERROR(__xludf.DUMMYFUNCTION("""COMPUTED_VALUE"""),"AEE")</f>
        <v>AEE</v>
      </c>
      <c r="I352" s="242">
        <f ca="1">IFERROR(__xludf.DUMMYFUNCTION("""COMPUTED_VALUE"""),420)</f>
        <v>420</v>
      </c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</row>
    <row r="353" spans="1:26" ht="21" customHeight="1">
      <c r="A353" s="240" t="str">
        <f ca="1">IFERROR(__xludf.DUMMYFUNCTION("""COMPUTED_VALUE"""),"Dianópolis")</f>
        <v>Dianópolis</v>
      </c>
      <c r="B353" s="240" t="str">
        <f ca="1">IFERROR(__xludf.DUMMYFUNCTION("""COMPUTED_VALUE"""),"Taipas do Tocantins")</f>
        <v>Taipas do Tocantins</v>
      </c>
      <c r="C353" s="240" t="str">
        <f ca="1">IFERROR(__xludf.DUMMYFUNCTION("""COMPUTED_VALUE"""),"A.A. E. EST. JOAQUIM FRANCISCO AZEVEDO")</f>
        <v>A.A. E. EST. JOAQUIM FRANCISCO AZEVEDO</v>
      </c>
      <c r="D353" s="241" t="str">
        <f ca="1">IFERROR(__xludf.DUMMYFUNCTION("""COMPUTED_VALUE"""),"01136011000166")</f>
        <v>01136011000166</v>
      </c>
      <c r="E353" s="241" t="str">
        <f ca="1">IFERROR(__xludf.DUMMYFUNCTION("""COMPUTED_VALUE"""),"001")</f>
        <v>001</v>
      </c>
      <c r="F353" s="241" t="str">
        <f ca="1">IFERROR(__xludf.DUMMYFUNCTION("""COMPUTED_VALUE"""),"1307")</f>
        <v>1307</v>
      </c>
      <c r="G353" s="240" t="str">
        <f ca="1">IFERROR(__xludf.DUMMYFUNCTION("""COMPUTED_VALUE"""),"0106291")</f>
        <v>0106291</v>
      </c>
      <c r="H353" s="240" t="str">
        <f ca="1">IFERROR(__xludf.DUMMYFUNCTION("""COMPUTED_VALUE"""),"E.F. PARCIAL")</f>
        <v>E.F. PARCIAL</v>
      </c>
      <c r="I353" s="242">
        <f ca="1">IFERROR(__xludf.DUMMYFUNCTION("""COMPUTED_VALUE"""),3801)</f>
        <v>3801</v>
      </c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</row>
    <row r="354" spans="1:26" ht="21" customHeight="1">
      <c r="A354" s="240" t="str">
        <f ca="1">IFERROR(__xludf.DUMMYFUNCTION("""COMPUTED_VALUE"""),"Dianópolis")</f>
        <v>Dianópolis</v>
      </c>
      <c r="B354" s="240" t="str">
        <f ca="1">IFERROR(__xludf.DUMMYFUNCTION("""COMPUTED_VALUE"""),"Taipas do Tocantins")</f>
        <v>Taipas do Tocantins</v>
      </c>
      <c r="C354" s="240" t="str">
        <f ca="1">IFERROR(__xludf.DUMMYFUNCTION("""COMPUTED_VALUE"""),"A.A. E. EST. JOAQUIM FRANCISCO AZEVEDO")</f>
        <v>A.A. E. EST. JOAQUIM FRANCISCO AZEVEDO</v>
      </c>
      <c r="D354" s="241" t="str">
        <f ca="1">IFERROR(__xludf.DUMMYFUNCTION("""COMPUTED_VALUE"""),"01136011000166")</f>
        <v>01136011000166</v>
      </c>
      <c r="E354" s="241" t="str">
        <f ca="1">IFERROR(__xludf.DUMMYFUNCTION("""COMPUTED_VALUE"""),"001")</f>
        <v>001</v>
      </c>
      <c r="F354" s="241" t="str">
        <f ca="1">IFERROR(__xludf.DUMMYFUNCTION("""COMPUTED_VALUE"""),"1307")</f>
        <v>1307</v>
      </c>
      <c r="G354" s="240" t="str">
        <f ca="1">IFERROR(__xludf.DUMMYFUNCTION("""COMPUTED_VALUE"""),"0106291")</f>
        <v>0106291</v>
      </c>
      <c r="H354" s="240" t="str">
        <f ca="1">IFERROR(__xludf.DUMMYFUNCTION("""COMPUTED_VALUE"""),"AEE")</f>
        <v>AEE</v>
      </c>
      <c r="I354" s="242">
        <f ca="1">IFERROR(__xludf.DUMMYFUNCTION("""COMPUTED_VALUE"""),294)</f>
        <v>294</v>
      </c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</row>
    <row r="355" spans="1:26" ht="21" customHeight="1">
      <c r="A355" s="240" t="str">
        <f ca="1">IFERROR(__xludf.DUMMYFUNCTION("""COMPUTED_VALUE"""),"Dianópolis")</f>
        <v>Dianópolis</v>
      </c>
      <c r="B355" s="240" t="str">
        <f ca="1">IFERROR(__xludf.DUMMYFUNCTION("""COMPUTED_VALUE"""),"Taipas do Tocantins")</f>
        <v>Taipas do Tocantins</v>
      </c>
      <c r="C355" s="240" t="str">
        <f ca="1">IFERROR(__xludf.DUMMYFUNCTION("""COMPUTED_VALUE"""),"A.A. E. EST. JOAQUIM FRANCISCO AZEVEDO")</f>
        <v>A.A. E. EST. JOAQUIM FRANCISCO AZEVEDO</v>
      </c>
      <c r="D355" s="241" t="str">
        <f ca="1">IFERROR(__xludf.DUMMYFUNCTION("""COMPUTED_VALUE"""),"01136011000166")</f>
        <v>01136011000166</v>
      </c>
      <c r="E355" s="241" t="str">
        <f ca="1">IFERROR(__xludf.DUMMYFUNCTION("""COMPUTED_VALUE"""),"001")</f>
        <v>001</v>
      </c>
      <c r="F355" s="241" t="str">
        <f ca="1">IFERROR(__xludf.DUMMYFUNCTION("""COMPUTED_VALUE"""),"1307")</f>
        <v>1307</v>
      </c>
      <c r="G355" s="240" t="str">
        <f ca="1">IFERROR(__xludf.DUMMYFUNCTION("""COMPUTED_VALUE"""),"0106291")</f>
        <v>0106291</v>
      </c>
      <c r="H355" s="240" t="str">
        <f ca="1">IFERROR(__xludf.DUMMYFUNCTION("""COMPUTED_VALUE"""),"ENS MEDIO PARCIAL")</f>
        <v>ENS MEDIO PARCIAL</v>
      </c>
      <c r="I355" s="242">
        <f ca="1">IFERROR(__xludf.DUMMYFUNCTION("""COMPUTED_VALUE"""),1470)</f>
        <v>1470</v>
      </c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</row>
    <row r="356" spans="1:26" ht="21" customHeight="1">
      <c r="A356" s="240" t="str">
        <f ca="1">IFERROR(__xludf.DUMMYFUNCTION("""COMPUTED_VALUE"""),"Dianópolis")</f>
        <v>Dianópolis</v>
      </c>
      <c r="B356" s="240" t="str">
        <f ca="1">IFERROR(__xludf.DUMMYFUNCTION("""COMPUTED_VALUE"""),"Taipas do Tocantins")</f>
        <v>Taipas do Tocantins</v>
      </c>
      <c r="C356" s="240" t="str">
        <f ca="1">IFERROR(__xludf.DUMMYFUNCTION("""COMPUTED_VALUE"""),"A.A. E. EST. JOAQUIM FRANCISCO AZEVEDO")</f>
        <v>A.A. E. EST. JOAQUIM FRANCISCO AZEVEDO</v>
      </c>
      <c r="D356" s="241" t="str">
        <f ca="1">IFERROR(__xludf.DUMMYFUNCTION("""COMPUTED_VALUE"""),"01136011000166")</f>
        <v>01136011000166</v>
      </c>
      <c r="E356" s="241" t="str">
        <f ca="1">IFERROR(__xludf.DUMMYFUNCTION("""COMPUTED_VALUE"""),"001")</f>
        <v>001</v>
      </c>
      <c r="F356" s="241" t="str">
        <f ca="1">IFERROR(__xludf.DUMMYFUNCTION("""COMPUTED_VALUE"""),"1307")</f>
        <v>1307</v>
      </c>
      <c r="G356" s="240" t="str">
        <f ca="1">IFERROR(__xludf.DUMMYFUNCTION("""COMPUTED_VALUE"""),"0106291")</f>
        <v>0106291</v>
      </c>
      <c r="H356" s="240" t="str">
        <f ca="1">IFERROR(__xludf.DUMMYFUNCTION("""COMPUTED_VALUE"""),"EJA")</f>
        <v>EJA</v>
      </c>
      <c r="I356" s="242">
        <f ca="1">IFERROR(__xludf.DUMMYFUNCTION("""COMPUTED_VALUE"""),399)</f>
        <v>399</v>
      </c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</row>
    <row r="357" spans="1:26" ht="21" customHeight="1">
      <c r="A357" s="240" t="str">
        <f ca="1">IFERROR(__xludf.DUMMYFUNCTION("""COMPUTED_VALUE"""),"Guaraí")</f>
        <v>Guaraí</v>
      </c>
      <c r="B357" s="240" t="str">
        <f ca="1">IFERROR(__xludf.DUMMYFUNCTION("""COMPUTED_VALUE"""),"Colmeia")</f>
        <v>Colmeia</v>
      </c>
      <c r="C357" s="240" t="str">
        <f ca="1">IFERROR(__xludf.DUMMYFUNCTION("""COMPUTED_VALUE"""),"A.A. ESC. EST. JUSCELINO K. DE OLIVEIRA")</f>
        <v>A.A. ESC. EST. JUSCELINO K. DE OLIVEIRA</v>
      </c>
      <c r="D357" s="241" t="str">
        <f ca="1">IFERROR(__xludf.DUMMYFUNCTION("""COMPUTED_VALUE"""),"01138328000131")</f>
        <v>01138328000131</v>
      </c>
      <c r="E357" s="241" t="str">
        <f ca="1">IFERROR(__xludf.DUMMYFUNCTION("""COMPUTED_VALUE"""),"001")</f>
        <v>001</v>
      </c>
      <c r="F357" s="241" t="str">
        <f ca="1">IFERROR(__xludf.DUMMYFUNCTION("""COMPUTED_VALUE"""),"1306")</f>
        <v>1306</v>
      </c>
      <c r="G357" s="240" t="str">
        <f ca="1">IFERROR(__xludf.DUMMYFUNCTION("""COMPUTED_VALUE"""),"102768")</f>
        <v>102768</v>
      </c>
      <c r="H357" s="240" t="str">
        <f ca="1">IFERROR(__xludf.DUMMYFUNCTION("""COMPUTED_VALUE"""),"E.F. PARCIAL")</f>
        <v>E.F. PARCIAL</v>
      </c>
      <c r="I357" s="242">
        <f ca="1">IFERROR(__xludf.DUMMYFUNCTION("""COMPUTED_VALUE"""),525)</f>
        <v>525</v>
      </c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</row>
    <row r="358" spans="1:26" ht="21" customHeight="1">
      <c r="A358" s="240" t="str">
        <f ca="1">IFERROR(__xludf.DUMMYFUNCTION("""COMPUTED_VALUE"""),"Guaraí")</f>
        <v>Guaraí</v>
      </c>
      <c r="B358" s="240" t="str">
        <f ca="1">IFERROR(__xludf.DUMMYFUNCTION("""COMPUTED_VALUE"""),"Colmeia")</f>
        <v>Colmeia</v>
      </c>
      <c r="C358" s="240" t="str">
        <f ca="1">IFERROR(__xludf.DUMMYFUNCTION("""COMPUTED_VALUE"""),"A.A. ESC. EST. JUSCELINO K. DE OLIVEIRA")</f>
        <v>A.A. ESC. EST. JUSCELINO K. DE OLIVEIRA</v>
      </c>
      <c r="D358" s="241" t="str">
        <f ca="1">IFERROR(__xludf.DUMMYFUNCTION("""COMPUTED_VALUE"""),"01138328000131")</f>
        <v>01138328000131</v>
      </c>
      <c r="E358" s="241" t="str">
        <f ca="1">IFERROR(__xludf.DUMMYFUNCTION("""COMPUTED_VALUE"""),"001")</f>
        <v>001</v>
      </c>
      <c r="F358" s="241" t="str">
        <f ca="1">IFERROR(__xludf.DUMMYFUNCTION("""COMPUTED_VALUE"""),"1306")</f>
        <v>1306</v>
      </c>
      <c r="G358" s="240" t="str">
        <f ca="1">IFERROR(__xludf.DUMMYFUNCTION("""COMPUTED_VALUE"""),"102768")</f>
        <v>102768</v>
      </c>
      <c r="H358" s="240" t="str">
        <f ca="1">IFERROR(__xludf.DUMMYFUNCTION("""COMPUTED_VALUE"""),"ENS MEDIO PARCIAL")</f>
        <v>ENS MEDIO PARCIAL</v>
      </c>
      <c r="I358" s="242">
        <f ca="1">IFERROR(__xludf.DUMMYFUNCTION("""COMPUTED_VALUE"""),399)</f>
        <v>399</v>
      </c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</row>
    <row r="359" spans="1:26" ht="21" customHeight="1">
      <c r="A359" s="240" t="str">
        <f ca="1">IFERROR(__xludf.DUMMYFUNCTION("""COMPUTED_VALUE"""),"Guaraí")</f>
        <v>Guaraí</v>
      </c>
      <c r="B359" s="240" t="str">
        <f ca="1">IFERROR(__xludf.DUMMYFUNCTION("""COMPUTED_VALUE"""),"Colmeia")</f>
        <v>Colmeia</v>
      </c>
      <c r="C359" s="240" t="str">
        <f ca="1">IFERROR(__xludf.DUMMYFUNCTION("""COMPUTED_VALUE"""),"A.A.  COL. EST. SERRA DAS CORDILHEIRAS")</f>
        <v>A.A.  COL. EST. SERRA DAS CORDILHEIRAS</v>
      </c>
      <c r="D359" s="241" t="str">
        <f ca="1">IFERROR(__xludf.DUMMYFUNCTION("""COMPUTED_VALUE"""),"01138330000100")</f>
        <v>01138330000100</v>
      </c>
      <c r="E359" s="241" t="str">
        <f ca="1">IFERROR(__xludf.DUMMYFUNCTION("""COMPUTED_VALUE"""),"001")</f>
        <v>001</v>
      </c>
      <c r="F359" s="241" t="str">
        <f ca="1">IFERROR(__xludf.DUMMYFUNCTION("""COMPUTED_VALUE"""),"1306")</f>
        <v>1306</v>
      </c>
      <c r="G359" s="240" t="str">
        <f ca="1">IFERROR(__xludf.DUMMYFUNCTION("""COMPUTED_VALUE"""),"102776")</f>
        <v>102776</v>
      </c>
      <c r="H359" s="240" t="str">
        <f ca="1">IFERROR(__xludf.DUMMYFUNCTION("""COMPUTED_VALUE"""),"E.F. PARCIAL")</f>
        <v>E.F. PARCIAL</v>
      </c>
      <c r="I359" s="242">
        <f ca="1">IFERROR(__xludf.DUMMYFUNCTION("""COMPUTED_VALUE"""),3087)</f>
        <v>3087</v>
      </c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</row>
    <row r="360" spans="1:26" ht="21" customHeight="1">
      <c r="A360" s="240" t="str">
        <f ca="1">IFERROR(__xludf.DUMMYFUNCTION("""COMPUTED_VALUE"""),"Guaraí")</f>
        <v>Guaraí</v>
      </c>
      <c r="B360" s="240" t="str">
        <f ca="1">IFERROR(__xludf.DUMMYFUNCTION("""COMPUTED_VALUE"""),"Colmeia")</f>
        <v>Colmeia</v>
      </c>
      <c r="C360" s="240" t="str">
        <f ca="1">IFERROR(__xludf.DUMMYFUNCTION("""COMPUTED_VALUE"""),"A.A.  COL. EST. SERRA DAS CORDILHEIRAS")</f>
        <v>A.A.  COL. EST. SERRA DAS CORDILHEIRAS</v>
      </c>
      <c r="D360" s="241" t="str">
        <f ca="1">IFERROR(__xludf.DUMMYFUNCTION("""COMPUTED_VALUE"""),"01138330000100")</f>
        <v>01138330000100</v>
      </c>
      <c r="E360" s="241" t="str">
        <f ca="1">IFERROR(__xludf.DUMMYFUNCTION("""COMPUTED_VALUE"""),"001")</f>
        <v>001</v>
      </c>
      <c r="F360" s="241" t="str">
        <f ca="1">IFERROR(__xludf.DUMMYFUNCTION("""COMPUTED_VALUE"""),"1306")</f>
        <v>1306</v>
      </c>
      <c r="G360" s="240" t="str">
        <f ca="1">IFERROR(__xludf.DUMMYFUNCTION("""COMPUTED_VALUE"""),"102776")</f>
        <v>102776</v>
      </c>
      <c r="H360" s="240" t="str">
        <f ca="1">IFERROR(__xludf.DUMMYFUNCTION("""COMPUTED_VALUE"""),"AEE")</f>
        <v>AEE</v>
      </c>
      <c r="I360" s="242">
        <f ca="1">IFERROR(__xludf.DUMMYFUNCTION("""COMPUTED_VALUE"""),357)</f>
        <v>357</v>
      </c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</row>
    <row r="361" spans="1:26" ht="21" customHeight="1">
      <c r="A361" s="240" t="str">
        <f ca="1">IFERROR(__xludf.DUMMYFUNCTION("""COMPUTED_VALUE"""),"Guaraí")</f>
        <v>Guaraí</v>
      </c>
      <c r="B361" s="240" t="str">
        <f ca="1">IFERROR(__xludf.DUMMYFUNCTION("""COMPUTED_VALUE"""),"Colmeia")</f>
        <v>Colmeia</v>
      </c>
      <c r="C361" s="240" t="str">
        <f ca="1">IFERROR(__xludf.DUMMYFUNCTION("""COMPUTED_VALUE"""),"A.A.  COL. EST. SERRA DAS CORDILHEIRAS")</f>
        <v>A.A.  COL. EST. SERRA DAS CORDILHEIRAS</v>
      </c>
      <c r="D361" s="241" t="str">
        <f ca="1">IFERROR(__xludf.DUMMYFUNCTION("""COMPUTED_VALUE"""),"01138330000100")</f>
        <v>01138330000100</v>
      </c>
      <c r="E361" s="241" t="str">
        <f ca="1">IFERROR(__xludf.DUMMYFUNCTION("""COMPUTED_VALUE"""),"001")</f>
        <v>001</v>
      </c>
      <c r="F361" s="241" t="str">
        <f ca="1">IFERROR(__xludf.DUMMYFUNCTION("""COMPUTED_VALUE"""),"1306")</f>
        <v>1306</v>
      </c>
      <c r="G361" s="240" t="str">
        <f ca="1">IFERROR(__xludf.DUMMYFUNCTION("""COMPUTED_VALUE"""),"102776")</f>
        <v>102776</v>
      </c>
      <c r="H361" s="240" t="str">
        <f ca="1">IFERROR(__xludf.DUMMYFUNCTION("""COMPUTED_VALUE"""),"ENS MEDIO PARCIAL")</f>
        <v>ENS MEDIO PARCIAL</v>
      </c>
      <c r="I361" s="242">
        <f ca="1">IFERROR(__xludf.DUMMYFUNCTION("""COMPUTED_VALUE"""),6153)</f>
        <v>6153</v>
      </c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</row>
    <row r="362" spans="1:26" ht="21" customHeight="1">
      <c r="A362" s="240" t="str">
        <f ca="1">IFERROR(__xludf.DUMMYFUNCTION("""COMPUTED_VALUE"""),"Guaraí")</f>
        <v>Guaraí</v>
      </c>
      <c r="B362" s="240" t="str">
        <f ca="1">IFERROR(__xludf.DUMMYFUNCTION("""COMPUTED_VALUE"""),"Colmeia")</f>
        <v>Colmeia</v>
      </c>
      <c r="C362" s="240" t="str">
        <f ca="1">IFERROR(__xludf.DUMMYFUNCTION("""COMPUTED_VALUE"""),"A.A.  COL. EST. SERRA DAS CORDILHEIRAS")</f>
        <v>A.A.  COL. EST. SERRA DAS CORDILHEIRAS</v>
      </c>
      <c r="D362" s="241" t="str">
        <f ca="1">IFERROR(__xludf.DUMMYFUNCTION("""COMPUTED_VALUE"""),"01138330000100")</f>
        <v>01138330000100</v>
      </c>
      <c r="E362" s="241" t="str">
        <f ca="1">IFERROR(__xludf.DUMMYFUNCTION("""COMPUTED_VALUE"""),"001")</f>
        <v>001</v>
      </c>
      <c r="F362" s="241" t="str">
        <f ca="1">IFERROR(__xludf.DUMMYFUNCTION("""COMPUTED_VALUE"""),"1306")</f>
        <v>1306</v>
      </c>
      <c r="G362" s="240" t="str">
        <f ca="1">IFERROR(__xludf.DUMMYFUNCTION("""COMPUTED_VALUE"""),"102776")</f>
        <v>102776</v>
      </c>
      <c r="H362" s="240" t="str">
        <f ca="1">IFERROR(__xludf.DUMMYFUNCTION("""COMPUTED_VALUE"""),"EJA")</f>
        <v>EJA</v>
      </c>
      <c r="I362" s="242">
        <f ca="1">IFERROR(__xludf.DUMMYFUNCTION("""COMPUTED_VALUE"""),756)</f>
        <v>756</v>
      </c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</row>
    <row r="363" spans="1:26" ht="21" customHeight="1">
      <c r="A363" s="240" t="str">
        <f ca="1">IFERROR(__xludf.DUMMYFUNCTION("""COMPUTED_VALUE"""),"Guaraí")</f>
        <v>Guaraí</v>
      </c>
      <c r="B363" s="240" t="str">
        <f ca="1">IFERROR(__xludf.DUMMYFUNCTION("""COMPUTED_VALUE"""),"Colmeia")</f>
        <v>Colmeia</v>
      </c>
      <c r="C363" s="240" t="str">
        <f ca="1">IFERROR(__xludf.DUMMYFUNCTION("""COMPUTED_VALUE"""),"A.A. ESC. EST. ARY RIBEIRO VALADAO FILHO")</f>
        <v>A.A. ESC. EST. ARY RIBEIRO VALADAO FILHO</v>
      </c>
      <c r="D363" s="241" t="str">
        <f ca="1">IFERROR(__xludf.DUMMYFUNCTION("""COMPUTED_VALUE"""),"01138331000155")</f>
        <v>01138331000155</v>
      </c>
      <c r="E363" s="241" t="str">
        <f ca="1">IFERROR(__xludf.DUMMYFUNCTION("""COMPUTED_VALUE"""),"001")</f>
        <v>001</v>
      </c>
      <c r="F363" s="241" t="str">
        <f ca="1">IFERROR(__xludf.DUMMYFUNCTION("""COMPUTED_VALUE"""),"1306")</f>
        <v>1306</v>
      </c>
      <c r="G363" s="240" t="str">
        <f ca="1">IFERROR(__xludf.DUMMYFUNCTION("""COMPUTED_VALUE"""),"102806")</f>
        <v>102806</v>
      </c>
      <c r="H363" s="240" t="str">
        <f ca="1">IFERROR(__xludf.DUMMYFUNCTION("""COMPUTED_VALUE"""),"E.F. PARCIAL")</f>
        <v>E.F. PARCIAL</v>
      </c>
      <c r="I363" s="242">
        <f ca="1">IFERROR(__xludf.DUMMYFUNCTION("""COMPUTED_VALUE"""),4410)</f>
        <v>4410</v>
      </c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</row>
    <row r="364" spans="1:26" ht="21" customHeight="1">
      <c r="A364" s="240" t="str">
        <f ca="1">IFERROR(__xludf.DUMMYFUNCTION("""COMPUTED_VALUE"""),"Guaraí")</f>
        <v>Guaraí</v>
      </c>
      <c r="B364" s="240" t="str">
        <f ca="1">IFERROR(__xludf.DUMMYFUNCTION("""COMPUTED_VALUE"""),"Colmeia")</f>
        <v>Colmeia</v>
      </c>
      <c r="C364" s="240" t="str">
        <f ca="1">IFERROR(__xludf.DUMMYFUNCTION("""COMPUTED_VALUE"""),"A.A. ESC. EST. ARY RIBEIRO VALADAO FILHO")</f>
        <v>A.A. ESC. EST. ARY RIBEIRO VALADAO FILHO</v>
      </c>
      <c r="D364" s="241" t="str">
        <f ca="1">IFERROR(__xludf.DUMMYFUNCTION("""COMPUTED_VALUE"""),"01138331000155")</f>
        <v>01138331000155</v>
      </c>
      <c r="E364" s="241" t="str">
        <f ca="1">IFERROR(__xludf.DUMMYFUNCTION("""COMPUTED_VALUE"""),"001")</f>
        <v>001</v>
      </c>
      <c r="F364" s="241" t="str">
        <f ca="1">IFERROR(__xludf.DUMMYFUNCTION("""COMPUTED_VALUE"""),"1306")</f>
        <v>1306</v>
      </c>
      <c r="G364" s="240" t="str">
        <f ca="1">IFERROR(__xludf.DUMMYFUNCTION("""COMPUTED_VALUE"""),"102806")</f>
        <v>102806</v>
      </c>
      <c r="H364" s="240" t="str">
        <f ca="1">IFERROR(__xludf.DUMMYFUNCTION("""COMPUTED_VALUE"""),"AEE")</f>
        <v>AEE</v>
      </c>
      <c r="I364" s="242">
        <f ca="1">IFERROR(__xludf.DUMMYFUNCTION("""COMPUTED_VALUE"""),189)</f>
        <v>189</v>
      </c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</row>
    <row r="365" spans="1:26" ht="21" customHeight="1">
      <c r="A365" s="240" t="str">
        <f ca="1">IFERROR(__xludf.DUMMYFUNCTION("""COMPUTED_VALUE"""),"Guaraí")</f>
        <v>Guaraí</v>
      </c>
      <c r="B365" s="240" t="str">
        <f ca="1">IFERROR(__xludf.DUMMYFUNCTION("""COMPUTED_VALUE"""),"Colmeia")</f>
        <v>Colmeia</v>
      </c>
      <c r="C365" s="240" t="str">
        <f ca="1">IFERROR(__xludf.DUMMYFUNCTION("""COMPUTED_VALUE"""),"A.A. ESC. EST. ARY RIBEIRO VALADAO FILHO")</f>
        <v>A.A. ESC. EST. ARY RIBEIRO VALADAO FILHO</v>
      </c>
      <c r="D365" s="241" t="str">
        <f ca="1">IFERROR(__xludf.DUMMYFUNCTION("""COMPUTED_VALUE"""),"01138331000155")</f>
        <v>01138331000155</v>
      </c>
      <c r="E365" s="241" t="str">
        <f ca="1">IFERROR(__xludf.DUMMYFUNCTION("""COMPUTED_VALUE"""),"001")</f>
        <v>001</v>
      </c>
      <c r="F365" s="241" t="str">
        <f ca="1">IFERROR(__xludf.DUMMYFUNCTION("""COMPUTED_VALUE"""),"1306")</f>
        <v>1306</v>
      </c>
      <c r="G365" s="240" t="str">
        <f ca="1">IFERROR(__xludf.DUMMYFUNCTION("""COMPUTED_VALUE"""),"102806")</f>
        <v>102806</v>
      </c>
      <c r="H365" s="240" t="str">
        <f ca="1">IFERROR(__xludf.DUMMYFUNCTION("""COMPUTED_VALUE"""),"ENS MEDIO PARCIAL")</f>
        <v>ENS MEDIO PARCIAL</v>
      </c>
      <c r="I365" s="242">
        <f ca="1">IFERROR(__xludf.DUMMYFUNCTION("""COMPUTED_VALUE"""),714)</f>
        <v>714</v>
      </c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</row>
    <row r="366" spans="1:26" ht="21" customHeight="1">
      <c r="A366" s="240" t="str">
        <f ca="1">IFERROR(__xludf.DUMMYFUNCTION("""COMPUTED_VALUE"""),"Guaraí")</f>
        <v>Guaraí</v>
      </c>
      <c r="B366" s="240" t="str">
        <f ca="1">IFERROR(__xludf.DUMMYFUNCTION("""COMPUTED_VALUE"""),"Colmeia")</f>
        <v>Colmeia</v>
      </c>
      <c r="C366" s="240" t="str">
        <f ca="1">IFERROR(__xludf.DUMMYFUNCTION("""COMPUTED_VALUE"""),"A..A. ESC. ESPECIAL  FILHOS DA LUZ")</f>
        <v>A..A. ESC. ESPECIAL  FILHOS DA LUZ</v>
      </c>
      <c r="D366" s="241" t="str">
        <f ca="1">IFERROR(__xludf.DUMMYFUNCTION("""COMPUTED_VALUE"""),"07921086000134")</f>
        <v>07921086000134</v>
      </c>
      <c r="E366" s="241" t="str">
        <f ca="1">IFERROR(__xludf.DUMMYFUNCTION("""COMPUTED_VALUE"""),"001")</f>
        <v>001</v>
      </c>
      <c r="F366" s="241" t="str">
        <f ca="1">IFERROR(__xludf.DUMMYFUNCTION("""COMPUTED_VALUE"""),"1306")</f>
        <v>1306</v>
      </c>
      <c r="G366" s="240" t="str">
        <f ca="1">IFERROR(__xludf.DUMMYFUNCTION("""COMPUTED_VALUE"""),"167940")</f>
        <v>167940</v>
      </c>
      <c r="H366" s="240" t="str">
        <f ca="1">IFERROR(__xludf.DUMMYFUNCTION("""COMPUTED_VALUE"""),"PRÉ-ESCOLA")</f>
        <v>PRÉ-ESCOLA</v>
      </c>
      <c r="I366" s="242">
        <f ca="1">IFERROR(__xludf.DUMMYFUNCTION("""COMPUTED_VALUE"""),189)</f>
        <v>189</v>
      </c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</row>
    <row r="367" spans="1:26" ht="21" customHeight="1">
      <c r="A367" s="240" t="str">
        <f ca="1">IFERROR(__xludf.DUMMYFUNCTION("""COMPUTED_VALUE"""),"Guaraí")</f>
        <v>Guaraí</v>
      </c>
      <c r="B367" s="240" t="str">
        <f ca="1">IFERROR(__xludf.DUMMYFUNCTION("""COMPUTED_VALUE"""),"Colmeia")</f>
        <v>Colmeia</v>
      </c>
      <c r="C367" s="240" t="str">
        <f ca="1">IFERROR(__xludf.DUMMYFUNCTION("""COMPUTED_VALUE"""),"A..A. ESC. ESPECIAL  FILHOS DA LUZ")</f>
        <v>A..A. ESC. ESPECIAL  FILHOS DA LUZ</v>
      </c>
      <c r="D367" s="241" t="str">
        <f ca="1">IFERROR(__xludf.DUMMYFUNCTION("""COMPUTED_VALUE"""),"07921086000134")</f>
        <v>07921086000134</v>
      </c>
      <c r="E367" s="241" t="str">
        <f ca="1">IFERROR(__xludf.DUMMYFUNCTION("""COMPUTED_VALUE"""),"001")</f>
        <v>001</v>
      </c>
      <c r="F367" s="241" t="str">
        <f ca="1">IFERROR(__xludf.DUMMYFUNCTION("""COMPUTED_VALUE"""),"1306")</f>
        <v>1306</v>
      </c>
      <c r="G367" s="240" t="str">
        <f ca="1">IFERROR(__xludf.DUMMYFUNCTION("""COMPUTED_VALUE"""),"167940")</f>
        <v>167940</v>
      </c>
      <c r="H367" s="240" t="str">
        <f ca="1">IFERROR(__xludf.DUMMYFUNCTION("""COMPUTED_VALUE"""),"AEE")</f>
        <v>AEE</v>
      </c>
      <c r="I367" s="242">
        <f ca="1">IFERROR(__xludf.DUMMYFUNCTION("""COMPUTED_VALUE"""),336)</f>
        <v>336</v>
      </c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</row>
    <row r="368" spans="1:26" ht="21" customHeight="1">
      <c r="A368" s="240" t="str">
        <f ca="1">IFERROR(__xludf.DUMMYFUNCTION("""COMPUTED_VALUE"""),"Guaraí")</f>
        <v>Guaraí</v>
      </c>
      <c r="B368" s="240" t="str">
        <f ca="1">IFERROR(__xludf.DUMMYFUNCTION("""COMPUTED_VALUE"""),"Colmeia")</f>
        <v>Colmeia</v>
      </c>
      <c r="C368" s="240" t="str">
        <f ca="1">IFERROR(__xludf.DUMMYFUNCTION("""COMPUTED_VALUE"""),"A..A. ESC. ESPECIAL  FILHOS DA LUZ")</f>
        <v>A..A. ESC. ESPECIAL  FILHOS DA LUZ</v>
      </c>
      <c r="D368" s="241" t="str">
        <f ca="1">IFERROR(__xludf.DUMMYFUNCTION("""COMPUTED_VALUE"""),"07921086000134")</f>
        <v>07921086000134</v>
      </c>
      <c r="E368" s="241" t="str">
        <f ca="1">IFERROR(__xludf.DUMMYFUNCTION("""COMPUTED_VALUE"""),"001")</f>
        <v>001</v>
      </c>
      <c r="F368" s="241" t="str">
        <f ca="1">IFERROR(__xludf.DUMMYFUNCTION("""COMPUTED_VALUE"""),"1306")</f>
        <v>1306</v>
      </c>
      <c r="G368" s="240" t="str">
        <f ca="1">IFERROR(__xludf.DUMMYFUNCTION("""COMPUTED_VALUE"""),"167940")</f>
        <v>167940</v>
      </c>
      <c r="H368" s="240" t="str">
        <f ca="1">IFERROR(__xludf.DUMMYFUNCTION("""COMPUTED_VALUE"""),"EJA")</f>
        <v>EJA</v>
      </c>
      <c r="I368" s="242">
        <f ca="1">IFERROR(__xludf.DUMMYFUNCTION("""COMPUTED_VALUE"""),2016)</f>
        <v>2016</v>
      </c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</row>
    <row r="369" spans="1:26" ht="21" customHeight="1">
      <c r="A369" s="240" t="str">
        <f ca="1">IFERROR(__xludf.DUMMYFUNCTION("""COMPUTED_VALUE"""),"Guaraí")</f>
        <v>Guaraí</v>
      </c>
      <c r="B369" s="240" t="str">
        <f ca="1">IFERROR(__xludf.DUMMYFUNCTION("""COMPUTED_VALUE"""),"Couto Magalhaes")</f>
        <v>Couto Magalhaes</v>
      </c>
      <c r="C369" s="240" t="str">
        <f ca="1">IFERROR(__xludf.DUMMYFUNCTION("""COMPUTED_VALUE"""),"A.A. COL. EST. ARCHANGELA MILHOMEM")</f>
        <v>A.A. COL. EST. ARCHANGELA MILHOMEM</v>
      </c>
      <c r="D369" s="241" t="str">
        <f ca="1">IFERROR(__xludf.DUMMYFUNCTION("""COMPUTED_VALUE"""),"01138334000199")</f>
        <v>01138334000199</v>
      </c>
      <c r="E369" s="241" t="str">
        <f ca="1">IFERROR(__xludf.DUMMYFUNCTION("""COMPUTED_VALUE"""),"001")</f>
        <v>001</v>
      </c>
      <c r="F369" s="241" t="str">
        <f ca="1">IFERROR(__xludf.DUMMYFUNCTION("""COMPUTED_VALUE"""),"2094")</f>
        <v>2094</v>
      </c>
      <c r="G369" s="240" t="str">
        <f ca="1">IFERROR(__xludf.DUMMYFUNCTION("""COMPUTED_VALUE"""),"50385")</f>
        <v>50385</v>
      </c>
      <c r="H369" s="240" t="str">
        <f ca="1">IFERROR(__xludf.DUMMYFUNCTION("""COMPUTED_VALUE"""),"ENS MEDIO PARCIAL")</f>
        <v>ENS MEDIO PARCIAL</v>
      </c>
      <c r="I369" s="242">
        <f ca="1">IFERROR(__xludf.DUMMYFUNCTION("""COMPUTED_VALUE"""),1302)</f>
        <v>1302</v>
      </c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</row>
    <row r="370" spans="1:26" ht="21" customHeight="1">
      <c r="A370" s="240" t="str">
        <f ca="1">IFERROR(__xludf.DUMMYFUNCTION("""COMPUTED_VALUE"""),"Guaraí")</f>
        <v>Guaraí</v>
      </c>
      <c r="B370" s="240" t="str">
        <f ca="1">IFERROR(__xludf.DUMMYFUNCTION("""COMPUTED_VALUE"""),"Couto Magalhaes")</f>
        <v>Couto Magalhaes</v>
      </c>
      <c r="C370" s="240" t="str">
        <f ca="1">IFERROR(__xludf.DUMMYFUNCTION("""COMPUTED_VALUE"""),"A.A. ESC. EST. ARLINDA ROSA DE SOUZA")</f>
        <v>A.A. ESC. EST. ARLINDA ROSA DE SOUZA</v>
      </c>
      <c r="D370" s="241" t="str">
        <f ca="1">IFERROR(__xludf.DUMMYFUNCTION("""COMPUTED_VALUE"""),"01221143000196")</f>
        <v>01221143000196</v>
      </c>
      <c r="E370" s="241" t="str">
        <f ca="1">IFERROR(__xludf.DUMMYFUNCTION("""COMPUTED_VALUE"""),"001")</f>
        <v>001</v>
      </c>
      <c r="F370" s="241" t="str">
        <f ca="1">IFERROR(__xludf.DUMMYFUNCTION("""COMPUTED_VALUE"""),"2094")</f>
        <v>2094</v>
      </c>
      <c r="G370" s="240" t="str">
        <f ca="1">IFERROR(__xludf.DUMMYFUNCTION("""COMPUTED_VALUE"""),"50350")</f>
        <v>50350</v>
      </c>
      <c r="H370" s="240" t="str">
        <f ca="1">IFERROR(__xludf.DUMMYFUNCTION("""COMPUTED_VALUE"""),"E.F. PARCIAL")</f>
        <v>E.F. PARCIAL</v>
      </c>
      <c r="I370" s="242">
        <f ca="1">IFERROR(__xludf.DUMMYFUNCTION("""COMPUTED_VALUE"""),2625)</f>
        <v>2625</v>
      </c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</row>
    <row r="371" spans="1:26" ht="21" customHeight="1">
      <c r="A371" s="240" t="str">
        <f ca="1">IFERROR(__xludf.DUMMYFUNCTION("""COMPUTED_VALUE"""),"Guaraí")</f>
        <v>Guaraí</v>
      </c>
      <c r="B371" s="240" t="str">
        <f ca="1">IFERROR(__xludf.DUMMYFUNCTION("""COMPUTED_VALUE"""),"Couto Magalhaes")</f>
        <v>Couto Magalhaes</v>
      </c>
      <c r="C371" s="240" t="str">
        <f ca="1">IFERROR(__xludf.DUMMYFUNCTION("""COMPUTED_VALUE"""),"A.A. ESCOLAR DA E. EST.ULTIMO DE CARVALHO")</f>
        <v>A.A. ESCOLAR DA E. EST.ULTIMO DE CARVALHO</v>
      </c>
      <c r="D371" s="241" t="str">
        <f ca="1">IFERROR(__xludf.DUMMYFUNCTION("""COMPUTED_VALUE"""),"04315063000198")</f>
        <v>04315063000198</v>
      </c>
      <c r="E371" s="241" t="str">
        <f ca="1">IFERROR(__xludf.DUMMYFUNCTION("""COMPUTED_VALUE"""),"001")</f>
        <v>001</v>
      </c>
      <c r="F371" s="241" t="str">
        <f ca="1">IFERROR(__xludf.DUMMYFUNCTION("""COMPUTED_VALUE"""),"1306")</f>
        <v>1306</v>
      </c>
      <c r="G371" s="240" t="str">
        <f ca="1">IFERROR(__xludf.DUMMYFUNCTION("""COMPUTED_VALUE"""),"74802")</f>
        <v>74802</v>
      </c>
      <c r="H371" s="240" t="str">
        <f ca="1">IFERROR(__xludf.DUMMYFUNCTION("""COMPUTED_VALUE"""),"E.F. PARCIAL")</f>
        <v>E.F. PARCIAL</v>
      </c>
      <c r="I371" s="242">
        <f ca="1">IFERROR(__xludf.DUMMYFUNCTION("""COMPUTED_VALUE"""),1449)</f>
        <v>1449</v>
      </c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</row>
    <row r="372" spans="1:26" ht="21" customHeight="1">
      <c r="A372" s="240" t="str">
        <f ca="1">IFERROR(__xludf.DUMMYFUNCTION("""COMPUTED_VALUE"""),"Guaraí")</f>
        <v>Guaraí</v>
      </c>
      <c r="B372" s="240" t="str">
        <f ca="1">IFERROR(__xludf.DUMMYFUNCTION("""COMPUTED_VALUE"""),"Couto Magalhaes")</f>
        <v>Couto Magalhaes</v>
      </c>
      <c r="C372" s="240" t="str">
        <f ca="1">IFERROR(__xludf.DUMMYFUNCTION("""COMPUTED_VALUE"""),"A.A. ESCOLAR DA E. EST.ULTIMO DE CARVALHO")</f>
        <v>A.A. ESCOLAR DA E. EST.ULTIMO DE CARVALHO</v>
      </c>
      <c r="D372" s="241" t="str">
        <f ca="1">IFERROR(__xludf.DUMMYFUNCTION("""COMPUTED_VALUE"""),"04315063000198")</f>
        <v>04315063000198</v>
      </c>
      <c r="E372" s="241" t="str">
        <f ca="1">IFERROR(__xludf.DUMMYFUNCTION("""COMPUTED_VALUE"""),"001")</f>
        <v>001</v>
      </c>
      <c r="F372" s="241" t="str">
        <f ca="1">IFERROR(__xludf.DUMMYFUNCTION("""COMPUTED_VALUE"""),"1306")</f>
        <v>1306</v>
      </c>
      <c r="G372" s="240" t="str">
        <f ca="1">IFERROR(__xludf.DUMMYFUNCTION("""COMPUTED_VALUE"""),"74802")</f>
        <v>74802</v>
      </c>
      <c r="H372" s="240" t="str">
        <f ca="1">IFERROR(__xludf.DUMMYFUNCTION("""COMPUTED_VALUE"""),"ENS MEDIO PARCIAL")</f>
        <v>ENS MEDIO PARCIAL</v>
      </c>
      <c r="I372" s="242">
        <f ca="1">IFERROR(__xludf.DUMMYFUNCTION("""COMPUTED_VALUE"""),294)</f>
        <v>294</v>
      </c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</row>
    <row r="373" spans="1:26" ht="21" customHeight="1">
      <c r="A373" s="240" t="str">
        <f ca="1">IFERROR(__xludf.DUMMYFUNCTION("""COMPUTED_VALUE"""),"Guaraí")</f>
        <v>Guaraí</v>
      </c>
      <c r="B373" s="240" t="str">
        <f ca="1">IFERROR(__xludf.DUMMYFUNCTION("""COMPUTED_VALUE"""),"Couto Magalhaes")</f>
        <v>Couto Magalhaes</v>
      </c>
      <c r="C373" s="240" t="str">
        <f ca="1">IFERROR(__xludf.DUMMYFUNCTION("""COMPUTED_VALUE"""),"A.A. ESCOLAR DA E. EST.ULTIMO DE CARVALHO")</f>
        <v>A.A. ESCOLAR DA E. EST.ULTIMO DE CARVALHO</v>
      </c>
      <c r="D373" s="241" t="str">
        <f ca="1">IFERROR(__xludf.DUMMYFUNCTION("""COMPUTED_VALUE"""),"04315063000198")</f>
        <v>04315063000198</v>
      </c>
      <c r="E373" s="241" t="str">
        <f ca="1">IFERROR(__xludf.DUMMYFUNCTION("""COMPUTED_VALUE"""),"001")</f>
        <v>001</v>
      </c>
      <c r="F373" s="241" t="str">
        <f ca="1">IFERROR(__xludf.DUMMYFUNCTION("""COMPUTED_VALUE"""),"1306")</f>
        <v>1306</v>
      </c>
      <c r="G373" s="240" t="str">
        <f ca="1">IFERROR(__xludf.DUMMYFUNCTION("""COMPUTED_VALUE"""),"74802")</f>
        <v>74802</v>
      </c>
      <c r="H373" s="240" t="str">
        <f ca="1">IFERROR(__xludf.DUMMYFUNCTION("""COMPUTED_VALUE"""),"EJA")</f>
        <v>EJA</v>
      </c>
      <c r="I373" s="242">
        <f ca="1">IFERROR(__xludf.DUMMYFUNCTION("""COMPUTED_VALUE"""),462)</f>
        <v>462</v>
      </c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</row>
    <row r="374" spans="1:26" ht="21" customHeight="1">
      <c r="A374" s="240" t="str">
        <f ca="1">IFERROR(__xludf.DUMMYFUNCTION("""COMPUTED_VALUE"""),"Guaraí")</f>
        <v>Guaraí</v>
      </c>
      <c r="B374" s="240" t="str">
        <f ca="1">IFERROR(__xludf.DUMMYFUNCTION("""COMPUTED_VALUE"""),"Couto Magalhaes")</f>
        <v>Couto Magalhaes</v>
      </c>
      <c r="C374" s="240" t="str">
        <f ca="1">IFERROR(__xludf.DUMMYFUNCTION("""COMPUTED_VALUE"""),"A.A. ESC. ESPECIAL  DEUS É FIEL")</f>
        <v>A.A. ESC. ESPECIAL  DEUS É FIEL</v>
      </c>
      <c r="D374" s="241" t="str">
        <f ca="1">IFERROR(__xludf.DUMMYFUNCTION("""COMPUTED_VALUE"""),"17467216000164")</f>
        <v>17467216000164</v>
      </c>
      <c r="E374" s="241" t="str">
        <f ca="1">IFERROR(__xludf.DUMMYFUNCTION("""COMPUTED_VALUE"""),"001")</f>
        <v>001</v>
      </c>
      <c r="F374" s="241" t="str">
        <f ca="1">IFERROR(__xludf.DUMMYFUNCTION("""COMPUTED_VALUE"""),"1306")</f>
        <v>1306</v>
      </c>
      <c r="G374" s="240" t="str">
        <f ca="1">IFERROR(__xludf.DUMMYFUNCTION("""COMPUTED_VALUE"""),"265969")</f>
        <v>265969</v>
      </c>
      <c r="H374" s="240" t="str">
        <f ca="1">IFERROR(__xludf.DUMMYFUNCTION("""COMPUTED_VALUE"""),"E.F. PARCIAL")</f>
        <v>E.F. PARCIAL</v>
      </c>
      <c r="I374" s="242">
        <f ca="1">IFERROR(__xludf.DUMMYFUNCTION("""COMPUTED_VALUE"""),294)</f>
        <v>294</v>
      </c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</row>
    <row r="375" spans="1:26" ht="21" customHeight="1">
      <c r="A375" s="240" t="str">
        <f ca="1">IFERROR(__xludf.DUMMYFUNCTION("""COMPUTED_VALUE"""),"Guaraí")</f>
        <v>Guaraí</v>
      </c>
      <c r="B375" s="240" t="str">
        <f ca="1">IFERROR(__xludf.DUMMYFUNCTION("""COMPUTED_VALUE"""),"Couto Magalhaes")</f>
        <v>Couto Magalhaes</v>
      </c>
      <c r="C375" s="240" t="str">
        <f ca="1">IFERROR(__xludf.DUMMYFUNCTION("""COMPUTED_VALUE"""),"A.A. ESC. ESPECIAL  DEUS É FIEL")</f>
        <v>A.A. ESC. ESPECIAL  DEUS É FIEL</v>
      </c>
      <c r="D375" s="241" t="str">
        <f ca="1">IFERROR(__xludf.DUMMYFUNCTION("""COMPUTED_VALUE"""),"17467216000164")</f>
        <v>17467216000164</v>
      </c>
      <c r="E375" s="241" t="str">
        <f ca="1">IFERROR(__xludf.DUMMYFUNCTION("""COMPUTED_VALUE"""),"001")</f>
        <v>001</v>
      </c>
      <c r="F375" s="241" t="str">
        <f ca="1">IFERROR(__xludf.DUMMYFUNCTION("""COMPUTED_VALUE"""),"1306")</f>
        <v>1306</v>
      </c>
      <c r="G375" s="240" t="str">
        <f ca="1">IFERROR(__xludf.DUMMYFUNCTION("""COMPUTED_VALUE"""),"265969")</f>
        <v>265969</v>
      </c>
      <c r="H375" s="240" t="str">
        <f ca="1">IFERROR(__xludf.DUMMYFUNCTION("""COMPUTED_VALUE"""),"AEE")</f>
        <v>AEE</v>
      </c>
      <c r="I375" s="242">
        <f ca="1">IFERROR(__xludf.DUMMYFUNCTION("""COMPUTED_VALUE"""),672)</f>
        <v>672</v>
      </c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</row>
    <row r="376" spans="1:26" ht="21" customHeight="1">
      <c r="A376" s="240" t="str">
        <f ca="1">IFERROR(__xludf.DUMMYFUNCTION("""COMPUTED_VALUE"""),"Guaraí")</f>
        <v>Guaraí</v>
      </c>
      <c r="B376" s="240" t="str">
        <f ca="1">IFERROR(__xludf.DUMMYFUNCTION("""COMPUTED_VALUE"""),"Couto Magalhaes")</f>
        <v>Couto Magalhaes</v>
      </c>
      <c r="C376" s="240" t="str">
        <f ca="1">IFERROR(__xludf.DUMMYFUNCTION("""COMPUTED_VALUE"""),"A.A. ESC. ESPECIAL  DEUS É FIEL")</f>
        <v>A.A. ESC. ESPECIAL  DEUS É FIEL</v>
      </c>
      <c r="D376" s="241" t="str">
        <f ca="1">IFERROR(__xludf.DUMMYFUNCTION("""COMPUTED_VALUE"""),"17467216000164")</f>
        <v>17467216000164</v>
      </c>
      <c r="E376" s="241" t="str">
        <f ca="1">IFERROR(__xludf.DUMMYFUNCTION("""COMPUTED_VALUE"""),"001")</f>
        <v>001</v>
      </c>
      <c r="F376" s="241" t="str">
        <f ca="1">IFERROR(__xludf.DUMMYFUNCTION("""COMPUTED_VALUE"""),"1306")</f>
        <v>1306</v>
      </c>
      <c r="G376" s="240" t="str">
        <f ca="1">IFERROR(__xludf.DUMMYFUNCTION("""COMPUTED_VALUE"""),"265969")</f>
        <v>265969</v>
      </c>
      <c r="H376" s="240" t="str">
        <f ca="1">IFERROR(__xludf.DUMMYFUNCTION("""COMPUTED_VALUE"""),"EJA")</f>
        <v>EJA</v>
      </c>
      <c r="I376" s="242">
        <f ca="1">IFERROR(__xludf.DUMMYFUNCTION("""COMPUTED_VALUE"""),1050)</f>
        <v>1050</v>
      </c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</row>
    <row r="377" spans="1:26" ht="21" customHeight="1">
      <c r="A377" s="240" t="str">
        <f ca="1">IFERROR(__xludf.DUMMYFUNCTION("""COMPUTED_VALUE"""),"Guaraí")</f>
        <v>Guaraí</v>
      </c>
      <c r="B377" s="240" t="str">
        <f ca="1">IFERROR(__xludf.DUMMYFUNCTION("""COMPUTED_VALUE"""),"Fortaleza do Tabocao")</f>
        <v>Fortaleza do Tabocao</v>
      </c>
      <c r="C377" s="240" t="str">
        <f ca="1">IFERROR(__xludf.DUMMYFUNCTION("""COMPUTED_VALUE"""),"A.A. DA ESC. EST. MAJOR JUVENAL P.DE SOUZA")</f>
        <v>A.A. DA ESC. EST. MAJOR JUVENAL P.DE SOUZA</v>
      </c>
      <c r="D377" s="241" t="str">
        <f ca="1">IFERROR(__xludf.DUMMYFUNCTION("""COMPUTED_VALUE"""),"01408714000104")</f>
        <v>01408714000104</v>
      </c>
      <c r="E377" s="241" t="str">
        <f ca="1">IFERROR(__xludf.DUMMYFUNCTION("""COMPUTED_VALUE"""),"001")</f>
        <v>001</v>
      </c>
      <c r="F377" s="241" t="str">
        <f ca="1">IFERROR(__xludf.DUMMYFUNCTION("""COMPUTED_VALUE"""),"2094")</f>
        <v>2094</v>
      </c>
      <c r="G377" s="240" t="str">
        <f ca="1">IFERROR(__xludf.DUMMYFUNCTION("""COMPUTED_VALUE"""),"46743X")</f>
        <v>46743X</v>
      </c>
      <c r="H377" s="240" t="str">
        <f ca="1">IFERROR(__xludf.DUMMYFUNCTION("""COMPUTED_VALUE"""),"AEE")</f>
        <v>AEE</v>
      </c>
      <c r="I377" s="242">
        <f ca="1">IFERROR(__xludf.DUMMYFUNCTION("""COMPUTED_VALUE"""),336)</f>
        <v>336</v>
      </c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</row>
    <row r="378" spans="1:26" ht="21" customHeight="1">
      <c r="A378" s="240" t="str">
        <f ca="1">IFERROR(__xludf.DUMMYFUNCTION("""COMPUTED_VALUE"""),"Guaraí")</f>
        <v>Guaraí</v>
      </c>
      <c r="B378" s="240" t="str">
        <f ca="1">IFERROR(__xludf.DUMMYFUNCTION("""COMPUTED_VALUE"""),"Fortaleza do Tabocao")</f>
        <v>Fortaleza do Tabocao</v>
      </c>
      <c r="C378" s="240" t="str">
        <f ca="1">IFERROR(__xludf.DUMMYFUNCTION("""COMPUTED_VALUE"""),"ASSOC. DE APOIO A ESCOLA ESPECIAL EDSON DUTRA")</f>
        <v>ASSOC. DE APOIO A ESCOLA ESPECIAL EDSON DUTRA</v>
      </c>
      <c r="D378" s="241" t="str">
        <f ca="1">IFERROR(__xludf.DUMMYFUNCTION("""COMPUTED_VALUE"""),"09405159000160")</f>
        <v>09405159000160</v>
      </c>
      <c r="E378" s="241" t="str">
        <f ca="1">IFERROR(__xludf.DUMMYFUNCTION("""COMPUTED_VALUE"""),"104")</f>
        <v>104</v>
      </c>
      <c r="F378" s="241" t="str">
        <f ca="1">IFERROR(__xludf.DUMMYFUNCTION("""COMPUTED_VALUE"""),"4481")</f>
        <v>4481</v>
      </c>
      <c r="G378" s="240" t="str">
        <f ca="1">IFERROR(__xludf.DUMMYFUNCTION("""COMPUTED_VALUE"""),"3982")</f>
        <v>3982</v>
      </c>
      <c r="H378" s="240" t="str">
        <f ca="1">IFERROR(__xludf.DUMMYFUNCTION("""COMPUTED_VALUE"""),"PRÉ-ESCOLA")</f>
        <v>PRÉ-ESCOLA</v>
      </c>
      <c r="I378" s="242">
        <f ca="1">IFERROR(__xludf.DUMMYFUNCTION("""COMPUTED_VALUE"""),63)</f>
        <v>63</v>
      </c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</row>
    <row r="379" spans="1:26" ht="21" customHeight="1">
      <c r="A379" s="240" t="str">
        <f ca="1">IFERROR(__xludf.DUMMYFUNCTION("""COMPUTED_VALUE"""),"Guaraí")</f>
        <v>Guaraí</v>
      </c>
      <c r="B379" s="240" t="str">
        <f ca="1">IFERROR(__xludf.DUMMYFUNCTION("""COMPUTED_VALUE"""),"Fortaleza do Tabocao")</f>
        <v>Fortaleza do Tabocao</v>
      </c>
      <c r="C379" s="240" t="str">
        <f ca="1">IFERROR(__xludf.DUMMYFUNCTION("""COMPUTED_VALUE"""),"ASSOC. DE APOIO A ESCOLA ESPECIAL EDSON DUTRA")</f>
        <v>ASSOC. DE APOIO A ESCOLA ESPECIAL EDSON DUTRA</v>
      </c>
      <c r="D379" s="241" t="str">
        <f ca="1">IFERROR(__xludf.DUMMYFUNCTION("""COMPUTED_VALUE"""),"09405159000160")</f>
        <v>09405159000160</v>
      </c>
      <c r="E379" s="241" t="str">
        <f ca="1">IFERROR(__xludf.DUMMYFUNCTION("""COMPUTED_VALUE"""),"104")</f>
        <v>104</v>
      </c>
      <c r="F379" s="241" t="str">
        <f ca="1">IFERROR(__xludf.DUMMYFUNCTION("""COMPUTED_VALUE"""),"4481")</f>
        <v>4481</v>
      </c>
      <c r="G379" s="240" t="str">
        <f ca="1">IFERROR(__xludf.DUMMYFUNCTION("""COMPUTED_VALUE"""),"3982")</f>
        <v>3982</v>
      </c>
      <c r="H379" s="240" t="str">
        <f ca="1">IFERROR(__xludf.DUMMYFUNCTION("""COMPUTED_VALUE"""),"E.F. PARCIAL")</f>
        <v>E.F. PARCIAL</v>
      </c>
      <c r="I379" s="242">
        <f ca="1">IFERROR(__xludf.DUMMYFUNCTION("""COMPUTED_VALUE"""),42)</f>
        <v>42</v>
      </c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</row>
    <row r="380" spans="1:26" ht="21" customHeight="1">
      <c r="A380" s="240" t="str">
        <f ca="1">IFERROR(__xludf.DUMMYFUNCTION("""COMPUTED_VALUE"""),"Guaraí")</f>
        <v>Guaraí</v>
      </c>
      <c r="B380" s="240" t="str">
        <f ca="1">IFERROR(__xludf.DUMMYFUNCTION("""COMPUTED_VALUE"""),"Fortaleza do Tabocao")</f>
        <v>Fortaleza do Tabocao</v>
      </c>
      <c r="C380" s="240" t="str">
        <f ca="1">IFERROR(__xludf.DUMMYFUNCTION("""COMPUTED_VALUE"""),"ASSOC. DE APOIO A ESCOLA ESPECIAL EDSON DUTRA")</f>
        <v>ASSOC. DE APOIO A ESCOLA ESPECIAL EDSON DUTRA</v>
      </c>
      <c r="D380" s="241" t="str">
        <f ca="1">IFERROR(__xludf.DUMMYFUNCTION("""COMPUTED_VALUE"""),"09405159000160")</f>
        <v>09405159000160</v>
      </c>
      <c r="E380" s="241" t="str">
        <f ca="1">IFERROR(__xludf.DUMMYFUNCTION("""COMPUTED_VALUE"""),"104")</f>
        <v>104</v>
      </c>
      <c r="F380" s="241" t="str">
        <f ca="1">IFERROR(__xludf.DUMMYFUNCTION("""COMPUTED_VALUE"""),"4481")</f>
        <v>4481</v>
      </c>
      <c r="G380" s="240" t="str">
        <f ca="1">IFERROR(__xludf.DUMMYFUNCTION("""COMPUTED_VALUE"""),"3982")</f>
        <v>3982</v>
      </c>
      <c r="H380" s="240" t="str">
        <f ca="1">IFERROR(__xludf.DUMMYFUNCTION("""COMPUTED_VALUE"""),"AEE")</f>
        <v>AEE</v>
      </c>
      <c r="I380" s="242">
        <f ca="1">IFERROR(__xludf.DUMMYFUNCTION("""COMPUTED_VALUE"""),399)</f>
        <v>399</v>
      </c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</row>
    <row r="381" spans="1:26" ht="21" customHeight="1">
      <c r="A381" s="240" t="str">
        <f ca="1">IFERROR(__xludf.DUMMYFUNCTION("""COMPUTED_VALUE"""),"Guaraí")</f>
        <v>Guaraí</v>
      </c>
      <c r="B381" s="240" t="str">
        <f ca="1">IFERROR(__xludf.DUMMYFUNCTION("""COMPUTED_VALUE"""),"Fortaleza do Tabocao")</f>
        <v>Fortaleza do Tabocao</v>
      </c>
      <c r="C381" s="240" t="str">
        <f ca="1">IFERROR(__xludf.DUMMYFUNCTION("""COMPUTED_VALUE"""),"ASSOC. DE APOIO A ESCOLA ESPECIAL EDSON DUTRA")</f>
        <v>ASSOC. DE APOIO A ESCOLA ESPECIAL EDSON DUTRA</v>
      </c>
      <c r="D381" s="241" t="str">
        <f ca="1">IFERROR(__xludf.DUMMYFUNCTION("""COMPUTED_VALUE"""),"09405159000160")</f>
        <v>09405159000160</v>
      </c>
      <c r="E381" s="241" t="str">
        <f ca="1">IFERROR(__xludf.DUMMYFUNCTION("""COMPUTED_VALUE"""),"104")</f>
        <v>104</v>
      </c>
      <c r="F381" s="241" t="str">
        <f ca="1">IFERROR(__xludf.DUMMYFUNCTION("""COMPUTED_VALUE"""),"4481")</f>
        <v>4481</v>
      </c>
      <c r="G381" s="240" t="str">
        <f ca="1">IFERROR(__xludf.DUMMYFUNCTION("""COMPUTED_VALUE"""),"3982")</f>
        <v>3982</v>
      </c>
      <c r="H381" s="240" t="str">
        <f ca="1">IFERROR(__xludf.DUMMYFUNCTION("""COMPUTED_VALUE"""),"EJA")</f>
        <v>EJA</v>
      </c>
      <c r="I381" s="242">
        <f ca="1">IFERROR(__xludf.DUMMYFUNCTION("""COMPUTED_VALUE"""),294)</f>
        <v>294</v>
      </c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</row>
    <row r="382" spans="1:26" ht="21" customHeight="1">
      <c r="A382" s="240" t="str">
        <f ca="1">IFERROR(__xludf.DUMMYFUNCTION("""COMPUTED_VALUE"""),"Guaraí")</f>
        <v>Guaraí</v>
      </c>
      <c r="B382" s="240" t="str">
        <f ca="1">IFERROR(__xludf.DUMMYFUNCTION("""COMPUTED_VALUE"""),"Goianorte")</f>
        <v>Goianorte</v>
      </c>
      <c r="C382" s="240" t="str">
        <f ca="1">IFERROR(__xludf.DUMMYFUNCTION("""COMPUTED_VALUE"""),"A.A.  DA ESCOLA ESTADUAL MORRO DO MATO")</f>
        <v>A.A.  DA ESCOLA ESTADUAL MORRO DO MATO</v>
      </c>
      <c r="D382" s="241" t="str">
        <f ca="1">IFERROR(__xludf.DUMMYFUNCTION("""COMPUTED_VALUE"""),"01990368000107")</f>
        <v>01990368000107</v>
      </c>
      <c r="E382" s="241" t="str">
        <f ca="1">IFERROR(__xludf.DUMMYFUNCTION("""COMPUTED_VALUE"""),"001")</f>
        <v>001</v>
      </c>
      <c r="F382" s="241" t="str">
        <f ca="1">IFERROR(__xludf.DUMMYFUNCTION("""COMPUTED_VALUE"""),"1306")</f>
        <v>1306</v>
      </c>
      <c r="G382" s="240" t="str">
        <f ca="1">IFERROR(__xludf.DUMMYFUNCTION("""COMPUTED_VALUE"""),"54178")</f>
        <v>54178</v>
      </c>
      <c r="H382" s="240" t="str">
        <f ca="1">IFERROR(__xludf.DUMMYFUNCTION("""COMPUTED_VALUE"""),"E.F. PARCIAL")</f>
        <v>E.F. PARCIAL</v>
      </c>
      <c r="I382" s="242">
        <f ca="1">IFERROR(__xludf.DUMMYFUNCTION("""COMPUTED_VALUE"""),4200)</f>
        <v>4200</v>
      </c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</row>
    <row r="383" spans="1:26" ht="21" customHeight="1">
      <c r="A383" s="240" t="str">
        <f ca="1">IFERROR(__xludf.DUMMYFUNCTION("""COMPUTED_VALUE"""),"Guaraí")</f>
        <v>Guaraí</v>
      </c>
      <c r="B383" s="240" t="str">
        <f ca="1">IFERROR(__xludf.DUMMYFUNCTION("""COMPUTED_VALUE"""),"Goianorte")</f>
        <v>Goianorte</v>
      </c>
      <c r="C383" s="240" t="str">
        <f ca="1">IFERROR(__xludf.DUMMYFUNCTION("""COMPUTED_VALUE"""),"A.A.  DA ESCOLA ESTADUAL MORRO DO MATO")</f>
        <v>A.A.  DA ESCOLA ESTADUAL MORRO DO MATO</v>
      </c>
      <c r="D383" s="241" t="str">
        <f ca="1">IFERROR(__xludf.DUMMYFUNCTION("""COMPUTED_VALUE"""),"01990368000107")</f>
        <v>01990368000107</v>
      </c>
      <c r="E383" s="241" t="str">
        <f ca="1">IFERROR(__xludf.DUMMYFUNCTION("""COMPUTED_VALUE"""),"001")</f>
        <v>001</v>
      </c>
      <c r="F383" s="241" t="str">
        <f ca="1">IFERROR(__xludf.DUMMYFUNCTION("""COMPUTED_VALUE"""),"1306")</f>
        <v>1306</v>
      </c>
      <c r="G383" s="240" t="str">
        <f ca="1">IFERROR(__xludf.DUMMYFUNCTION("""COMPUTED_VALUE"""),"54178")</f>
        <v>54178</v>
      </c>
      <c r="H383" s="240" t="str">
        <f ca="1">IFERROR(__xludf.DUMMYFUNCTION("""COMPUTED_VALUE"""),"AEE")</f>
        <v>AEE</v>
      </c>
      <c r="I383" s="242">
        <f ca="1">IFERROR(__xludf.DUMMYFUNCTION("""COMPUTED_VALUE"""),630)</f>
        <v>630</v>
      </c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</row>
    <row r="384" spans="1:26" ht="21" customHeight="1">
      <c r="A384" s="240" t="str">
        <f ca="1">IFERROR(__xludf.DUMMYFUNCTION("""COMPUTED_VALUE"""),"Guaraí")</f>
        <v>Guaraí</v>
      </c>
      <c r="B384" s="240" t="str">
        <f ca="1">IFERROR(__xludf.DUMMYFUNCTION("""COMPUTED_VALUE"""),"Goianorte")</f>
        <v>Goianorte</v>
      </c>
      <c r="C384" s="240" t="str">
        <f ca="1">IFERROR(__xludf.DUMMYFUNCTION("""COMPUTED_VALUE"""),"A.A.  DA ESCOLA ESTADUAL MORRO DO MATO")</f>
        <v>A.A.  DA ESCOLA ESTADUAL MORRO DO MATO</v>
      </c>
      <c r="D384" s="241" t="str">
        <f ca="1">IFERROR(__xludf.DUMMYFUNCTION("""COMPUTED_VALUE"""),"01990368000107")</f>
        <v>01990368000107</v>
      </c>
      <c r="E384" s="241" t="str">
        <f ca="1">IFERROR(__xludf.DUMMYFUNCTION("""COMPUTED_VALUE"""),"001")</f>
        <v>001</v>
      </c>
      <c r="F384" s="241" t="str">
        <f ca="1">IFERROR(__xludf.DUMMYFUNCTION("""COMPUTED_VALUE"""),"1306")</f>
        <v>1306</v>
      </c>
      <c r="G384" s="240" t="str">
        <f ca="1">IFERROR(__xludf.DUMMYFUNCTION("""COMPUTED_VALUE"""),"54178")</f>
        <v>54178</v>
      </c>
      <c r="H384" s="240" t="str">
        <f ca="1">IFERROR(__xludf.DUMMYFUNCTION("""COMPUTED_VALUE"""),"EJA")</f>
        <v>EJA</v>
      </c>
      <c r="I384" s="242">
        <f ca="1">IFERROR(__xludf.DUMMYFUNCTION("""COMPUTED_VALUE"""),1890)</f>
        <v>1890</v>
      </c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</row>
    <row r="385" spans="1:26" ht="21" customHeight="1">
      <c r="A385" s="240" t="str">
        <f ca="1">IFERROR(__xludf.DUMMYFUNCTION("""COMPUTED_VALUE"""),"Guaraí")</f>
        <v>Guaraí</v>
      </c>
      <c r="B385" s="240" t="str">
        <f ca="1">IFERROR(__xludf.DUMMYFUNCTION("""COMPUTED_VALUE"""),"Goianorte")</f>
        <v>Goianorte</v>
      </c>
      <c r="C385" s="240" t="str">
        <f ca="1">IFERROR(__xludf.DUMMYFUNCTION("""COMPUTED_VALUE"""),"A.A. DA ESC. EST. ANTENOR BARREIRA")</f>
        <v>A.A. DA ESC. EST. ANTENOR BARREIRA</v>
      </c>
      <c r="D385" s="241" t="str">
        <f ca="1">IFERROR(__xludf.DUMMYFUNCTION("""COMPUTED_VALUE"""),"02069808000150")</f>
        <v>02069808000150</v>
      </c>
      <c r="E385" s="241" t="str">
        <f ca="1">IFERROR(__xludf.DUMMYFUNCTION("""COMPUTED_VALUE"""),"001")</f>
        <v>001</v>
      </c>
      <c r="F385" s="241" t="str">
        <f ca="1">IFERROR(__xludf.DUMMYFUNCTION("""COMPUTED_VALUE"""),"1306")</f>
        <v>1306</v>
      </c>
      <c r="G385" s="240" t="str">
        <f ca="1">IFERROR(__xludf.DUMMYFUNCTION("""COMPUTED_VALUE"""),"54186")</f>
        <v>54186</v>
      </c>
      <c r="H385" s="240" t="str">
        <f ca="1">IFERROR(__xludf.DUMMYFUNCTION("""COMPUTED_VALUE"""),"E.F. PARCIAL")</f>
        <v>E.F. PARCIAL</v>
      </c>
      <c r="I385" s="242">
        <f ca="1">IFERROR(__xludf.DUMMYFUNCTION("""COMPUTED_VALUE"""),2415)</f>
        <v>2415</v>
      </c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</row>
    <row r="386" spans="1:26" ht="21" customHeight="1">
      <c r="A386" s="240" t="str">
        <f ca="1">IFERROR(__xludf.DUMMYFUNCTION("""COMPUTED_VALUE"""),"Guaraí")</f>
        <v>Guaraí</v>
      </c>
      <c r="B386" s="240" t="str">
        <f ca="1">IFERROR(__xludf.DUMMYFUNCTION("""COMPUTED_VALUE"""),"Goianorte")</f>
        <v>Goianorte</v>
      </c>
      <c r="C386" s="240" t="str">
        <f ca="1">IFERROR(__xludf.DUMMYFUNCTION("""COMPUTED_VALUE"""),"A.A. DA ESC. EST. ANTENOR BARREIRA")</f>
        <v>A.A. DA ESC. EST. ANTENOR BARREIRA</v>
      </c>
      <c r="D386" s="241" t="str">
        <f ca="1">IFERROR(__xludf.DUMMYFUNCTION("""COMPUTED_VALUE"""),"02069808000150")</f>
        <v>02069808000150</v>
      </c>
      <c r="E386" s="241" t="str">
        <f ca="1">IFERROR(__xludf.DUMMYFUNCTION("""COMPUTED_VALUE"""),"001")</f>
        <v>001</v>
      </c>
      <c r="F386" s="241" t="str">
        <f ca="1">IFERROR(__xludf.DUMMYFUNCTION("""COMPUTED_VALUE"""),"1306")</f>
        <v>1306</v>
      </c>
      <c r="G386" s="240" t="str">
        <f ca="1">IFERROR(__xludf.DUMMYFUNCTION("""COMPUTED_VALUE"""),"54186")</f>
        <v>54186</v>
      </c>
      <c r="H386" s="240" t="str">
        <f ca="1">IFERROR(__xludf.DUMMYFUNCTION("""COMPUTED_VALUE"""),"AEE")</f>
        <v>AEE</v>
      </c>
      <c r="I386" s="242">
        <f ca="1">IFERROR(__xludf.DUMMYFUNCTION("""COMPUTED_VALUE"""),336)</f>
        <v>336</v>
      </c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</row>
    <row r="387" spans="1:26" ht="21" customHeight="1">
      <c r="A387" s="240" t="str">
        <f ca="1">IFERROR(__xludf.DUMMYFUNCTION("""COMPUTED_VALUE"""),"Guaraí")</f>
        <v>Guaraí</v>
      </c>
      <c r="B387" s="240" t="str">
        <f ca="1">IFERROR(__xludf.DUMMYFUNCTION("""COMPUTED_VALUE"""),"Goianorte")</f>
        <v>Goianorte</v>
      </c>
      <c r="C387" s="240" t="str">
        <f ca="1">IFERROR(__xludf.DUMMYFUNCTION("""COMPUTED_VALUE"""),"A.A. DA ESC. EST. ANTENOR BARREIRA")</f>
        <v>A.A. DA ESC. EST. ANTENOR BARREIRA</v>
      </c>
      <c r="D387" s="241" t="str">
        <f ca="1">IFERROR(__xludf.DUMMYFUNCTION("""COMPUTED_VALUE"""),"02069808000150")</f>
        <v>02069808000150</v>
      </c>
      <c r="E387" s="241" t="str">
        <f ca="1">IFERROR(__xludf.DUMMYFUNCTION("""COMPUTED_VALUE"""),"001")</f>
        <v>001</v>
      </c>
      <c r="F387" s="241" t="str">
        <f ca="1">IFERROR(__xludf.DUMMYFUNCTION("""COMPUTED_VALUE"""),"1306")</f>
        <v>1306</v>
      </c>
      <c r="G387" s="240" t="str">
        <f ca="1">IFERROR(__xludf.DUMMYFUNCTION("""COMPUTED_VALUE"""),"54186")</f>
        <v>54186</v>
      </c>
      <c r="H387" s="240" t="str">
        <f ca="1">IFERROR(__xludf.DUMMYFUNCTION("""COMPUTED_VALUE"""),"ENS MEDIO PARCIAL")</f>
        <v>ENS MEDIO PARCIAL</v>
      </c>
      <c r="I387" s="242">
        <f ca="1">IFERROR(__xludf.DUMMYFUNCTION("""COMPUTED_VALUE"""),4158)</f>
        <v>4158</v>
      </c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</row>
    <row r="388" spans="1:26" ht="21" customHeight="1">
      <c r="A388" s="240" t="str">
        <f ca="1">IFERROR(__xludf.DUMMYFUNCTION("""COMPUTED_VALUE"""),"Guaraí")</f>
        <v>Guaraí</v>
      </c>
      <c r="B388" s="240" t="str">
        <f ca="1">IFERROR(__xludf.DUMMYFUNCTION("""COMPUTED_VALUE"""),"Goianorte")</f>
        <v>Goianorte</v>
      </c>
      <c r="C388" s="240" t="str">
        <f ca="1">IFERROR(__xludf.DUMMYFUNCTION("""COMPUTED_VALUE"""),"ASSOC. DE APOIO DA ESCOLA ESPECIAL NOVOV PARAÍSO - APAE")</f>
        <v>ASSOC. DE APOIO DA ESCOLA ESPECIAL NOVOV PARAÍSO - APAE</v>
      </c>
      <c r="D388" s="241" t="str">
        <f ca="1">IFERROR(__xludf.DUMMYFUNCTION("""COMPUTED_VALUE"""),"09510602000163")</f>
        <v>09510602000163</v>
      </c>
      <c r="E388" s="241" t="str">
        <f ca="1">IFERROR(__xludf.DUMMYFUNCTION("""COMPUTED_VALUE"""),"001")</f>
        <v>001</v>
      </c>
      <c r="F388" s="241" t="str">
        <f ca="1">IFERROR(__xludf.DUMMYFUNCTION("""COMPUTED_VALUE"""),"1306")</f>
        <v>1306</v>
      </c>
      <c r="G388" s="240" t="str">
        <f ca="1">IFERROR(__xludf.DUMMYFUNCTION("""COMPUTED_VALUE"""),"138258")</f>
        <v>138258</v>
      </c>
      <c r="H388" s="240" t="str">
        <f ca="1">IFERROR(__xludf.DUMMYFUNCTION("""COMPUTED_VALUE"""),"E.F. PARCIAL")</f>
        <v>E.F. PARCIAL</v>
      </c>
      <c r="I388" s="242">
        <f ca="1">IFERROR(__xludf.DUMMYFUNCTION("""COMPUTED_VALUE"""),1365)</f>
        <v>1365</v>
      </c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</row>
    <row r="389" spans="1:26" ht="21" customHeight="1">
      <c r="A389" s="240" t="str">
        <f ca="1">IFERROR(__xludf.DUMMYFUNCTION("""COMPUTED_VALUE"""),"Guaraí")</f>
        <v>Guaraí</v>
      </c>
      <c r="B389" s="240" t="str">
        <f ca="1">IFERROR(__xludf.DUMMYFUNCTION("""COMPUTED_VALUE"""),"Goianorte")</f>
        <v>Goianorte</v>
      </c>
      <c r="C389" s="240" t="str">
        <f ca="1">IFERROR(__xludf.DUMMYFUNCTION("""COMPUTED_VALUE"""),"ASSOC. DE APOIO DA ESCOLA ESPECIAL NOVOV PARAÍSO - APAE")</f>
        <v>ASSOC. DE APOIO DA ESCOLA ESPECIAL NOVOV PARAÍSO - APAE</v>
      </c>
      <c r="D389" s="241" t="str">
        <f ca="1">IFERROR(__xludf.DUMMYFUNCTION("""COMPUTED_VALUE"""),"09510602000163")</f>
        <v>09510602000163</v>
      </c>
      <c r="E389" s="241" t="str">
        <f ca="1">IFERROR(__xludf.DUMMYFUNCTION("""COMPUTED_VALUE"""),"001")</f>
        <v>001</v>
      </c>
      <c r="F389" s="241" t="str">
        <f ca="1">IFERROR(__xludf.DUMMYFUNCTION("""COMPUTED_VALUE"""),"1306")</f>
        <v>1306</v>
      </c>
      <c r="G389" s="240" t="str">
        <f ca="1">IFERROR(__xludf.DUMMYFUNCTION("""COMPUTED_VALUE"""),"138258")</f>
        <v>138258</v>
      </c>
      <c r="H389" s="240" t="str">
        <f ca="1">IFERROR(__xludf.DUMMYFUNCTION("""COMPUTED_VALUE"""),"AEE")</f>
        <v>AEE</v>
      </c>
      <c r="I389" s="242">
        <f ca="1">IFERROR(__xludf.DUMMYFUNCTION("""COMPUTED_VALUE"""),630)</f>
        <v>630</v>
      </c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</row>
    <row r="390" spans="1:26" ht="21" customHeight="1">
      <c r="A390" s="240" t="str">
        <f ca="1">IFERROR(__xludf.DUMMYFUNCTION("""COMPUTED_VALUE"""),"Guaraí")</f>
        <v>Guaraí</v>
      </c>
      <c r="B390" s="240" t="str">
        <f ca="1">IFERROR(__xludf.DUMMYFUNCTION("""COMPUTED_VALUE"""),"Goianorte")</f>
        <v>Goianorte</v>
      </c>
      <c r="C390" s="240" t="str">
        <f ca="1">IFERROR(__xludf.DUMMYFUNCTION("""COMPUTED_VALUE"""),"ASSOC. DE APOIO DA ESCOLA ESPECIAL NOVOV PARAÍSO - APAE")</f>
        <v>ASSOC. DE APOIO DA ESCOLA ESPECIAL NOVOV PARAÍSO - APAE</v>
      </c>
      <c r="D390" s="241" t="str">
        <f ca="1">IFERROR(__xludf.DUMMYFUNCTION("""COMPUTED_VALUE"""),"09510602000163")</f>
        <v>09510602000163</v>
      </c>
      <c r="E390" s="241" t="str">
        <f ca="1">IFERROR(__xludf.DUMMYFUNCTION("""COMPUTED_VALUE"""),"001")</f>
        <v>001</v>
      </c>
      <c r="F390" s="241" t="str">
        <f ca="1">IFERROR(__xludf.DUMMYFUNCTION("""COMPUTED_VALUE"""),"1306")</f>
        <v>1306</v>
      </c>
      <c r="G390" s="240" t="str">
        <f ca="1">IFERROR(__xludf.DUMMYFUNCTION("""COMPUTED_VALUE"""),"138258")</f>
        <v>138258</v>
      </c>
      <c r="H390" s="240" t="str">
        <f ca="1">IFERROR(__xludf.DUMMYFUNCTION("""COMPUTED_VALUE"""),"EJA")</f>
        <v>EJA</v>
      </c>
      <c r="I390" s="242">
        <f ca="1">IFERROR(__xludf.DUMMYFUNCTION("""COMPUTED_VALUE"""),441)</f>
        <v>441</v>
      </c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</row>
    <row r="391" spans="1:26" ht="21" customHeight="1">
      <c r="A391" s="240" t="str">
        <f ca="1">IFERROR(__xludf.DUMMYFUNCTION("""COMPUTED_VALUE"""),"Guaraí")</f>
        <v>Guaraí</v>
      </c>
      <c r="B391" s="240" t="str">
        <f ca="1">IFERROR(__xludf.DUMMYFUNCTION("""COMPUTED_VALUE"""),"Guarai")</f>
        <v>Guarai</v>
      </c>
      <c r="C391" s="240" t="str">
        <f ca="1">IFERROR(__xludf.DUMMYFUNCTION("""COMPUTED_VALUE"""),"A. ESCOLAR COM.COL. EST.RAIMUNDO A.LEAO")</f>
        <v>A. ESCOLAR COM.COL. EST.RAIMUNDO A.LEAO</v>
      </c>
      <c r="D391" s="241" t="str">
        <f ca="1">IFERROR(__xludf.DUMMYFUNCTION("""COMPUTED_VALUE"""),"00880649000144")</f>
        <v>00880649000144</v>
      </c>
      <c r="E391" s="241" t="str">
        <f ca="1">IFERROR(__xludf.DUMMYFUNCTION("""COMPUTED_VALUE"""),"001")</f>
        <v>001</v>
      </c>
      <c r="F391" s="241" t="str">
        <f ca="1">IFERROR(__xludf.DUMMYFUNCTION("""COMPUTED_VALUE"""),"2094")</f>
        <v>2094</v>
      </c>
      <c r="G391" s="240" t="str">
        <f ca="1">IFERROR(__xludf.DUMMYFUNCTION("""COMPUTED_VALUE"""),"0472719")</f>
        <v>0472719</v>
      </c>
      <c r="H391" s="240" t="str">
        <f ca="1">IFERROR(__xludf.DUMMYFUNCTION("""COMPUTED_VALUE"""),"E.F. PARCIAL")</f>
        <v>E.F. PARCIAL</v>
      </c>
      <c r="I391" s="242">
        <f ca="1">IFERROR(__xludf.DUMMYFUNCTION("""COMPUTED_VALUE"""),3591)</f>
        <v>3591</v>
      </c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</row>
    <row r="392" spans="1:26" ht="21" customHeight="1">
      <c r="A392" s="240" t="str">
        <f ca="1">IFERROR(__xludf.DUMMYFUNCTION("""COMPUTED_VALUE"""),"Guaraí")</f>
        <v>Guaraí</v>
      </c>
      <c r="B392" s="240" t="str">
        <f ca="1">IFERROR(__xludf.DUMMYFUNCTION("""COMPUTED_VALUE"""),"Guarai")</f>
        <v>Guarai</v>
      </c>
      <c r="C392" s="240" t="str">
        <f ca="1">IFERROR(__xludf.DUMMYFUNCTION("""COMPUTED_VALUE"""),"A. ESCOLAR COM.COL. EST.RAIMUNDO A.LEAO")</f>
        <v>A. ESCOLAR COM.COL. EST.RAIMUNDO A.LEAO</v>
      </c>
      <c r="D392" s="241" t="str">
        <f ca="1">IFERROR(__xludf.DUMMYFUNCTION("""COMPUTED_VALUE"""),"00880649000144")</f>
        <v>00880649000144</v>
      </c>
      <c r="E392" s="241" t="str">
        <f ca="1">IFERROR(__xludf.DUMMYFUNCTION("""COMPUTED_VALUE"""),"001")</f>
        <v>001</v>
      </c>
      <c r="F392" s="241" t="str">
        <f ca="1">IFERROR(__xludf.DUMMYFUNCTION("""COMPUTED_VALUE"""),"2094")</f>
        <v>2094</v>
      </c>
      <c r="G392" s="240" t="str">
        <f ca="1">IFERROR(__xludf.DUMMYFUNCTION("""COMPUTED_VALUE"""),"0472719")</f>
        <v>0472719</v>
      </c>
      <c r="H392" s="240" t="str">
        <f ca="1">IFERROR(__xludf.DUMMYFUNCTION("""COMPUTED_VALUE"""),"AEE")</f>
        <v>AEE</v>
      </c>
      <c r="I392" s="242">
        <f ca="1">IFERROR(__xludf.DUMMYFUNCTION("""COMPUTED_VALUE"""),231)</f>
        <v>231</v>
      </c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</row>
    <row r="393" spans="1:26" ht="21" customHeight="1">
      <c r="A393" s="240" t="str">
        <f ca="1">IFERROR(__xludf.DUMMYFUNCTION("""COMPUTED_VALUE"""),"Guaraí")</f>
        <v>Guaraí</v>
      </c>
      <c r="B393" s="240" t="str">
        <f ca="1">IFERROR(__xludf.DUMMYFUNCTION("""COMPUTED_VALUE"""),"Guarai")</f>
        <v>Guarai</v>
      </c>
      <c r="C393" s="240" t="str">
        <f ca="1">IFERROR(__xludf.DUMMYFUNCTION("""COMPUTED_VALUE"""),"A. ESCOLAR COM.COL. EST.RAIMUNDO A.LEAO")</f>
        <v>A. ESCOLAR COM.COL. EST.RAIMUNDO A.LEAO</v>
      </c>
      <c r="D393" s="241" t="str">
        <f ca="1">IFERROR(__xludf.DUMMYFUNCTION("""COMPUTED_VALUE"""),"00880649000144")</f>
        <v>00880649000144</v>
      </c>
      <c r="E393" s="241" t="str">
        <f ca="1">IFERROR(__xludf.DUMMYFUNCTION("""COMPUTED_VALUE"""),"001")</f>
        <v>001</v>
      </c>
      <c r="F393" s="241" t="str">
        <f ca="1">IFERROR(__xludf.DUMMYFUNCTION("""COMPUTED_VALUE"""),"2094")</f>
        <v>2094</v>
      </c>
      <c r="G393" s="240" t="str">
        <f ca="1">IFERROR(__xludf.DUMMYFUNCTION("""COMPUTED_VALUE"""),"0472719")</f>
        <v>0472719</v>
      </c>
      <c r="H393" s="240" t="str">
        <f ca="1">IFERROR(__xludf.DUMMYFUNCTION("""COMPUTED_VALUE"""),"EJA")</f>
        <v>EJA</v>
      </c>
      <c r="I393" s="242">
        <f ca="1">IFERROR(__xludf.DUMMYFUNCTION("""COMPUTED_VALUE"""),4683)</f>
        <v>4683</v>
      </c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</row>
    <row r="394" spans="1:26" ht="21" customHeight="1">
      <c r="A394" s="240" t="str">
        <f ca="1">IFERROR(__xludf.DUMMYFUNCTION("""COMPUTED_VALUE"""),"Guaraí")</f>
        <v>Guaraí</v>
      </c>
      <c r="B394" s="240" t="str">
        <f ca="1">IFERROR(__xludf.DUMMYFUNCTION("""COMPUTED_VALUE"""),"Guarai")</f>
        <v>Guarai</v>
      </c>
      <c r="C394" s="240" t="str">
        <f ca="1">IFERROR(__xludf.DUMMYFUNCTION("""COMPUTED_VALUE"""),"A.A. ESC. EST.IRINEU ALBANO HENDGES")</f>
        <v>A.A. ESC. EST.IRINEU ALBANO HENDGES</v>
      </c>
      <c r="D394" s="241" t="str">
        <f ca="1">IFERROR(__xludf.DUMMYFUNCTION("""COMPUTED_VALUE"""),"01136012000100")</f>
        <v>01136012000100</v>
      </c>
      <c r="E394" s="241" t="str">
        <f ca="1">IFERROR(__xludf.DUMMYFUNCTION("""COMPUTED_VALUE"""),"001")</f>
        <v>001</v>
      </c>
      <c r="F394" s="241" t="str">
        <f ca="1">IFERROR(__xludf.DUMMYFUNCTION("""COMPUTED_VALUE"""),"2094")</f>
        <v>2094</v>
      </c>
      <c r="G394" s="240" t="str">
        <f ca="1">IFERROR(__xludf.DUMMYFUNCTION("""COMPUTED_VALUE"""),"0472433")</f>
        <v>0472433</v>
      </c>
      <c r="H394" s="240" t="str">
        <f ca="1">IFERROR(__xludf.DUMMYFUNCTION("""COMPUTED_VALUE"""),"E.F. PARCIAL")</f>
        <v>E.F. PARCIAL</v>
      </c>
      <c r="I394" s="242">
        <f ca="1">IFERROR(__xludf.DUMMYFUNCTION("""COMPUTED_VALUE"""),4767)</f>
        <v>4767</v>
      </c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</row>
    <row r="395" spans="1:26" ht="21" customHeight="1">
      <c r="A395" s="240" t="str">
        <f ca="1">IFERROR(__xludf.DUMMYFUNCTION("""COMPUTED_VALUE"""),"Guaraí")</f>
        <v>Guaraí</v>
      </c>
      <c r="B395" s="240" t="str">
        <f ca="1">IFERROR(__xludf.DUMMYFUNCTION("""COMPUTED_VALUE"""),"Guarai")</f>
        <v>Guarai</v>
      </c>
      <c r="C395" s="240" t="str">
        <f ca="1">IFERROR(__xludf.DUMMYFUNCTION("""COMPUTED_VALUE"""),"A.A. ESC. EST.IRINEU ALBANO HENDGES")</f>
        <v>A.A. ESC. EST.IRINEU ALBANO HENDGES</v>
      </c>
      <c r="D395" s="241" t="str">
        <f ca="1">IFERROR(__xludf.DUMMYFUNCTION("""COMPUTED_VALUE"""),"01136012000100")</f>
        <v>01136012000100</v>
      </c>
      <c r="E395" s="241" t="str">
        <f ca="1">IFERROR(__xludf.DUMMYFUNCTION("""COMPUTED_VALUE"""),"001")</f>
        <v>001</v>
      </c>
      <c r="F395" s="241" t="str">
        <f ca="1">IFERROR(__xludf.DUMMYFUNCTION("""COMPUTED_VALUE"""),"2094")</f>
        <v>2094</v>
      </c>
      <c r="G395" s="240" t="str">
        <f ca="1">IFERROR(__xludf.DUMMYFUNCTION("""COMPUTED_VALUE"""),"0472433")</f>
        <v>0472433</v>
      </c>
      <c r="H395" s="240" t="str">
        <f ca="1">IFERROR(__xludf.DUMMYFUNCTION("""COMPUTED_VALUE"""),"AEE")</f>
        <v>AEE</v>
      </c>
      <c r="I395" s="242">
        <f ca="1">IFERROR(__xludf.DUMMYFUNCTION("""COMPUTED_VALUE"""),252)</f>
        <v>252</v>
      </c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</row>
    <row r="396" spans="1:26" ht="21" customHeight="1">
      <c r="A396" s="240" t="str">
        <f ca="1">IFERROR(__xludf.DUMMYFUNCTION("""COMPUTED_VALUE"""),"Guaraí")</f>
        <v>Guaraí</v>
      </c>
      <c r="B396" s="240" t="str">
        <f ca="1">IFERROR(__xludf.DUMMYFUNCTION("""COMPUTED_VALUE"""),"Guarai")</f>
        <v>Guarai</v>
      </c>
      <c r="C396" s="240" t="str">
        <f ca="1">IFERROR(__xludf.DUMMYFUNCTION("""COMPUTED_VALUE"""),"A.A. ESC. EST.IRINEU ALBANO HENDGES")</f>
        <v>A.A. ESC. EST.IRINEU ALBANO HENDGES</v>
      </c>
      <c r="D396" s="241" t="str">
        <f ca="1">IFERROR(__xludf.DUMMYFUNCTION("""COMPUTED_VALUE"""),"01136012000100")</f>
        <v>01136012000100</v>
      </c>
      <c r="E396" s="241" t="str">
        <f ca="1">IFERROR(__xludf.DUMMYFUNCTION("""COMPUTED_VALUE"""),"001")</f>
        <v>001</v>
      </c>
      <c r="F396" s="241" t="str">
        <f ca="1">IFERROR(__xludf.DUMMYFUNCTION("""COMPUTED_VALUE"""),"2094")</f>
        <v>2094</v>
      </c>
      <c r="G396" s="240" t="str">
        <f ca="1">IFERROR(__xludf.DUMMYFUNCTION("""COMPUTED_VALUE"""),"0472433")</f>
        <v>0472433</v>
      </c>
      <c r="H396" s="240" t="str">
        <f ca="1">IFERROR(__xludf.DUMMYFUNCTION("""COMPUTED_VALUE"""),"ENS MEDIO PARCIAL")</f>
        <v>ENS MEDIO PARCIAL</v>
      </c>
      <c r="I396" s="242">
        <f ca="1">IFERROR(__xludf.DUMMYFUNCTION("""COMPUTED_VALUE"""),9198)</f>
        <v>9198</v>
      </c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</row>
    <row r="397" spans="1:26" ht="21" customHeight="1">
      <c r="A397" s="240" t="str">
        <f ca="1">IFERROR(__xludf.DUMMYFUNCTION("""COMPUTED_VALUE"""),"Guaraí")</f>
        <v>Guaraí</v>
      </c>
      <c r="B397" s="240" t="str">
        <f ca="1">IFERROR(__xludf.DUMMYFUNCTION("""COMPUTED_VALUE"""),"Guarai")</f>
        <v>Guarai</v>
      </c>
      <c r="C397" s="240" t="str">
        <f ca="1">IFERROR(__xludf.DUMMYFUNCTION("""COMPUTED_VALUE"""),"A.A. ESCOLA EST. JOSE COSTA SOARES")</f>
        <v>A.A. ESCOLA EST. JOSE COSTA SOARES</v>
      </c>
      <c r="D397" s="241" t="str">
        <f ca="1">IFERROR(__xludf.DUMMYFUNCTION("""COMPUTED_VALUE"""),"01421200000180")</f>
        <v>01421200000180</v>
      </c>
      <c r="E397" s="241" t="str">
        <f ca="1">IFERROR(__xludf.DUMMYFUNCTION("""COMPUTED_VALUE"""),"001")</f>
        <v>001</v>
      </c>
      <c r="F397" s="241" t="str">
        <f ca="1">IFERROR(__xludf.DUMMYFUNCTION("""COMPUTED_VALUE"""),"2094")</f>
        <v>2094</v>
      </c>
      <c r="G397" s="240" t="str">
        <f ca="1">IFERROR(__xludf.DUMMYFUNCTION("""COMPUTED_VALUE"""),"471577")</f>
        <v>471577</v>
      </c>
      <c r="H397" s="240" t="str">
        <f ca="1">IFERROR(__xludf.DUMMYFUNCTION("""COMPUTED_VALUE"""),"E.F. PARCIAL")</f>
        <v>E.F. PARCIAL</v>
      </c>
      <c r="I397" s="242">
        <f ca="1">IFERROR(__xludf.DUMMYFUNCTION("""COMPUTED_VALUE"""),3192)</f>
        <v>3192</v>
      </c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</row>
    <row r="398" spans="1:26" ht="21" customHeight="1">
      <c r="A398" s="240" t="str">
        <f ca="1">IFERROR(__xludf.DUMMYFUNCTION("""COMPUTED_VALUE"""),"Guaraí")</f>
        <v>Guaraí</v>
      </c>
      <c r="B398" s="240" t="str">
        <f ca="1">IFERROR(__xludf.DUMMYFUNCTION("""COMPUTED_VALUE"""),"Guarai")</f>
        <v>Guarai</v>
      </c>
      <c r="C398" s="240" t="str">
        <f ca="1">IFERROR(__xludf.DUMMYFUNCTION("""COMPUTED_VALUE"""),"A.A. ESCOLA EST. JOSE COSTA SOARES")</f>
        <v>A.A. ESCOLA EST. JOSE COSTA SOARES</v>
      </c>
      <c r="D398" s="241" t="str">
        <f ca="1">IFERROR(__xludf.DUMMYFUNCTION("""COMPUTED_VALUE"""),"01421200000180")</f>
        <v>01421200000180</v>
      </c>
      <c r="E398" s="241" t="str">
        <f ca="1">IFERROR(__xludf.DUMMYFUNCTION("""COMPUTED_VALUE"""),"001")</f>
        <v>001</v>
      </c>
      <c r="F398" s="241" t="str">
        <f ca="1">IFERROR(__xludf.DUMMYFUNCTION("""COMPUTED_VALUE"""),"2094")</f>
        <v>2094</v>
      </c>
      <c r="G398" s="240" t="str">
        <f ca="1">IFERROR(__xludf.DUMMYFUNCTION("""COMPUTED_VALUE"""),"471577")</f>
        <v>471577</v>
      </c>
      <c r="H398" s="240" t="str">
        <f ca="1">IFERROR(__xludf.DUMMYFUNCTION("""COMPUTED_VALUE"""),"AEE")</f>
        <v>AEE</v>
      </c>
      <c r="I398" s="242">
        <f ca="1">IFERROR(__xludf.DUMMYFUNCTION("""COMPUTED_VALUE"""),231)</f>
        <v>231</v>
      </c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</row>
    <row r="399" spans="1:26" ht="21" customHeight="1">
      <c r="A399" s="240" t="str">
        <f ca="1">IFERROR(__xludf.DUMMYFUNCTION("""COMPUTED_VALUE"""),"Guaraí")</f>
        <v>Guaraí</v>
      </c>
      <c r="B399" s="240" t="str">
        <f ca="1">IFERROR(__xludf.DUMMYFUNCTION("""COMPUTED_VALUE"""),"Guarai")</f>
        <v>Guarai</v>
      </c>
      <c r="C399" s="240" t="str">
        <f ca="1">IFERROR(__xludf.DUMMYFUNCTION("""COMPUTED_VALUE"""),"ASSOC. DE APOIO ESC. EST. OQUERLINA TORRES")</f>
        <v>ASSOC. DE APOIO ESC. EST. OQUERLINA TORRES</v>
      </c>
      <c r="D399" s="241" t="str">
        <f ca="1">IFERROR(__xludf.DUMMYFUNCTION("""COMPUTED_VALUE"""),"01421201000125")</f>
        <v>01421201000125</v>
      </c>
      <c r="E399" s="241" t="str">
        <f ca="1">IFERROR(__xludf.DUMMYFUNCTION("""COMPUTED_VALUE"""),"001")</f>
        <v>001</v>
      </c>
      <c r="F399" s="241" t="str">
        <f ca="1">IFERROR(__xludf.DUMMYFUNCTION("""COMPUTED_VALUE"""),"2094")</f>
        <v>2094</v>
      </c>
      <c r="G399" s="240" t="str">
        <f ca="1">IFERROR(__xludf.DUMMYFUNCTION("""COMPUTED_VALUE"""),"19266X")</f>
        <v>19266X</v>
      </c>
      <c r="H399" s="240" t="str">
        <f ca="1">IFERROR(__xludf.DUMMYFUNCTION("""COMPUTED_VALUE"""),"AEE")</f>
        <v>AEE</v>
      </c>
      <c r="I399" s="242">
        <f ca="1">IFERROR(__xludf.DUMMYFUNCTION("""COMPUTED_VALUE"""),315)</f>
        <v>315</v>
      </c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</row>
    <row r="400" spans="1:26" ht="21" customHeight="1">
      <c r="A400" s="240" t="str">
        <f ca="1">IFERROR(__xludf.DUMMYFUNCTION("""COMPUTED_VALUE"""),"Guaraí")</f>
        <v>Guaraí</v>
      </c>
      <c r="B400" s="240" t="str">
        <f ca="1">IFERROR(__xludf.DUMMYFUNCTION("""COMPUTED_VALUE"""),"Guarai")</f>
        <v>Guarai</v>
      </c>
      <c r="C400" s="240" t="str">
        <f ca="1">IFERROR(__xludf.DUMMYFUNCTION("""COMPUTED_VALUE"""),"A.A.  AS ESC. EST. ANTONIO ALENCAR LEAO")</f>
        <v>A.A.  AS ESC. EST. ANTONIO ALENCAR LEAO</v>
      </c>
      <c r="D400" s="241" t="str">
        <f ca="1">IFERROR(__xludf.DUMMYFUNCTION("""COMPUTED_VALUE"""),"01575370000110")</f>
        <v>01575370000110</v>
      </c>
      <c r="E400" s="241" t="str">
        <f ca="1">IFERROR(__xludf.DUMMYFUNCTION("""COMPUTED_VALUE"""),"001")</f>
        <v>001</v>
      </c>
      <c r="F400" s="241" t="str">
        <f ca="1">IFERROR(__xludf.DUMMYFUNCTION("""COMPUTED_VALUE"""),"2094")</f>
        <v>2094</v>
      </c>
      <c r="G400" s="240" t="str">
        <f ca="1">IFERROR(__xludf.DUMMYFUNCTION("""COMPUTED_VALUE"""),"476536")</f>
        <v>476536</v>
      </c>
      <c r="H400" s="240" t="str">
        <f ca="1">IFERROR(__xludf.DUMMYFUNCTION("""COMPUTED_VALUE"""),"E.F. PARCIAL")</f>
        <v>E.F. PARCIAL</v>
      </c>
      <c r="I400" s="242">
        <f ca="1">IFERROR(__xludf.DUMMYFUNCTION("""COMPUTED_VALUE"""),8358)</f>
        <v>8358</v>
      </c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</row>
    <row r="401" spans="1:26" ht="21" customHeight="1">
      <c r="A401" s="240" t="str">
        <f ca="1">IFERROR(__xludf.DUMMYFUNCTION("""COMPUTED_VALUE"""),"Guaraí")</f>
        <v>Guaraí</v>
      </c>
      <c r="B401" s="240" t="str">
        <f ca="1">IFERROR(__xludf.DUMMYFUNCTION("""COMPUTED_VALUE"""),"Guarai")</f>
        <v>Guarai</v>
      </c>
      <c r="C401" s="240" t="str">
        <f ca="1">IFERROR(__xludf.DUMMYFUNCTION("""COMPUTED_VALUE"""),"A.A.  AS ESC. EST. ANTONIO ALENCAR LEAO")</f>
        <v>A.A.  AS ESC. EST. ANTONIO ALENCAR LEAO</v>
      </c>
      <c r="D401" s="241" t="str">
        <f ca="1">IFERROR(__xludf.DUMMYFUNCTION("""COMPUTED_VALUE"""),"01575370000110")</f>
        <v>01575370000110</v>
      </c>
      <c r="E401" s="241" t="str">
        <f ca="1">IFERROR(__xludf.DUMMYFUNCTION("""COMPUTED_VALUE"""),"001")</f>
        <v>001</v>
      </c>
      <c r="F401" s="241" t="str">
        <f ca="1">IFERROR(__xludf.DUMMYFUNCTION("""COMPUTED_VALUE"""),"2094")</f>
        <v>2094</v>
      </c>
      <c r="G401" s="240" t="str">
        <f ca="1">IFERROR(__xludf.DUMMYFUNCTION("""COMPUTED_VALUE"""),"476536")</f>
        <v>476536</v>
      </c>
      <c r="H401" s="240" t="str">
        <f ca="1">IFERROR(__xludf.DUMMYFUNCTION("""COMPUTED_VALUE"""),"AEE")</f>
        <v>AEE</v>
      </c>
      <c r="I401" s="242">
        <f ca="1">IFERROR(__xludf.DUMMYFUNCTION("""COMPUTED_VALUE"""),210)</f>
        <v>210</v>
      </c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</row>
    <row r="402" spans="1:26" ht="21" customHeight="1">
      <c r="A402" s="240" t="str">
        <f ca="1">IFERROR(__xludf.DUMMYFUNCTION("""COMPUTED_VALUE"""),"Guaraí")</f>
        <v>Guaraí</v>
      </c>
      <c r="B402" s="240" t="str">
        <f ca="1">IFERROR(__xludf.DUMMYFUNCTION("""COMPUTED_VALUE"""),"Guarai")</f>
        <v>Guarai</v>
      </c>
      <c r="C402" s="240" t="str">
        <f ca="1">IFERROR(__xludf.DUMMYFUNCTION("""COMPUTED_VALUE"""),"A.A. DO COL. EST. DONA ANAIDES B.MIRANDA")</f>
        <v>A.A. DO COL. EST. DONA ANAIDES B.MIRANDA</v>
      </c>
      <c r="D402" s="241" t="str">
        <f ca="1">IFERROR(__xludf.DUMMYFUNCTION("""COMPUTED_VALUE"""),"01867376000160")</f>
        <v>01867376000160</v>
      </c>
      <c r="E402" s="241" t="str">
        <f ca="1">IFERROR(__xludf.DUMMYFUNCTION("""COMPUTED_VALUE"""),"001")</f>
        <v>001</v>
      </c>
      <c r="F402" s="241" t="str">
        <f ca="1">IFERROR(__xludf.DUMMYFUNCTION("""COMPUTED_VALUE"""),"2094")</f>
        <v>2094</v>
      </c>
      <c r="G402" s="240" t="str">
        <f ca="1">IFERROR(__xludf.DUMMYFUNCTION("""COMPUTED_VALUE"""),"472123")</f>
        <v>472123</v>
      </c>
      <c r="H402" s="240" t="str">
        <f ca="1">IFERROR(__xludf.DUMMYFUNCTION("""COMPUTED_VALUE"""),"E.F. PARCIAL")</f>
        <v>E.F. PARCIAL</v>
      </c>
      <c r="I402" s="242">
        <f ca="1">IFERROR(__xludf.DUMMYFUNCTION("""COMPUTED_VALUE"""),7476)</f>
        <v>7476</v>
      </c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</row>
    <row r="403" spans="1:26" ht="21" customHeight="1">
      <c r="A403" s="240" t="str">
        <f ca="1">IFERROR(__xludf.DUMMYFUNCTION("""COMPUTED_VALUE"""),"Guaraí")</f>
        <v>Guaraí</v>
      </c>
      <c r="B403" s="240" t="str">
        <f ca="1">IFERROR(__xludf.DUMMYFUNCTION("""COMPUTED_VALUE"""),"Guarai")</f>
        <v>Guarai</v>
      </c>
      <c r="C403" s="240" t="str">
        <f ca="1">IFERROR(__xludf.DUMMYFUNCTION("""COMPUTED_VALUE"""),"A.A. DO COL. EST. DONA ANAIDES B.MIRANDA")</f>
        <v>A.A. DO COL. EST. DONA ANAIDES B.MIRANDA</v>
      </c>
      <c r="D403" s="241" t="str">
        <f ca="1">IFERROR(__xludf.DUMMYFUNCTION("""COMPUTED_VALUE"""),"01867376000160")</f>
        <v>01867376000160</v>
      </c>
      <c r="E403" s="241" t="str">
        <f ca="1">IFERROR(__xludf.DUMMYFUNCTION("""COMPUTED_VALUE"""),"001")</f>
        <v>001</v>
      </c>
      <c r="F403" s="241" t="str">
        <f ca="1">IFERROR(__xludf.DUMMYFUNCTION("""COMPUTED_VALUE"""),"2094")</f>
        <v>2094</v>
      </c>
      <c r="G403" s="240" t="str">
        <f ca="1">IFERROR(__xludf.DUMMYFUNCTION("""COMPUTED_VALUE"""),"472123")</f>
        <v>472123</v>
      </c>
      <c r="H403" s="240" t="str">
        <f ca="1">IFERROR(__xludf.DUMMYFUNCTION("""COMPUTED_VALUE"""),"AEE")</f>
        <v>AEE</v>
      </c>
      <c r="I403" s="242">
        <f ca="1">IFERROR(__xludf.DUMMYFUNCTION("""COMPUTED_VALUE"""),231)</f>
        <v>231</v>
      </c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</row>
    <row r="404" spans="1:26" ht="21" customHeight="1">
      <c r="A404" s="240" t="str">
        <f ca="1">IFERROR(__xludf.DUMMYFUNCTION("""COMPUTED_VALUE"""),"Guaraí")</f>
        <v>Guaraí</v>
      </c>
      <c r="B404" s="240" t="str">
        <f ca="1">IFERROR(__xludf.DUMMYFUNCTION("""COMPUTED_VALUE"""),"Guarai")</f>
        <v>Guarai</v>
      </c>
      <c r="C404" s="240" t="str">
        <f ca="1">IFERROR(__xludf.DUMMYFUNCTION("""COMPUTED_VALUE"""),"A.A. DO COL. EST. DONA ANAIDES B.MIRANDA")</f>
        <v>A.A. DO COL. EST. DONA ANAIDES B.MIRANDA</v>
      </c>
      <c r="D404" s="241" t="str">
        <f ca="1">IFERROR(__xludf.DUMMYFUNCTION("""COMPUTED_VALUE"""),"01867376000160")</f>
        <v>01867376000160</v>
      </c>
      <c r="E404" s="241" t="str">
        <f ca="1">IFERROR(__xludf.DUMMYFUNCTION("""COMPUTED_VALUE"""),"001")</f>
        <v>001</v>
      </c>
      <c r="F404" s="241" t="str">
        <f ca="1">IFERROR(__xludf.DUMMYFUNCTION("""COMPUTED_VALUE"""),"2094")</f>
        <v>2094</v>
      </c>
      <c r="G404" s="240" t="str">
        <f ca="1">IFERROR(__xludf.DUMMYFUNCTION("""COMPUTED_VALUE"""),"472123")</f>
        <v>472123</v>
      </c>
      <c r="H404" s="240" t="str">
        <f ca="1">IFERROR(__xludf.DUMMYFUNCTION("""COMPUTED_VALUE"""),"ENS MEDIO PARCIAL")</f>
        <v>ENS MEDIO PARCIAL</v>
      </c>
      <c r="I404" s="242">
        <f ca="1">IFERROR(__xludf.DUMMYFUNCTION("""COMPUTED_VALUE"""),4704)</f>
        <v>4704</v>
      </c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</row>
    <row r="405" spans="1:26" ht="21" customHeight="1">
      <c r="A405" s="240" t="str">
        <f ca="1">IFERROR(__xludf.DUMMYFUNCTION("""COMPUTED_VALUE"""),"Guaraí")</f>
        <v>Guaraí</v>
      </c>
      <c r="B405" s="240" t="str">
        <f ca="1">IFERROR(__xludf.DUMMYFUNCTION("""COMPUTED_VALUE"""),"Guarai")</f>
        <v>Guarai</v>
      </c>
      <c r="C405" s="240" t="str">
        <f ca="1">IFERROR(__xludf.DUMMYFUNCTION("""COMPUTED_VALUE"""),"ASSOCIAÇÃO DE APOIO A ESCOLA ESPECIAL ESTRELA DA ESPERANÇA")</f>
        <v>ASSOCIAÇÃO DE APOIO A ESCOLA ESPECIAL ESTRELA DA ESPERANÇA</v>
      </c>
      <c r="D405" s="241" t="str">
        <f ca="1">IFERROR(__xludf.DUMMYFUNCTION("""COMPUTED_VALUE"""),"07938604000122")</f>
        <v>07938604000122</v>
      </c>
      <c r="E405" s="241" t="str">
        <f ca="1">IFERROR(__xludf.DUMMYFUNCTION("""COMPUTED_VALUE"""),"001")</f>
        <v>001</v>
      </c>
      <c r="F405" s="241" t="str">
        <f ca="1">IFERROR(__xludf.DUMMYFUNCTION("""COMPUTED_VALUE"""),"2094")</f>
        <v>2094</v>
      </c>
      <c r="G405" s="240" t="str">
        <f ca="1">IFERROR(__xludf.DUMMYFUNCTION("""COMPUTED_VALUE"""),"211621")</f>
        <v>211621</v>
      </c>
      <c r="H405" s="240" t="str">
        <f ca="1">IFERROR(__xludf.DUMMYFUNCTION("""COMPUTED_VALUE"""),"PRÉ-ESCOLA")</f>
        <v>PRÉ-ESCOLA</v>
      </c>
      <c r="I405" s="242">
        <f ca="1">IFERROR(__xludf.DUMMYFUNCTION("""COMPUTED_VALUE"""),63)</f>
        <v>63</v>
      </c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</row>
    <row r="406" spans="1:26" ht="21" customHeight="1">
      <c r="A406" s="240" t="str">
        <f ca="1">IFERROR(__xludf.DUMMYFUNCTION("""COMPUTED_VALUE"""),"Guaraí")</f>
        <v>Guaraí</v>
      </c>
      <c r="B406" s="240" t="str">
        <f ca="1">IFERROR(__xludf.DUMMYFUNCTION("""COMPUTED_VALUE"""),"Guarai")</f>
        <v>Guarai</v>
      </c>
      <c r="C406" s="240" t="str">
        <f ca="1">IFERROR(__xludf.DUMMYFUNCTION("""COMPUTED_VALUE"""),"ASSOCIAÇÃO DE APOIO A ESCOLA ESPECIAL ESTRELA DA ESPERANÇA")</f>
        <v>ASSOCIAÇÃO DE APOIO A ESCOLA ESPECIAL ESTRELA DA ESPERANÇA</v>
      </c>
      <c r="D406" s="241" t="str">
        <f ca="1">IFERROR(__xludf.DUMMYFUNCTION("""COMPUTED_VALUE"""),"07938604000122")</f>
        <v>07938604000122</v>
      </c>
      <c r="E406" s="241" t="str">
        <f ca="1">IFERROR(__xludf.DUMMYFUNCTION("""COMPUTED_VALUE"""),"001")</f>
        <v>001</v>
      </c>
      <c r="F406" s="241" t="str">
        <f ca="1">IFERROR(__xludf.DUMMYFUNCTION("""COMPUTED_VALUE"""),"2094")</f>
        <v>2094</v>
      </c>
      <c r="G406" s="240" t="str">
        <f ca="1">IFERROR(__xludf.DUMMYFUNCTION("""COMPUTED_VALUE"""),"211621")</f>
        <v>211621</v>
      </c>
      <c r="H406" s="240" t="str">
        <f ca="1">IFERROR(__xludf.DUMMYFUNCTION("""COMPUTED_VALUE"""),"E.F. PARCIAL")</f>
        <v>E.F. PARCIAL</v>
      </c>
      <c r="I406" s="242">
        <f ca="1">IFERROR(__xludf.DUMMYFUNCTION("""COMPUTED_VALUE"""),420)</f>
        <v>420</v>
      </c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</row>
    <row r="407" spans="1:26" ht="21" customHeight="1">
      <c r="A407" s="240" t="str">
        <f ca="1">IFERROR(__xludf.DUMMYFUNCTION("""COMPUTED_VALUE"""),"Guaraí")</f>
        <v>Guaraí</v>
      </c>
      <c r="B407" s="240" t="str">
        <f ca="1">IFERROR(__xludf.DUMMYFUNCTION("""COMPUTED_VALUE"""),"Guarai")</f>
        <v>Guarai</v>
      </c>
      <c r="C407" s="240" t="str">
        <f ca="1">IFERROR(__xludf.DUMMYFUNCTION("""COMPUTED_VALUE"""),"ASSOCIAÇÃO DE APOIO A ESCOLA ESPECIAL ESTRELA DA ESPERANÇA")</f>
        <v>ASSOCIAÇÃO DE APOIO A ESCOLA ESPECIAL ESTRELA DA ESPERANÇA</v>
      </c>
      <c r="D407" s="241" t="str">
        <f ca="1">IFERROR(__xludf.DUMMYFUNCTION("""COMPUTED_VALUE"""),"07938604000122")</f>
        <v>07938604000122</v>
      </c>
      <c r="E407" s="241" t="str">
        <f ca="1">IFERROR(__xludf.DUMMYFUNCTION("""COMPUTED_VALUE"""),"001")</f>
        <v>001</v>
      </c>
      <c r="F407" s="241" t="str">
        <f ca="1">IFERROR(__xludf.DUMMYFUNCTION("""COMPUTED_VALUE"""),"2094")</f>
        <v>2094</v>
      </c>
      <c r="G407" s="240" t="str">
        <f ca="1">IFERROR(__xludf.DUMMYFUNCTION("""COMPUTED_VALUE"""),"211621")</f>
        <v>211621</v>
      </c>
      <c r="H407" s="240" t="str">
        <f ca="1">IFERROR(__xludf.DUMMYFUNCTION("""COMPUTED_VALUE"""),"AEE")</f>
        <v>AEE</v>
      </c>
      <c r="I407" s="242">
        <f ca="1">IFERROR(__xludf.DUMMYFUNCTION("""COMPUTED_VALUE"""),336)</f>
        <v>336</v>
      </c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</row>
    <row r="408" spans="1:26" ht="21" customHeight="1">
      <c r="A408" s="240" t="str">
        <f ca="1">IFERROR(__xludf.DUMMYFUNCTION("""COMPUTED_VALUE"""),"Guaraí")</f>
        <v>Guaraí</v>
      </c>
      <c r="B408" s="240" t="str">
        <f ca="1">IFERROR(__xludf.DUMMYFUNCTION("""COMPUTED_VALUE"""),"Guarai")</f>
        <v>Guarai</v>
      </c>
      <c r="C408" s="240" t="str">
        <f ca="1">IFERROR(__xludf.DUMMYFUNCTION("""COMPUTED_VALUE"""),"ASSOCIAÇÃO DE APOIO A ESCOLA ESPECIAL ESTRELA DA ESPERANÇA")</f>
        <v>ASSOCIAÇÃO DE APOIO A ESCOLA ESPECIAL ESTRELA DA ESPERANÇA</v>
      </c>
      <c r="D408" s="241" t="str">
        <f ca="1">IFERROR(__xludf.DUMMYFUNCTION("""COMPUTED_VALUE"""),"07938604000122")</f>
        <v>07938604000122</v>
      </c>
      <c r="E408" s="241" t="str">
        <f ca="1">IFERROR(__xludf.DUMMYFUNCTION("""COMPUTED_VALUE"""),"001")</f>
        <v>001</v>
      </c>
      <c r="F408" s="241" t="str">
        <f ca="1">IFERROR(__xludf.DUMMYFUNCTION("""COMPUTED_VALUE"""),"2094")</f>
        <v>2094</v>
      </c>
      <c r="G408" s="240" t="str">
        <f ca="1">IFERROR(__xludf.DUMMYFUNCTION("""COMPUTED_VALUE"""),"211621")</f>
        <v>211621</v>
      </c>
      <c r="H408" s="240" t="str">
        <f ca="1">IFERROR(__xludf.DUMMYFUNCTION("""COMPUTED_VALUE"""),"EJA")</f>
        <v>EJA</v>
      </c>
      <c r="I408" s="242">
        <f ca="1">IFERROR(__xludf.DUMMYFUNCTION("""COMPUTED_VALUE"""),1281)</f>
        <v>1281</v>
      </c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</row>
    <row r="409" spans="1:26" ht="21" customHeight="1">
      <c r="A409" s="240" t="str">
        <f ca="1">IFERROR(__xludf.DUMMYFUNCTION("""COMPUTED_VALUE"""),"Guaraí")</f>
        <v>Guaraí</v>
      </c>
      <c r="B409" s="240" t="str">
        <f ca="1">IFERROR(__xludf.DUMMYFUNCTION("""COMPUTED_VALUE"""),"Itapora do Tocantins")</f>
        <v>Itapora do Tocantins</v>
      </c>
      <c r="C409" s="240" t="str">
        <f ca="1">IFERROR(__xludf.DUMMYFUNCTION("""COMPUTED_VALUE"""),"A.A. COL. EST. FRANCISCA ALVES ALENCAR")</f>
        <v>A.A. COL. EST. FRANCISCA ALVES ALENCAR</v>
      </c>
      <c r="D409" s="241" t="str">
        <f ca="1">IFERROR(__xludf.DUMMYFUNCTION("""COMPUTED_VALUE"""),"01190193000153")</f>
        <v>01190193000153</v>
      </c>
      <c r="E409" s="241" t="str">
        <f ca="1">IFERROR(__xludf.DUMMYFUNCTION("""COMPUTED_VALUE"""),"001")</f>
        <v>001</v>
      </c>
      <c r="F409" s="241" t="str">
        <f ca="1">IFERROR(__xludf.DUMMYFUNCTION("""COMPUTED_VALUE"""),"1306")</f>
        <v>1306</v>
      </c>
      <c r="G409" s="240" t="str">
        <f ca="1">IFERROR(__xludf.DUMMYFUNCTION("""COMPUTED_VALUE"""),"102865")</f>
        <v>102865</v>
      </c>
      <c r="H409" s="240" t="str">
        <f ca="1">IFERROR(__xludf.DUMMYFUNCTION("""COMPUTED_VALUE"""),"E.F. PARCIAL")</f>
        <v>E.F. PARCIAL</v>
      </c>
      <c r="I409" s="242">
        <f ca="1">IFERROR(__xludf.DUMMYFUNCTION("""COMPUTED_VALUE"""),2499)</f>
        <v>2499</v>
      </c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</row>
    <row r="410" spans="1:26" ht="21" customHeight="1">
      <c r="A410" s="240" t="str">
        <f ca="1">IFERROR(__xludf.DUMMYFUNCTION("""COMPUTED_VALUE"""),"Guaraí")</f>
        <v>Guaraí</v>
      </c>
      <c r="B410" s="240" t="str">
        <f ca="1">IFERROR(__xludf.DUMMYFUNCTION("""COMPUTED_VALUE"""),"Itapora do Tocantins")</f>
        <v>Itapora do Tocantins</v>
      </c>
      <c r="C410" s="240" t="str">
        <f ca="1">IFERROR(__xludf.DUMMYFUNCTION("""COMPUTED_VALUE"""),"A.A. COL. EST. FRANCISCA ALVES ALENCAR")</f>
        <v>A.A. COL. EST. FRANCISCA ALVES ALENCAR</v>
      </c>
      <c r="D410" s="241" t="str">
        <f ca="1">IFERROR(__xludf.DUMMYFUNCTION("""COMPUTED_VALUE"""),"01190193000153")</f>
        <v>01190193000153</v>
      </c>
      <c r="E410" s="241" t="str">
        <f ca="1">IFERROR(__xludf.DUMMYFUNCTION("""COMPUTED_VALUE"""),"001")</f>
        <v>001</v>
      </c>
      <c r="F410" s="241" t="str">
        <f ca="1">IFERROR(__xludf.DUMMYFUNCTION("""COMPUTED_VALUE"""),"1306")</f>
        <v>1306</v>
      </c>
      <c r="G410" s="240" t="str">
        <f ca="1">IFERROR(__xludf.DUMMYFUNCTION("""COMPUTED_VALUE"""),"102865")</f>
        <v>102865</v>
      </c>
      <c r="H410" s="240" t="str">
        <f ca="1">IFERROR(__xludf.DUMMYFUNCTION("""COMPUTED_VALUE"""),"AEE")</f>
        <v>AEE</v>
      </c>
      <c r="I410" s="242">
        <f ca="1">IFERROR(__xludf.DUMMYFUNCTION("""COMPUTED_VALUE"""),210)</f>
        <v>210</v>
      </c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</row>
    <row r="411" spans="1:26" ht="21" customHeight="1">
      <c r="A411" s="240" t="str">
        <f ca="1">IFERROR(__xludf.DUMMYFUNCTION("""COMPUTED_VALUE"""),"Guaraí")</f>
        <v>Guaraí</v>
      </c>
      <c r="B411" s="240" t="str">
        <f ca="1">IFERROR(__xludf.DUMMYFUNCTION("""COMPUTED_VALUE"""),"Itapora do Tocantins")</f>
        <v>Itapora do Tocantins</v>
      </c>
      <c r="C411" s="240" t="str">
        <f ca="1">IFERROR(__xludf.DUMMYFUNCTION("""COMPUTED_VALUE"""),"A.A. COL. EST. FRANCISCA ALVES ALENCAR")</f>
        <v>A.A. COL. EST. FRANCISCA ALVES ALENCAR</v>
      </c>
      <c r="D411" s="241" t="str">
        <f ca="1">IFERROR(__xludf.DUMMYFUNCTION("""COMPUTED_VALUE"""),"01190193000153")</f>
        <v>01190193000153</v>
      </c>
      <c r="E411" s="241" t="str">
        <f ca="1">IFERROR(__xludf.DUMMYFUNCTION("""COMPUTED_VALUE"""),"001")</f>
        <v>001</v>
      </c>
      <c r="F411" s="241" t="str">
        <f ca="1">IFERROR(__xludf.DUMMYFUNCTION("""COMPUTED_VALUE"""),"1306")</f>
        <v>1306</v>
      </c>
      <c r="G411" s="240" t="str">
        <f ca="1">IFERROR(__xludf.DUMMYFUNCTION("""COMPUTED_VALUE"""),"102865")</f>
        <v>102865</v>
      </c>
      <c r="H411" s="240" t="str">
        <f ca="1">IFERROR(__xludf.DUMMYFUNCTION("""COMPUTED_VALUE"""),"ENS MEDIO PARCIAL")</f>
        <v>ENS MEDIO PARCIAL</v>
      </c>
      <c r="I411" s="242">
        <f ca="1">IFERROR(__xludf.DUMMYFUNCTION("""COMPUTED_VALUE"""),1827)</f>
        <v>1827</v>
      </c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</row>
    <row r="412" spans="1:26" ht="21" customHeight="1">
      <c r="A412" s="240" t="str">
        <f ca="1">IFERROR(__xludf.DUMMYFUNCTION("""COMPUTED_VALUE"""),"Guaraí")</f>
        <v>Guaraí</v>
      </c>
      <c r="B412" s="240" t="str">
        <f ca="1">IFERROR(__xludf.DUMMYFUNCTION("""COMPUTED_VALUE"""),"Itapora do Tocantins")</f>
        <v>Itapora do Tocantins</v>
      </c>
      <c r="C412" s="240" t="str">
        <f ca="1">IFERROR(__xludf.DUMMYFUNCTION("""COMPUTED_VALUE"""),"A.A. COL. EST. FRANCISCA ALVES ALENCAR")</f>
        <v>A.A. COL. EST. FRANCISCA ALVES ALENCAR</v>
      </c>
      <c r="D412" s="241" t="str">
        <f ca="1">IFERROR(__xludf.DUMMYFUNCTION("""COMPUTED_VALUE"""),"01190193000153")</f>
        <v>01190193000153</v>
      </c>
      <c r="E412" s="241" t="str">
        <f ca="1">IFERROR(__xludf.DUMMYFUNCTION("""COMPUTED_VALUE"""),"001")</f>
        <v>001</v>
      </c>
      <c r="F412" s="241" t="str">
        <f ca="1">IFERROR(__xludf.DUMMYFUNCTION("""COMPUTED_VALUE"""),"1306")</f>
        <v>1306</v>
      </c>
      <c r="G412" s="240" t="str">
        <f ca="1">IFERROR(__xludf.DUMMYFUNCTION("""COMPUTED_VALUE"""),"102865")</f>
        <v>102865</v>
      </c>
      <c r="H412" s="240" t="str">
        <f ca="1">IFERROR(__xludf.DUMMYFUNCTION("""COMPUTED_VALUE"""),"EJA")</f>
        <v>EJA</v>
      </c>
      <c r="I412" s="242">
        <f ca="1">IFERROR(__xludf.DUMMYFUNCTION("""COMPUTED_VALUE"""),1092)</f>
        <v>1092</v>
      </c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</row>
    <row r="413" spans="1:26" ht="21" customHeight="1">
      <c r="A413" s="240" t="str">
        <f ca="1">IFERROR(__xludf.DUMMYFUNCTION("""COMPUTED_VALUE"""),"Guaraí")</f>
        <v>Guaraí</v>
      </c>
      <c r="B413" s="240" t="str">
        <f ca="1">IFERROR(__xludf.DUMMYFUNCTION("""COMPUTED_VALUE"""),"Pequizeiro")</f>
        <v>Pequizeiro</v>
      </c>
      <c r="C413" s="240" t="str">
        <f ca="1">IFERROR(__xludf.DUMMYFUNCTION("""COMPUTED_VALUE"""),"ASSOC. DE APOIO ESC. EST. 1º DE JUNHO")</f>
        <v>ASSOC. DE APOIO ESC. EST. 1º DE JUNHO</v>
      </c>
      <c r="D413" s="241" t="str">
        <f ca="1">IFERROR(__xludf.DUMMYFUNCTION("""COMPUTED_VALUE"""),"02060455000128")</f>
        <v>02060455000128</v>
      </c>
      <c r="E413" s="241" t="str">
        <f ca="1">IFERROR(__xludf.DUMMYFUNCTION("""COMPUTED_VALUE"""),"001")</f>
        <v>001</v>
      </c>
      <c r="F413" s="241" t="str">
        <f ca="1">IFERROR(__xludf.DUMMYFUNCTION("""COMPUTED_VALUE"""),"1306")</f>
        <v>1306</v>
      </c>
      <c r="G413" s="240" t="str">
        <f ca="1">IFERROR(__xludf.DUMMYFUNCTION("""COMPUTED_VALUE"""),"147214")</f>
        <v>147214</v>
      </c>
      <c r="H413" s="240" t="str">
        <f ca="1">IFERROR(__xludf.DUMMYFUNCTION("""COMPUTED_VALUE"""),"ENS MEDIO PARCIAL")</f>
        <v>ENS MEDIO PARCIAL</v>
      </c>
      <c r="I413" s="242">
        <f ca="1">IFERROR(__xludf.DUMMYFUNCTION("""COMPUTED_VALUE"""),4347)</f>
        <v>4347</v>
      </c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</row>
    <row r="414" spans="1:26" ht="21" customHeight="1">
      <c r="A414" s="240" t="str">
        <f ca="1">IFERROR(__xludf.DUMMYFUNCTION("""COMPUTED_VALUE"""),"Guaraí")</f>
        <v>Guaraí</v>
      </c>
      <c r="B414" s="240" t="str">
        <f ca="1">IFERROR(__xludf.DUMMYFUNCTION("""COMPUTED_VALUE"""),"Pequizeiro")</f>
        <v>Pequizeiro</v>
      </c>
      <c r="C414" s="240" t="str">
        <f ca="1">IFERROR(__xludf.DUMMYFUNCTION("""COMPUTED_VALUE"""),"A.A. DO COLEGIO ESTADUAL BERNARDO SAYAO")</f>
        <v>A.A. DO COLEGIO ESTADUAL BERNARDO SAYAO</v>
      </c>
      <c r="D414" s="241" t="str">
        <f ca="1">IFERROR(__xludf.DUMMYFUNCTION("""COMPUTED_VALUE"""),"02160863000151")</f>
        <v>02160863000151</v>
      </c>
      <c r="E414" s="241" t="str">
        <f ca="1">IFERROR(__xludf.DUMMYFUNCTION("""COMPUTED_VALUE"""),"001")</f>
        <v>001</v>
      </c>
      <c r="F414" s="241" t="str">
        <f ca="1">IFERROR(__xludf.DUMMYFUNCTION("""COMPUTED_VALUE"""),"1306")</f>
        <v>1306</v>
      </c>
      <c r="G414" s="240" t="str">
        <f ca="1">IFERROR(__xludf.DUMMYFUNCTION("""COMPUTED_VALUE"""),"53910")</f>
        <v>53910</v>
      </c>
      <c r="H414" s="240" t="str">
        <f ca="1">IFERROR(__xludf.DUMMYFUNCTION("""COMPUTED_VALUE"""),"E.F. PARCIAL")</f>
        <v>E.F. PARCIAL</v>
      </c>
      <c r="I414" s="242">
        <f ca="1">IFERROR(__xludf.DUMMYFUNCTION("""COMPUTED_VALUE"""),3234)</f>
        <v>3234</v>
      </c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</row>
    <row r="415" spans="1:26" ht="21" customHeight="1">
      <c r="A415" s="240" t="str">
        <f ca="1">IFERROR(__xludf.DUMMYFUNCTION("""COMPUTED_VALUE"""),"Guaraí")</f>
        <v>Guaraí</v>
      </c>
      <c r="B415" s="240" t="str">
        <f ca="1">IFERROR(__xludf.DUMMYFUNCTION("""COMPUTED_VALUE"""),"Pequizeiro")</f>
        <v>Pequizeiro</v>
      </c>
      <c r="C415" s="240" t="str">
        <f ca="1">IFERROR(__xludf.DUMMYFUNCTION("""COMPUTED_VALUE"""),"A.A. DO COLEGIO ESTADUAL BERNARDO SAYAO")</f>
        <v>A.A. DO COLEGIO ESTADUAL BERNARDO SAYAO</v>
      </c>
      <c r="D415" s="241" t="str">
        <f ca="1">IFERROR(__xludf.DUMMYFUNCTION("""COMPUTED_VALUE"""),"02160863000151")</f>
        <v>02160863000151</v>
      </c>
      <c r="E415" s="241" t="str">
        <f ca="1">IFERROR(__xludf.DUMMYFUNCTION("""COMPUTED_VALUE"""),"001")</f>
        <v>001</v>
      </c>
      <c r="F415" s="241" t="str">
        <f ca="1">IFERROR(__xludf.DUMMYFUNCTION("""COMPUTED_VALUE"""),"1306")</f>
        <v>1306</v>
      </c>
      <c r="G415" s="240" t="str">
        <f ca="1">IFERROR(__xludf.DUMMYFUNCTION("""COMPUTED_VALUE"""),"53910")</f>
        <v>53910</v>
      </c>
      <c r="H415" s="240" t="str">
        <f ca="1">IFERROR(__xludf.DUMMYFUNCTION("""COMPUTED_VALUE"""),"AEE")</f>
        <v>AEE</v>
      </c>
      <c r="I415" s="242">
        <f ca="1">IFERROR(__xludf.DUMMYFUNCTION("""COMPUTED_VALUE"""),525)</f>
        <v>525</v>
      </c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</row>
    <row r="416" spans="1:26" ht="21" customHeight="1">
      <c r="A416" s="240" t="str">
        <f ca="1">IFERROR(__xludf.DUMMYFUNCTION("""COMPUTED_VALUE"""),"Guaraí")</f>
        <v>Guaraí</v>
      </c>
      <c r="B416" s="240" t="str">
        <f ca="1">IFERROR(__xludf.DUMMYFUNCTION("""COMPUTED_VALUE"""),"Pequizeiro")</f>
        <v>Pequizeiro</v>
      </c>
      <c r="C416" s="240" t="str">
        <f ca="1">IFERROR(__xludf.DUMMYFUNCTION("""COMPUTED_VALUE"""),"A.A. DO COLEGIO ESTADUAL BERNARDO SAYAO")</f>
        <v>A.A. DO COLEGIO ESTADUAL BERNARDO SAYAO</v>
      </c>
      <c r="D416" s="241" t="str">
        <f ca="1">IFERROR(__xludf.DUMMYFUNCTION("""COMPUTED_VALUE"""),"02160863000151")</f>
        <v>02160863000151</v>
      </c>
      <c r="E416" s="241" t="str">
        <f ca="1">IFERROR(__xludf.DUMMYFUNCTION("""COMPUTED_VALUE"""),"001")</f>
        <v>001</v>
      </c>
      <c r="F416" s="241" t="str">
        <f ca="1">IFERROR(__xludf.DUMMYFUNCTION("""COMPUTED_VALUE"""),"1306")</f>
        <v>1306</v>
      </c>
      <c r="G416" s="240" t="str">
        <f ca="1">IFERROR(__xludf.DUMMYFUNCTION("""COMPUTED_VALUE"""),"53910")</f>
        <v>53910</v>
      </c>
      <c r="H416" s="240" t="str">
        <f ca="1">IFERROR(__xludf.DUMMYFUNCTION("""COMPUTED_VALUE"""),"EJA")</f>
        <v>EJA</v>
      </c>
      <c r="I416" s="242">
        <f ca="1">IFERROR(__xludf.DUMMYFUNCTION("""COMPUTED_VALUE"""),420)</f>
        <v>420</v>
      </c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</row>
    <row r="417" spans="1:26" ht="21" customHeight="1">
      <c r="A417" s="240" t="str">
        <f ca="1">IFERROR(__xludf.DUMMYFUNCTION("""COMPUTED_VALUE"""),"Guaraí")</f>
        <v>Guaraí</v>
      </c>
      <c r="B417" s="240" t="str">
        <f ca="1">IFERROR(__xludf.DUMMYFUNCTION("""COMPUTED_VALUE"""),"Presidente Kennedy")</f>
        <v>Presidente Kennedy</v>
      </c>
      <c r="C417" s="240" t="str">
        <f ca="1">IFERROR(__xludf.DUMMYFUNCTION("""COMPUTED_VALUE"""),"A.PAIS E M.COL. EST. JUSCELINO KUBITSCHEK")</f>
        <v>A.PAIS E M.COL. EST. JUSCELINO KUBITSCHEK</v>
      </c>
      <c r="D417" s="241" t="str">
        <f ca="1">IFERROR(__xludf.DUMMYFUNCTION("""COMPUTED_VALUE"""),"02060456000172")</f>
        <v>02060456000172</v>
      </c>
      <c r="E417" s="241" t="str">
        <f ca="1">IFERROR(__xludf.DUMMYFUNCTION("""COMPUTED_VALUE"""),"001")</f>
        <v>001</v>
      </c>
      <c r="F417" s="241" t="str">
        <f ca="1">IFERROR(__xludf.DUMMYFUNCTION("""COMPUTED_VALUE"""),"2094")</f>
        <v>2094</v>
      </c>
      <c r="G417" s="240" t="str">
        <f ca="1">IFERROR(__xludf.DUMMYFUNCTION("""COMPUTED_VALUE"""),"047553X")</f>
        <v>047553X</v>
      </c>
      <c r="H417" s="240" t="str">
        <f ca="1">IFERROR(__xludf.DUMMYFUNCTION("""COMPUTED_VALUE"""),"E.F. PARCIAL")</f>
        <v>E.F. PARCIAL</v>
      </c>
      <c r="I417" s="242">
        <f ca="1">IFERROR(__xludf.DUMMYFUNCTION("""COMPUTED_VALUE"""),2982)</f>
        <v>2982</v>
      </c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</row>
    <row r="418" spans="1:26" ht="21" customHeight="1">
      <c r="A418" s="240" t="str">
        <f ca="1">IFERROR(__xludf.DUMMYFUNCTION("""COMPUTED_VALUE"""),"Guaraí")</f>
        <v>Guaraí</v>
      </c>
      <c r="B418" s="240" t="str">
        <f ca="1">IFERROR(__xludf.DUMMYFUNCTION("""COMPUTED_VALUE"""),"Presidente Kennedy")</f>
        <v>Presidente Kennedy</v>
      </c>
      <c r="C418" s="240" t="str">
        <f ca="1">IFERROR(__xludf.DUMMYFUNCTION("""COMPUTED_VALUE"""),"A.PAIS E M.COL. EST. JUSCELINO KUBITSCHEK")</f>
        <v>A.PAIS E M.COL. EST. JUSCELINO KUBITSCHEK</v>
      </c>
      <c r="D418" s="241" t="str">
        <f ca="1">IFERROR(__xludf.DUMMYFUNCTION("""COMPUTED_VALUE"""),"02060456000172")</f>
        <v>02060456000172</v>
      </c>
      <c r="E418" s="241" t="str">
        <f ca="1">IFERROR(__xludf.DUMMYFUNCTION("""COMPUTED_VALUE"""),"001")</f>
        <v>001</v>
      </c>
      <c r="F418" s="241" t="str">
        <f ca="1">IFERROR(__xludf.DUMMYFUNCTION("""COMPUTED_VALUE"""),"2094")</f>
        <v>2094</v>
      </c>
      <c r="G418" s="240" t="str">
        <f ca="1">IFERROR(__xludf.DUMMYFUNCTION("""COMPUTED_VALUE"""),"047553X")</f>
        <v>047553X</v>
      </c>
      <c r="H418" s="240" t="str">
        <f ca="1">IFERROR(__xludf.DUMMYFUNCTION("""COMPUTED_VALUE"""),"AEE")</f>
        <v>AEE</v>
      </c>
      <c r="I418" s="242">
        <f ca="1">IFERROR(__xludf.DUMMYFUNCTION("""COMPUTED_VALUE"""),252)</f>
        <v>252</v>
      </c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</row>
    <row r="419" spans="1:26" ht="21" customHeight="1">
      <c r="A419" s="240" t="str">
        <f ca="1">IFERROR(__xludf.DUMMYFUNCTION("""COMPUTED_VALUE"""),"Guaraí")</f>
        <v>Guaraí</v>
      </c>
      <c r="B419" s="240" t="str">
        <f ca="1">IFERROR(__xludf.DUMMYFUNCTION("""COMPUTED_VALUE"""),"Presidente Kennedy")</f>
        <v>Presidente Kennedy</v>
      </c>
      <c r="C419" s="240" t="str">
        <f ca="1">IFERROR(__xludf.DUMMYFUNCTION("""COMPUTED_VALUE"""),"A.PAIS E M.COL. EST. JUSCELINO KUBITSCHEK")</f>
        <v>A.PAIS E M.COL. EST. JUSCELINO KUBITSCHEK</v>
      </c>
      <c r="D419" s="241" t="str">
        <f ca="1">IFERROR(__xludf.DUMMYFUNCTION("""COMPUTED_VALUE"""),"02060456000172")</f>
        <v>02060456000172</v>
      </c>
      <c r="E419" s="241" t="str">
        <f ca="1">IFERROR(__xludf.DUMMYFUNCTION("""COMPUTED_VALUE"""),"001")</f>
        <v>001</v>
      </c>
      <c r="F419" s="241" t="str">
        <f ca="1">IFERROR(__xludf.DUMMYFUNCTION("""COMPUTED_VALUE"""),"2094")</f>
        <v>2094</v>
      </c>
      <c r="G419" s="240" t="str">
        <f ca="1">IFERROR(__xludf.DUMMYFUNCTION("""COMPUTED_VALUE"""),"047553X")</f>
        <v>047553X</v>
      </c>
      <c r="H419" s="240" t="str">
        <f ca="1">IFERROR(__xludf.DUMMYFUNCTION("""COMPUTED_VALUE"""),"ENS MEDIO PARCIAL")</f>
        <v>ENS MEDIO PARCIAL</v>
      </c>
      <c r="I419" s="242">
        <f ca="1">IFERROR(__xludf.DUMMYFUNCTION("""COMPUTED_VALUE"""),1890)</f>
        <v>1890</v>
      </c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</row>
    <row r="420" spans="1:26" ht="21" customHeight="1">
      <c r="A420" s="240" t="str">
        <f ca="1">IFERROR(__xludf.DUMMYFUNCTION("""COMPUTED_VALUE"""),"Gurupi")</f>
        <v>Gurupi</v>
      </c>
      <c r="B420" s="240" t="str">
        <f ca="1">IFERROR(__xludf.DUMMYFUNCTION("""COMPUTED_VALUE"""),"Alianca do Tocantins")</f>
        <v>Alianca do Tocantins</v>
      </c>
      <c r="C420" s="240" t="str">
        <f ca="1">IFERROR(__xludf.DUMMYFUNCTION("""COMPUTED_VALUE"""),"A. PAIS E MESTRES ESC. EST.N.SRA.DO CARMO")</f>
        <v>A. PAIS E MESTRES ESC. EST.N.SRA.DO CARMO</v>
      </c>
      <c r="D420" s="241" t="str">
        <f ca="1">IFERROR(__xludf.DUMMYFUNCTION("""COMPUTED_VALUE"""),"01034192000110")</f>
        <v>01034192000110</v>
      </c>
      <c r="E420" s="241" t="str">
        <f ca="1">IFERROR(__xludf.DUMMYFUNCTION("""COMPUTED_VALUE"""),"001")</f>
        <v>001</v>
      </c>
      <c r="F420" s="241" t="str">
        <f ca="1">IFERROR(__xludf.DUMMYFUNCTION("""COMPUTED_VALUE"""),"3972")</f>
        <v>3972</v>
      </c>
      <c r="G420" s="240" t="str">
        <f ca="1">IFERROR(__xludf.DUMMYFUNCTION("""COMPUTED_VALUE"""),"243590")</f>
        <v>243590</v>
      </c>
      <c r="H420" s="240" t="str">
        <f ca="1">IFERROR(__xludf.DUMMYFUNCTION("""COMPUTED_VALUE"""),"AEE")</f>
        <v>AEE</v>
      </c>
      <c r="I420" s="242">
        <f ca="1">IFERROR(__xludf.DUMMYFUNCTION("""COMPUTED_VALUE"""),462)</f>
        <v>462</v>
      </c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</row>
    <row r="421" spans="1:26" ht="21" customHeight="1">
      <c r="A421" s="240" t="str">
        <f ca="1">IFERROR(__xludf.DUMMYFUNCTION("""COMPUTED_VALUE"""),"Gurupi")</f>
        <v>Gurupi</v>
      </c>
      <c r="B421" s="240" t="str">
        <f ca="1">IFERROR(__xludf.DUMMYFUNCTION("""COMPUTED_VALUE"""),"Alianca do Tocantins")</f>
        <v>Alianca do Tocantins</v>
      </c>
      <c r="C421" s="240" t="str">
        <f ca="1">IFERROR(__xludf.DUMMYFUNCTION("""COMPUTED_VALUE"""),"ASS. APOIO COL. EST. ANITA CASSIMIRO MORENO")</f>
        <v>ASS. APOIO COL. EST. ANITA CASSIMIRO MORENO</v>
      </c>
      <c r="D421" s="241" t="str">
        <f ca="1">IFERROR(__xludf.DUMMYFUNCTION("""COMPUTED_VALUE"""),"01304570000138")</f>
        <v>01304570000138</v>
      </c>
      <c r="E421" s="241" t="str">
        <f ca="1">IFERROR(__xludf.DUMMYFUNCTION("""COMPUTED_VALUE"""),"001")</f>
        <v>001</v>
      </c>
      <c r="F421" s="241" t="str">
        <f ca="1">IFERROR(__xludf.DUMMYFUNCTION("""COMPUTED_VALUE"""),"3972")</f>
        <v>3972</v>
      </c>
      <c r="G421" s="240" t="str">
        <f ca="1">IFERROR(__xludf.DUMMYFUNCTION("""COMPUTED_VALUE"""),"245984")</f>
        <v>245984</v>
      </c>
      <c r="H421" s="240" t="str">
        <f ca="1">IFERROR(__xludf.DUMMYFUNCTION("""COMPUTED_VALUE"""),"E.F. PARCIAL")</f>
        <v>E.F. PARCIAL</v>
      </c>
      <c r="I421" s="242">
        <f ca="1">IFERROR(__xludf.DUMMYFUNCTION("""COMPUTED_VALUE"""),1995)</f>
        <v>1995</v>
      </c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</row>
    <row r="422" spans="1:26" ht="21" customHeight="1">
      <c r="A422" s="240" t="str">
        <f ca="1">IFERROR(__xludf.DUMMYFUNCTION("""COMPUTED_VALUE"""),"Gurupi")</f>
        <v>Gurupi</v>
      </c>
      <c r="B422" s="240" t="str">
        <f ca="1">IFERROR(__xludf.DUMMYFUNCTION("""COMPUTED_VALUE"""),"Alianca do Tocantins")</f>
        <v>Alianca do Tocantins</v>
      </c>
      <c r="C422" s="240" t="str">
        <f ca="1">IFERROR(__xludf.DUMMYFUNCTION("""COMPUTED_VALUE"""),"ASS. APOIO COL. EST. ANITA CASSIMIRO MORENO")</f>
        <v>ASS. APOIO COL. EST. ANITA CASSIMIRO MORENO</v>
      </c>
      <c r="D422" s="241" t="str">
        <f ca="1">IFERROR(__xludf.DUMMYFUNCTION("""COMPUTED_VALUE"""),"01304570000138")</f>
        <v>01304570000138</v>
      </c>
      <c r="E422" s="241" t="str">
        <f ca="1">IFERROR(__xludf.DUMMYFUNCTION("""COMPUTED_VALUE"""),"001")</f>
        <v>001</v>
      </c>
      <c r="F422" s="241" t="str">
        <f ca="1">IFERROR(__xludf.DUMMYFUNCTION("""COMPUTED_VALUE"""),"3972")</f>
        <v>3972</v>
      </c>
      <c r="G422" s="240" t="str">
        <f ca="1">IFERROR(__xludf.DUMMYFUNCTION("""COMPUTED_VALUE"""),"245984")</f>
        <v>245984</v>
      </c>
      <c r="H422" s="240" t="str">
        <f ca="1">IFERROR(__xludf.DUMMYFUNCTION("""COMPUTED_VALUE"""),"ENS MEDIO PARCIAL")</f>
        <v>ENS MEDIO PARCIAL</v>
      </c>
      <c r="I422" s="242">
        <f ca="1">IFERROR(__xludf.DUMMYFUNCTION("""COMPUTED_VALUE"""),3402)</f>
        <v>3402</v>
      </c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</row>
    <row r="423" spans="1:26" ht="21" customHeight="1">
      <c r="A423" s="240" t="str">
        <f ca="1">IFERROR(__xludf.DUMMYFUNCTION("""COMPUTED_VALUE"""),"Gurupi")</f>
        <v>Gurupi</v>
      </c>
      <c r="B423" s="240" t="str">
        <f ca="1">IFERROR(__xludf.DUMMYFUNCTION("""COMPUTED_VALUE"""),"Alianca do Tocantins")</f>
        <v>Alianca do Tocantins</v>
      </c>
      <c r="C423" s="240" t="str">
        <f ca="1">IFERROR(__xludf.DUMMYFUNCTION("""COMPUTED_VALUE"""),"A.A.  AO EDUCANDARIO EVANGELICO JERUSALEM")</f>
        <v>A.A.  AO EDUCANDARIO EVANGELICO JERUSALEM</v>
      </c>
      <c r="D423" s="241" t="str">
        <f ca="1">IFERROR(__xludf.DUMMYFUNCTION("""COMPUTED_VALUE"""),"03172227000102")</f>
        <v>03172227000102</v>
      </c>
      <c r="E423" s="241" t="str">
        <f ca="1">IFERROR(__xludf.DUMMYFUNCTION("""COMPUTED_VALUE"""),"001")</f>
        <v>001</v>
      </c>
      <c r="F423" s="241" t="str">
        <f ca="1">IFERROR(__xludf.DUMMYFUNCTION("""COMPUTED_VALUE"""),"3972")</f>
        <v>3972</v>
      </c>
      <c r="G423" s="240" t="str">
        <f ca="1">IFERROR(__xludf.DUMMYFUNCTION("""COMPUTED_VALUE"""),"54666")</f>
        <v>54666</v>
      </c>
      <c r="H423" s="240" t="str">
        <f ca="1">IFERROR(__xludf.DUMMYFUNCTION("""COMPUTED_VALUE"""),"E.F. PARCIAL")</f>
        <v>E.F. PARCIAL</v>
      </c>
      <c r="I423" s="242">
        <f ca="1">IFERROR(__xludf.DUMMYFUNCTION("""COMPUTED_VALUE"""),2226)</f>
        <v>2226</v>
      </c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</row>
    <row r="424" spans="1:26" ht="21" customHeight="1">
      <c r="A424" s="240" t="str">
        <f ca="1">IFERROR(__xludf.DUMMYFUNCTION("""COMPUTED_VALUE"""),"Gurupi")</f>
        <v>Gurupi</v>
      </c>
      <c r="B424" s="240" t="str">
        <f ca="1">IFERROR(__xludf.DUMMYFUNCTION("""COMPUTED_VALUE"""),"Alianca do Tocantins")</f>
        <v>Alianca do Tocantins</v>
      </c>
      <c r="C424" s="240" t="str">
        <f ca="1">IFERROR(__xludf.DUMMYFUNCTION("""COMPUTED_VALUE"""),"ASSOCIAÇÃO DE APOIO A ESCOLA ESPECIAL AMOR FRATERNAL")</f>
        <v>ASSOCIAÇÃO DE APOIO A ESCOLA ESPECIAL AMOR FRATERNAL</v>
      </c>
      <c r="D424" s="241" t="str">
        <f ca="1">IFERROR(__xludf.DUMMYFUNCTION("""COMPUTED_VALUE"""),"07953958000146")</f>
        <v>07953958000146</v>
      </c>
      <c r="E424" s="241" t="str">
        <f ca="1">IFERROR(__xludf.DUMMYFUNCTION("""COMPUTED_VALUE"""),"001")</f>
        <v>001</v>
      </c>
      <c r="F424" s="241" t="str">
        <f ca="1">IFERROR(__xludf.DUMMYFUNCTION("""COMPUTED_VALUE"""),"3972")</f>
        <v>3972</v>
      </c>
      <c r="G424" s="240" t="str">
        <f ca="1">IFERROR(__xludf.DUMMYFUNCTION("""COMPUTED_VALUE"""),"90115")</f>
        <v>90115</v>
      </c>
      <c r="H424" s="240" t="str">
        <f ca="1">IFERROR(__xludf.DUMMYFUNCTION("""COMPUTED_VALUE"""),"PRÉ-ESCOLA")</f>
        <v>PRÉ-ESCOLA</v>
      </c>
      <c r="I424" s="242">
        <f ca="1">IFERROR(__xludf.DUMMYFUNCTION("""COMPUTED_VALUE"""),189)</f>
        <v>189</v>
      </c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</row>
    <row r="425" spans="1:26" ht="21" customHeight="1">
      <c r="A425" s="240" t="str">
        <f ca="1">IFERROR(__xludf.DUMMYFUNCTION("""COMPUTED_VALUE"""),"Gurupi")</f>
        <v>Gurupi</v>
      </c>
      <c r="B425" s="240" t="str">
        <f ca="1">IFERROR(__xludf.DUMMYFUNCTION("""COMPUTED_VALUE"""),"Alianca do Tocantins")</f>
        <v>Alianca do Tocantins</v>
      </c>
      <c r="C425" s="240" t="str">
        <f ca="1">IFERROR(__xludf.DUMMYFUNCTION("""COMPUTED_VALUE"""),"ASSOCIAÇÃO DE APOIO A ESCOLA ESPECIAL AMOR FRATERNAL")</f>
        <v>ASSOCIAÇÃO DE APOIO A ESCOLA ESPECIAL AMOR FRATERNAL</v>
      </c>
      <c r="D425" s="241" t="str">
        <f ca="1">IFERROR(__xludf.DUMMYFUNCTION("""COMPUTED_VALUE"""),"07953958000146")</f>
        <v>07953958000146</v>
      </c>
      <c r="E425" s="241" t="str">
        <f ca="1">IFERROR(__xludf.DUMMYFUNCTION("""COMPUTED_VALUE"""),"001")</f>
        <v>001</v>
      </c>
      <c r="F425" s="241" t="str">
        <f ca="1">IFERROR(__xludf.DUMMYFUNCTION("""COMPUTED_VALUE"""),"3972")</f>
        <v>3972</v>
      </c>
      <c r="G425" s="240" t="str">
        <f ca="1">IFERROR(__xludf.DUMMYFUNCTION("""COMPUTED_VALUE"""),"90115")</f>
        <v>90115</v>
      </c>
      <c r="H425" s="240" t="str">
        <f ca="1">IFERROR(__xludf.DUMMYFUNCTION("""COMPUTED_VALUE"""),"AEE")</f>
        <v>AEE</v>
      </c>
      <c r="I425" s="242">
        <f ca="1">IFERROR(__xludf.DUMMYFUNCTION("""COMPUTED_VALUE"""),735)</f>
        <v>735</v>
      </c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</row>
    <row r="426" spans="1:26" ht="21" customHeight="1">
      <c r="A426" s="240" t="str">
        <f ca="1">IFERROR(__xludf.DUMMYFUNCTION("""COMPUTED_VALUE"""),"Gurupi")</f>
        <v>Gurupi</v>
      </c>
      <c r="B426" s="240" t="str">
        <f ca="1">IFERROR(__xludf.DUMMYFUNCTION("""COMPUTED_VALUE"""),"Alianca do Tocantins")</f>
        <v>Alianca do Tocantins</v>
      </c>
      <c r="C426" s="240" t="str">
        <f ca="1">IFERROR(__xludf.DUMMYFUNCTION("""COMPUTED_VALUE"""),"ASSOCIAÇÃO DE APOIO A ESCOLA ESPECIAL AMOR FRATERNAL")</f>
        <v>ASSOCIAÇÃO DE APOIO A ESCOLA ESPECIAL AMOR FRATERNAL</v>
      </c>
      <c r="D426" s="241" t="str">
        <f ca="1">IFERROR(__xludf.DUMMYFUNCTION("""COMPUTED_VALUE"""),"07953958000146")</f>
        <v>07953958000146</v>
      </c>
      <c r="E426" s="241" t="str">
        <f ca="1">IFERROR(__xludf.DUMMYFUNCTION("""COMPUTED_VALUE"""),"001")</f>
        <v>001</v>
      </c>
      <c r="F426" s="241" t="str">
        <f ca="1">IFERROR(__xludf.DUMMYFUNCTION("""COMPUTED_VALUE"""),"3972")</f>
        <v>3972</v>
      </c>
      <c r="G426" s="240" t="str">
        <f ca="1">IFERROR(__xludf.DUMMYFUNCTION("""COMPUTED_VALUE"""),"90115")</f>
        <v>90115</v>
      </c>
      <c r="H426" s="240" t="str">
        <f ca="1">IFERROR(__xludf.DUMMYFUNCTION("""COMPUTED_VALUE"""),"EJA")</f>
        <v>EJA</v>
      </c>
      <c r="I426" s="242">
        <f ca="1">IFERROR(__xludf.DUMMYFUNCTION("""COMPUTED_VALUE"""),1386)</f>
        <v>1386</v>
      </c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</row>
    <row r="427" spans="1:26" ht="21" customHeight="1">
      <c r="A427" s="240" t="str">
        <f ca="1">IFERROR(__xludf.DUMMYFUNCTION("""COMPUTED_VALUE"""),"Gurupi")</f>
        <v>Gurupi</v>
      </c>
      <c r="B427" s="240" t="str">
        <f ca="1">IFERROR(__xludf.DUMMYFUNCTION("""COMPUTED_VALUE"""),"Alvorada")</f>
        <v>Alvorada</v>
      </c>
      <c r="C427" s="240" t="str">
        <f ca="1">IFERROR(__xludf.DUMMYFUNCTION("""COMPUTED_VALUE"""),"ASS. APOIO COL. EST. ADJULIO BALTHAZAR")</f>
        <v>ASS. APOIO COL. EST. ADJULIO BALTHAZAR</v>
      </c>
      <c r="D427" s="241" t="str">
        <f ca="1">IFERROR(__xludf.DUMMYFUNCTION("""COMPUTED_VALUE"""),"01138432000126")</f>
        <v>01138432000126</v>
      </c>
      <c r="E427" s="241" t="str">
        <f ca="1">IFERROR(__xludf.DUMMYFUNCTION("""COMPUTED_VALUE"""),"001")</f>
        <v>001</v>
      </c>
      <c r="F427" s="241" t="str">
        <f ca="1">IFERROR(__xludf.DUMMYFUNCTION("""COMPUTED_VALUE"""),"1303")</f>
        <v>1303</v>
      </c>
      <c r="G427" s="240" t="str">
        <f ca="1">IFERROR(__xludf.DUMMYFUNCTION("""COMPUTED_VALUE"""),"103462")</f>
        <v>103462</v>
      </c>
      <c r="H427" s="240" t="str">
        <f ca="1">IFERROR(__xludf.DUMMYFUNCTION("""COMPUTED_VALUE"""),"E.F. PARCIAL")</f>
        <v>E.F. PARCIAL</v>
      </c>
      <c r="I427" s="242">
        <f ca="1">IFERROR(__xludf.DUMMYFUNCTION("""COMPUTED_VALUE"""),4746)</f>
        <v>4746</v>
      </c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</row>
    <row r="428" spans="1:26" ht="21" customHeight="1">
      <c r="A428" s="240" t="str">
        <f ca="1">IFERROR(__xludf.DUMMYFUNCTION("""COMPUTED_VALUE"""),"Gurupi")</f>
        <v>Gurupi</v>
      </c>
      <c r="B428" s="240" t="str">
        <f ca="1">IFERROR(__xludf.DUMMYFUNCTION("""COMPUTED_VALUE"""),"Alvorada")</f>
        <v>Alvorada</v>
      </c>
      <c r="C428" s="240" t="str">
        <f ca="1">IFERROR(__xludf.DUMMYFUNCTION("""COMPUTED_VALUE"""),"ASS. APOIO ESC. EST. ANA MARIA DE JESUS")</f>
        <v>ASS. APOIO ESC. EST. ANA MARIA DE JESUS</v>
      </c>
      <c r="D428" s="241" t="str">
        <f ca="1">IFERROR(__xludf.DUMMYFUNCTION("""COMPUTED_VALUE"""),"01221145000185")</f>
        <v>01221145000185</v>
      </c>
      <c r="E428" s="241" t="str">
        <f ca="1">IFERROR(__xludf.DUMMYFUNCTION("""COMPUTED_VALUE"""),"001")</f>
        <v>001</v>
      </c>
      <c r="F428" s="241" t="str">
        <f ca="1">IFERROR(__xludf.DUMMYFUNCTION("""COMPUTED_VALUE"""),"1303")</f>
        <v>1303</v>
      </c>
      <c r="G428" s="240" t="str">
        <f ca="1">IFERROR(__xludf.DUMMYFUNCTION("""COMPUTED_VALUE"""),"103691")</f>
        <v>103691</v>
      </c>
      <c r="H428" s="240" t="str">
        <f ca="1">IFERROR(__xludf.DUMMYFUNCTION("""COMPUTED_VALUE"""),"E.F. PARCIAL")</f>
        <v>E.F. PARCIAL</v>
      </c>
      <c r="I428" s="242">
        <f ca="1">IFERROR(__xludf.DUMMYFUNCTION("""COMPUTED_VALUE"""),1197)</f>
        <v>1197</v>
      </c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</row>
    <row r="429" spans="1:26" ht="21" customHeight="1">
      <c r="A429" s="240" t="str">
        <f ca="1">IFERROR(__xludf.DUMMYFUNCTION("""COMPUTED_VALUE"""),"Gurupi")</f>
        <v>Gurupi</v>
      </c>
      <c r="B429" s="240" t="str">
        <f ca="1">IFERROR(__xludf.DUMMYFUNCTION("""COMPUTED_VALUE"""),"Alvorada")</f>
        <v>Alvorada</v>
      </c>
      <c r="C429" s="240" t="str">
        <f ca="1">IFERROR(__xludf.DUMMYFUNCTION("""COMPUTED_VALUE"""),"ASS. APOIO ESC. EST. ANA MARIA DE JESUS")</f>
        <v>ASS. APOIO ESC. EST. ANA MARIA DE JESUS</v>
      </c>
      <c r="D429" s="241" t="str">
        <f ca="1">IFERROR(__xludf.DUMMYFUNCTION("""COMPUTED_VALUE"""),"01221145000185")</f>
        <v>01221145000185</v>
      </c>
      <c r="E429" s="241" t="str">
        <f ca="1">IFERROR(__xludf.DUMMYFUNCTION("""COMPUTED_VALUE"""),"001")</f>
        <v>001</v>
      </c>
      <c r="F429" s="241" t="str">
        <f ca="1">IFERROR(__xludf.DUMMYFUNCTION("""COMPUTED_VALUE"""),"1303")</f>
        <v>1303</v>
      </c>
      <c r="G429" s="240" t="str">
        <f ca="1">IFERROR(__xludf.DUMMYFUNCTION("""COMPUTED_VALUE"""),"103691")</f>
        <v>103691</v>
      </c>
      <c r="H429" s="240" t="str">
        <f ca="1">IFERROR(__xludf.DUMMYFUNCTION("""COMPUTED_VALUE"""),"AEE")</f>
        <v>AEE</v>
      </c>
      <c r="I429" s="242">
        <f ca="1">IFERROR(__xludf.DUMMYFUNCTION("""COMPUTED_VALUE"""),147)</f>
        <v>147</v>
      </c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</row>
    <row r="430" spans="1:26" ht="21" customHeight="1">
      <c r="A430" s="240" t="str">
        <f ca="1">IFERROR(__xludf.DUMMYFUNCTION("""COMPUTED_VALUE"""),"Gurupi")</f>
        <v>Gurupi</v>
      </c>
      <c r="B430" s="240" t="str">
        <f ca="1">IFERROR(__xludf.DUMMYFUNCTION("""COMPUTED_VALUE"""),"Alvorada")</f>
        <v>Alvorada</v>
      </c>
      <c r="C430" s="240" t="str">
        <f ca="1">IFERROR(__xludf.DUMMYFUNCTION("""COMPUTED_VALUE"""),"ASS. APOIO ESC. EST. ANA MARIA DE JESUS")</f>
        <v>ASS. APOIO ESC. EST. ANA MARIA DE JESUS</v>
      </c>
      <c r="D430" s="241" t="str">
        <f ca="1">IFERROR(__xludf.DUMMYFUNCTION("""COMPUTED_VALUE"""),"01221145000185")</f>
        <v>01221145000185</v>
      </c>
      <c r="E430" s="241" t="str">
        <f ca="1">IFERROR(__xludf.DUMMYFUNCTION("""COMPUTED_VALUE"""),"001")</f>
        <v>001</v>
      </c>
      <c r="F430" s="241" t="str">
        <f ca="1">IFERROR(__xludf.DUMMYFUNCTION("""COMPUTED_VALUE"""),"1303")</f>
        <v>1303</v>
      </c>
      <c r="G430" s="240" t="str">
        <f ca="1">IFERROR(__xludf.DUMMYFUNCTION("""COMPUTED_VALUE"""),"103691")</f>
        <v>103691</v>
      </c>
      <c r="H430" s="240" t="str">
        <f ca="1">IFERROR(__xludf.DUMMYFUNCTION("""COMPUTED_VALUE"""),"EJA")</f>
        <v>EJA</v>
      </c>
      <c r="I430" s="242">
        <f ca="1">IFERROR(__xludf.DUMMYFUNCTION("""COMPUTED_VALUE"""),1953)</f>
        <v>1953</v>
      </c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</row>
    <row r="431" spans="1:26" ht="21" customHeight="1">
      <c r="A431" s="240" t="str">
        <f ca="1">IFERROR(__xludf.DUMMYFUNCTION("""COMPUTED_VALUE"""),"Gurupi")</f>
        <v>Gurupi</v>
      </c>
      <c r="B431" s="240" t="str">
        <f ca="1">IFERROR(__xludf.DUMMYFUNCTION("""COMPUTED_VALUE"""),"Alvorada")</f>
        <v>Alvorada</v>
      </c>
      <c r="C431" s="240" t="str">
        <f ca="1">IFERROR(__xludf.DUMMYFUNCTION("""COMPUTED_VALUE"""),"A.A.  COLEGIO ESTADUAL DE ALVORADA")</f>
        <v>A.A.  COLEGIO ESTADUAL DE ALVORADA</v>
      </c>
      <c r="D431" s="241" t="str">
        <f ca="1">IFERROR(__xludf.DUMMYFUNCTION("""COMPUTED_VALUE"""),"01269283000134")</f>
        <v>01269283000134</v>
      </c>
      <c r="E431" s="241" t="str">
        <f ca="1">IFERROR(__xludf.DUMMYFUNCTION("""COMPUTED_VALUE"""),"001")</f>
        <v>001</v>
      </c>
      <c r="F431" s="241" t="str">
        <f ca="1">IFERROR(__xludf.DUMMYFUNCTION("""COMPUTED_VALUE"""),"1303")</f>
        <v>1303</v>
      </c>
      <c r="G431" s="240" t="str">
        <f ca="1">IFERROR(__xludf.DUMMYFUNCTION("""COMPUTED_VALUE"""),"0088544")</f>
        <v>0088544</v>
      </c>
      <c r="H431" s="240" t="str">
        <f ca="1">IFERROR(__xludf.DUMMYFUNCTION("""COMPUTED_VALUE"""),"ENS MEDIO PARCIAL")</f>
        <v>ENS MEDIO PARCIAL</v>
      </c>
      <c r="I431" s="242">
        <f ca="1">IFERROR(__xludf.DUMMYFUNCTION("""COMPUTED_VALUE"""),6741)</f>
        <v>6741</v>
      </c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</row>
    <row r="432" spans="1:26" ht="21" customHeight="1">
      <c r="A432" s="240" t="str">
        <f ca="1">IFERROR(__xludf.DUMMYFUNCTION("""COMPUTED_VALUE"""),"Gurupi")</f>
        <v>Gurupi</v>
      </c>
      <c r="B432" s="240" t="str">
        <f ca="1">IFERROR(__xludf.DUMMYFUNCTION("""COMPUTED_VALUE"""),"Alvorada")</f>
        <v>Alvorada</v>
      </c>
      <c r="C432" s="240" t="str">
        <f ca="1">IFERROR(__xludf.DUMMYFUNCTION("""COMPUTED_VALUE"""),"A.P.A.DOS EXCEP. DE ALVORADA-APAE")</f>
        <v>A.P.A.DOS EXCEP. DE ALVORADA-APAE</v>
      </c>
      <c r="D432" s="241" t="str">
        <f ca="1">IFERROR(__xludf.DUMMYFUNCTION("""COMPUTED_VALUE"""),"02201735000109")</f>
        <v>02201735000109</v>
      </c>
      <c r="E432" s="241" t="str">
        <f ca="1">IFERROR(__xludf.DUMMYFUNCTION("""COMPUTED_VALUE"""),"001")</f>
        <v>001</v>
      </c>
      <c r="F432" s="241" t="str">
        <f ca="1">IFERROR(__xludf.DUMMYFUNCTION("""COMPUTED_VALUE"""),"1303")</f>
        <v>1303</v>
      </c>
      <c r="G432" s="240" t="str">
        <f ca="1">IFERROR(__xludf.DUMMYFUNCTION("""COMPUTED_VALUE"""),"101826")</f>
        <v>101826</v>
      </c>
      <c r="H432" s="240" t="str">
        <f ca="1">IFERROR(__xludf.DUMMYFUNCTION("""COMPUTED_VALUE"""),"PRÉ-ESCOLA")</f>
        <v>PRÉ-ESCOLA</v>
      </c>
      <c r="I432" s="242">
        <f ca="1">IFERROR(__xludf.DUMMYFUNCTION("""COMPUTED_VALUE"""),273)</f>
        <v>273</v>
      </c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</row>
    <row r="433" spans="1:26" ht="21" customHeight="1">
      <c r="A433" s="240" t="str">
        <f ca="1">IFERROR(__xludf.DUMMYFUNCTION("""COMPUTED_VALUE"""),"Gurupi")</f>
        <v>Gurupi</v>
      </c>
      <c r="B433" s="240" t="str">
        <f ca="1">IFERROR(__xludf.DUMMYFUNCTION("""COMPUTED_VALUE"""),"Alvorada")</f>
        <v>Alvorada</v>
      </c>
      <c r="C433" s="240" t="str">
        <f ca="1">IFERROR(__xludf.DUMMYFUNCTION("""COMPUTED_VALUE"""),"A.P.A.DOS EXCEP. DE ALVORADA-APAE")</f>
        <v>A.P.A.DOS EXCEP. DE ALVORADA-APAE</v>
      </c>
      <c r="D433" s="241" t="str">
        <f ca="1">IFERROR(__xludf.DUMMYFUNCTION("""COMPUTED_VALUE"""),"02201735000109")</f>
        <v>02201735000109</v>
      </c>
      <c r="E433" s="241" t="str">
        <f ca="1">IFERROR(__xludf.DUMMYFUNCTION("""COMPUTED_VALUE"""),"001")</f>
        <v>001</v>
      </c>
      <c r="F433" s="241" t="str">
        <f ca="1">IFERROR(__xludf.DUMMYFUNCTION("""COMPUTED_VALUE"""),"1303")</f>
        <v>1303</v>
      </c>
      <c r="G433" s="240" t="str">
        <f ca="1">IFERROR(__xludf.DUMMYFUNCTION("""COMPUTED_VALUE"""),"101826")</f>
        <v>101826</v>
      </c>
      <c r="H433" s="240" t="str">
        <f ca="1">IFERROR(__xludf.DUMMYFUNCTION("""COMPUTED_VALUE"""),"E.F. PARCIAL")</f>
        <v>E.F. PARCIAL</v>
      </c>
      <c r="I433" s="242">
        <f ca="1">IFERROR(__xludf.DUMMYFUNCTION("""COMPUTED_VALUE"""),126)</f>
        <v>126</v>
      </c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</row>
    <row r="434" spans="1:26" ht="21" customHeight="1">
      <c r="A434" s="240" t="str">
        <f ca="1">IFERROR(__xludf.DUMMYFUNCTION("""COMPUTED_VALUE"""),"Gurupi")</f>
        <v>Gurupi</v>
      </c>
      <c r="B434" s="240" t="str">
        <f ca="1">IFERROR(__xludf.DUMMYFUNCTION("""COMPUTED_VALUE"""),"Alvorada")</f>
        <v>Alvorada</v>
      </c>
      <c r="C434" s="240" t="str">
        <f ca="1">IFERROR(__xludf.DUMMYFUNCTION("""COMPUTED_VALUE"""),"A.P.A.DOS EXCEP. DE ALVORADA-APAE")</f>
        <v>A.P.A.DOS EXCEP. DE ALVORADA-APAE</v>
      </c>
      <c r="D434" s="241" t="str">
        <f ca="1">IFERROR(__xludf.DUMMYFUNCTION("""COMPUTED_VALUE"""),"02201735000109")</f>
        <v>02201735000109</v>
      </c>
      <c r="E434" s="241" t="str">
        <f ca="1">IFERROR(__xludf.DUMMYFUNCTION("""COMPUTED_VALUE"""),"001")</f>
        <v>001</v>
      </c>
      <c r="F434" s="241" t="str">
        <f ca="1">IFERROR(__xludf.DUMMYFUNCTION("""COMPUTED_VALUE"""),"1303")</f>
        <v>1303</v>
      </c>
      <c r="G434" s="240" t="str">
        <f ca="1">IFERROR(__xludf.DUMMYFUNCTION("""COMPUTED_VALUE"""),"101826")</f>
        <v>101826</v>
      </c>
      <c r="H434" s="240" t="str">
        <f ca="1">IFERROR(__xludf.DUMMYFUNCTION("""COMPUTED_VALUE"""),"AEE")</f>
        <v>AEE</v>
      </c>
      <c r="I434" s="242">
        <f ca="1">IFERROR(__xludf.DUMMYFUNCTION("""COMPUTED_VALUE"""),1596)</f>
        <v>1596</v>
      </c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</row>
    <row r="435" spans="1:26" ht="21" customHeight="1">
      <c r="A435" s="240" t="str">
        <f ca="1">IFERROR(__xludf.DUMMYFUNCTION("""COMPUTED_VALUE"""),"Gurupi")</f>
        <v>Gurupi</v>
      </c>
      <c r="B435" s="240" t="str">
        <f ca="1">IFERROR(__xludf.DUMMYFUNCTION("""COMPUTED_VALUE"""),"Alvorada")</f>
        <v>Alvorada</v>
      </c>
      <c r="C435" s="240" t="str">
        <f ca="1">IFERROR(__xludf.DUMMYFUNCTION("""COMPUTED_VALUE"""),"A.P.A.DOS EXCEP. DE ALVORADA-APAE")</f>
        <v>A.P.A.DOS EXCEP. DE ALVORADA-APAE</v>
      </c>
      <c r="D435" s="241" t="str">
        <f ca="1">IFERROR(__xludf.DUMMYFUNCTION("""COMPUTED_VALUE"""),"02201735000109")</f>
        <v>02201735000109</v>
      </c>
      <c r="E435" s="241" t="str">
        <f ca="1">IFERROR(__xludf.DUMMYFUNCTION("""COMPUTED_VALUE"""),"001")</f>
        <v>001</v>
      </c>
      <c r="F435" s="241" t="str">
        <f ca="1">IFERROR(__xludf.DUMMYFUNCTION("""COMPUTED_VALUE"""),"1303")</f>
        <v>1303</v>
      </c>
      <c r="G435" s="240" t="str">
        <f ca="1">IFERROR(__xludf.DUMMYFUNCTION("""COMPUTED_VALUE"""),"101826")</f>
        <v>101826</v>
      </c>
      <c r="H435" s="240" t="str">
        <f ca="1">IFERROR(__xludf.DUMMYFUNCTION("""COMPUTED_VALUE"""),"EJA")</f>
        <v>EJA</v>
      </c>
      <c r="I435" s="242">
        <f ca="1">IFERROR(__xludf.DUMMYFUNCTION("""COMPUTED_VALUE"""),1575)</f>
        <v>1575</v>
      </c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</row>
    <row r="436" spans="1:26" ht="21" customHeight="1">
      <c r="A436" s="240" t="str">
        <f ca="1">IFERROR(__xludf.DUMMYFUNCTION("""COMPUTED_VALUE"""),"Gurupi")</f>
        <v>Gurupi</v>
      </c>
      <c r="B436" s="240" t="str">
        <f ca="1">IFERROR(__xludf.DUMMYFUNCTION("""COMPUTED_VALUE"""),"Araguacu")</f>
        <v>Araguacu</v>
      </c>
      <c r="C436" s="240" t="str">
        <f ca="1">IFERROR(__xludf.DUMMYFUNCTION("""COMPUTED_VALUE"""),"ASS. APOIO ESC. EST. JOAO TAVARES MARTINS")</f>
        <v>ASS. APOIO ESC. EST. JOAO TAVARES MARTINS</v>
      </c>
      <c r="D436" s="241" t="str">
        <f ca="1">IFERROR(__xludf.DUMMYFUNCTION("""COMPUTED_VALUE"""),"01133707000139")</f>
        <v>01133707000139</v>
      </c>
      <c r="E436" s="241" t="str">
        <f ca="1">IFERROR(__xludf.DUMMYFUNCTION("""COMPUTED_VALUE"""),"001")</f>
        <v>001</v>
      </c>
      <c r="F436" s="241" t="str">
        <f ca="1">IFERROR(__xludf.DUMMYFUNCTION("""COMPUTED_VALUE"""),"1304")</f>
        <v>1304</v>
      </c>
      <c r="G436" s="240" t="str">
        <f ca="1">IFERROR(__xludf.DUMMYFUNCTION("""COMPUTED_VALUE"""),"112542")</f>
        <v>112542</v>
      </c>
      <c r="H436" s="240" t="str">
        <f ca="1">IFERROR(__xludf.DUMMYFUNCTION("""COMPUTED_VALUE"""),"ENS MEDIO PARCIAL")</f>
        <v>ENS MEDIO PARCIAL</v>
      </c>
      <c r="I436" s="242">
        <f ca="1">IFERROR(__xludf.DUMMYFUNCTION("""COMPUTED_VALUE"""),6090)</f>
        <v>6090</v>
      </c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</row>
    <row r="437" spans="1:26" ht="21" customHeight="1">
      <c r="A437" s="240" t="str">
        <f ca="1">IFERROR(__xludf.DUMMYFUNCTION("""COMPUTED_VALUE"""),"Gurupi")</f>
        <v>Gurupi</v>
      </c>
      <c r="B437" s="240" t="str">
        <f ca="1">IFERROR(__xludf.DUMMYFUNCTION("""COMPUTED_VALUE"""),"Araguacu")</f>
        <v>Araguacu</v>
      </c>
      <c r="C437" s="240" t="str">
        <f ca="1">IFERROR(__xludf.DUMMYFUNCTION("""COMPUTED_VALUE"""),"ASS. APOIO ESC. EST. SALVADOR CAETANO")</f>
        <v>ASS. APOIO ESC. EST. SALVADOR CAETANO</v>
      </c>
      <c r="D437" s="241" t="str">
        <f ca="1">IFERROR(__xludf.DUMMYFUNCTION("""COMPUTED_VALUE"""),"01341484000103")</f>
        <v>01341484000103</v>
      </c>
      <c r="E437" s="241" t="str">
        <f ca="1">IFERROR(__xludf.DUMMYFUNCTION("""COMPUTED_VALUE"""),"001")</f>
        <v>001</v>
      </c>
      <c r="F437" s="241" t="str">
        <f ca="1">IFERROR(__xludf.DUMMYFUNCTION("""COMPUTED_VALUE"""),"1304")</f>
        <v>1304</v>
      </c>
      <c r="G437" s="240" t="str">
        <f ca="1">IFERROR(__xludf.DUMMYFUNCTION("""COMPUTED_VALUE"""),"0105589")</f>
        <v>0105589</v>
      </c>
      <c r="H437" s="240" t="str">
        <f ca="1">IFERROR(__xludf.DUMMYFUNCTION("""COMPUTED_VALUE"""),"E.F. PARCIAL")</f>
        <v>E.F. PARCIAL</v>
      </c>
      <c r="I437" s="242">
        <f ca="1">IFERROR(__xludf.DUMMYFUNCTION("""COMPUTED_VALUE"""),4998)</f>
        <v>4998</v>
      </c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</row>
    <row r="438" spans="1:26" ht="21" customHeight="1">
      <c r="A438" s="240" t="str">
        <f ca="1">IFERROR(__xludf.DUMMYFUNCTION("""COMPUTED_VALUE"""),"Gurupi")</f>
        <v>Gurupi</v>
      </c>
      <c r="B438" s="240" t="str">
        <f ca="1">IFERROR(__xludf.DUMMYFUNCTION("""COMPUTED_VALUE"""),"Araguacu")</f>
        <v>Araguacu</v>
      </c>
      <c r="C438" s="240" t="str">
        <f ca="1">IFERROR(__xludf.DUMMYFUNCTION("""COMPUTED_VALUE"""),"ASS. APOIO ESC. EST. SALVADOR CAETANO")</f>
        <v>ASS. APOIO ESC. EST. SALVADOR CAETANO</v>
      </c>
      <c r="D438" s="241" t="str">
        <f ca="1">IFERROR(__xludf.DUMMYFUNCTION("""COMPUTED_VALUE"""),"01341484000103")</f>
        <v>01341484000103</v>
      </c>
      <c r="E438" s="241" t="str">
        <f ca="1">IFERROR(__xludf.DUMMYFUNCTION("""COMPUTED_VALUE"""),"001")</f>
        <v>001</v>
      </c>
      <c r="F438" s="241" t="str">
        <f ca="1">IFERROR(__xludf.DUMMYFUNCTION("""COMPUTED_VALUE"""),"1304")</f>
        <v>1304</v>
      </c>
      <c r="G438" s="240" t="str">
        <f ca="1">IFERROR(__xludf.DUMMYFUNCTION("""COMPUTED_VALUE"""),"0105589")</f>
        <v>0105589</v>
      </c>
      <c r="H438" s="240" t="str">
        <f ca="1">IFERROR(__xludf.DUMMYFUNCTION("""COMPUTED_VALUE"""),"AEE")</f>
        <v>AEE</v>
      </c>
      <c r="I438" s="242">
        <f ca="1">IFERROR(__xludf.DUMMYFUNCTION("""COMPUTED_VALUE"""),546)</f>
        <v>546</v>
      </c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</row>
    <row r="439" spans="1:26" ht="21" customHeight="1">
      <c r="A439" s="240" t="str">
        <f ca="1">IFERROR(__xludf.DUMMYFUNCTION("""COMPUTED_VALUE"""),"Gurupi")</f>
        <v>Gurupi</v>
      </c>
      <c r="B439" s="240" t="str">
        <f ca="1">IFERROR(__xludf.DUMMYFUNCTION("""COMPUTED_VALUE"""),"Araguacu")</f>
        <v>Araguacu</v>
      </c>
      <c r="C439" s="240" t="str">
        <f ca="1">IFERROR(__xludf.DUMMYFUNCTION("""COMPUTED_VALUE"""),"A..A. ESC. ESPECIAL  ABELINHA EM BUSCA DO SABER")</f>
        <v>A..A. ESC. ESPECIAL  ABELINHA EM BUSCA DO SABER</v>
      </c>
      <c r="D439" s="241" t="str">
        <f ca="1">IFERROR(__xludf.DUMMYFUNCTION("""COMPUTED_VALUE"""),"07924466000122")</f>
        <v>07924466000122</v>
      </c>
      <c r="E439" s="241" t="str">
        <f ca="1">IFERROR(__xludf.DUMMYFUNCTION("""COMPUTED_VALUE"""),"001")</f>
        <v>001</v>
      </c>
      <c r="F439" s="241" t="str">
        <f ca="1">IFERROR(__xludf.DUMMYFUNCTION("""COMPUTED_VALUE"""),"1304")</f>
        <v>1304</v>
      </c>
      <c r="G439" s="240" t="str">
        <f ca="1">IFERROR(__xludf.DUMMYFUNCTION("""COMPUTED_VALUE"""),"136417")</f>
        <v>136417</v>
      </c>
      <c r="H439" s="240" t="str">
        <f ca="1">IFERROR(__xludf.DUMMYFUNCTION("""COMPUTED_VALUE"""),"PRÉ-ESCOLA")</f>
        <v>PRÉ-ESCOLA</v>
      </c>
      <c r="I439" s="242">
        <f ca="1">IFERROR(__xludf.DUMMYFUNCTION("""COMPUTED_VALUE"""),84)</f>
        <v>84</v>
      </c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</row>
    <row r="440" spans="1:26" ht="21" customHeight="1">
      <c r="A440" s="240" t="str">
        <f ca="1">IFERROR(__xludf.DUMMYFUNCTION("""COMPUTED_VALUE"""),"Gurupi")</f>
        <v>Gurupi</v>
      </c>
      <c r="B440" s="240" t="str">
        <f ca="1">IFERROR(__xludf.DUMMYFUNCTION("""COMPUTED_VALUE"""),"Araguacu")</f>
        <v>Araguacu</v>
      </c>
      <c r="C440" s="240" t="str">
        <f ca="1">IFERROR(__xludf.DUMMYFUNCTION("""COMPUTED_VALUE"""),"A..A. ESC. ESPECIAL  ABELINHA EM BUSCA DO SABER")</f>
        <v>A..A. ESC. ESPECIAL  ABELINHA EM BUSCA DO SABER</v>
      </c>
      <c r="D440" s="241" t="str">
        <f ca="1">IFERROR(__xludf.DUMMYFUNCTION("""COMPUTED_VALUE"""),"07924466000122")</f>
        <v>07924466000122</v>
      </c>
      <c r="E440" s="241" t="str">
        <f ca="1">IFERROR(__xludf.DUMMYFUNCTION("""COMPUTED_VALUE"""),"001")</f>
        <v>001</v>
      </c>
      <c r="F440" s="241" t="str">
        <f ca="1">IFERROR(__xludf.DUMMYFUNCTION("""COMPUTED_VALUE"""),"1304")</f>
        <v>1304</v>
      </c>
      <c r="G440" s="240" t="str">
        <f ca="1">IFERROR(__xludf.DUMMYFUNCTION("""COMPUTED_VALUE"""),"136417")</f>
        <v>136417</v>
      </c>
      <c r="H440" s="240" t="str">
        <f ca="1">IFERROR(__xludf.DUMMYFUNCTION("""COMPUTED_VALUE"""),"E.F. PARCIAL")</f>
        <v>E.F. PARCIAL</v>
      </c>
      <c r="I440" s="242">
        <f ca="1">IFERROR(__xludf.DUMMYFUNCTION("""COMPUTED_VALUE"""),126)</f>
        <v>126</v>
      </c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</row>
    <row r="441" spans="1:26" ht="21" customHeight="1">
      <c r="A441" s="240" t="str">
        <f ca="1">IFERROR(__xludf.DUMMYFUNCTION("""COMPUTED_VALUE"""),"Gurupi")</f>
        <v>Gurupi</v>
      </c>
      <c r="B441" s="240" t="str">
        <f ca="1">IFERROR(__xludf.DUMMYFUNCTION("""COMPUTED_VALUE"""),"Araguacu")</f>
        <v>Araguacu</v>
      </c>
      <c r="C441" s="240" t="str">
        <f ca="1">IFERROR(__xludf.DUMMYFUNCTION("""COMPUTED_VALUE"""),"A..A. ESC. ESPECIAL  ABELINHA EM BUSCA DO SABER")</f>
        <v>A..A. ESC. ESPECIAL  ABELINHA EM BUSCA DO SABER</v>
      </c>
      <c r="D441" s="241" t="str">
        <f ca="1">IFERROR(__xludf.DUMMYFUNCTION("""COMPUTED_VALUE"""),"07924466000122")</f>
        <v>07924466000122</v>
      </c>
      <c r="E441" s="241" t="str">
        <f ca="1">IFERROR(__xludf.DUMMYFUNCTION("""COMPUTED_VALUE"""),"001")</f>
        <v>001</v>
      </c>
      <c r="F441" s="241" t="str">
        <f ca="1">IFERROR(__xludf.DUMMYFUNCTION("""COMPUTED_VALUE"""),"1304")</f>
        <v>1304</v>
      </c>
      <c r="G441" s="240" t="str">
        <f ca="1">IFERROR(__xludf.DUMMYFUNCTION("""COMPUTED_VALUE"""),"136417")</f>
        <v>136417</v>
      </c>
      <c r="H441" s="240" t="str">
        <f ca="1">IFERROR(__xludf.DUMMYFUNCTION("""COMPUTED_VALUE"""),"AEE")</f>
        <v>AEE</v>
      </c>
      <c r="I441" s="242">
        <f ca="1">IFERROR(__xludf.DUMMYFUNCTION("""COMPUTED_VALUE"""),1659)</f>
        <v>1659</v>
      </c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</row>
    <row r="442" spans="1:26" ht="21" customHeight="1">
      <c r="A442" s="240" t="str">
        <f ca="1">IFERROR(__xludf.DUMMYFUNCTION("""COMPUTED_VALUE"""),"Gurupi")</f>
        <v>Gurupi</v>
      </c>
      <c r="B442" s="240" t="str">
        <f ca="1">IFERROR(__xludf.DUMMYFUNCTION("""COMPUTED_VALUE"""),"Araguacu")</f>
        <v>Araguacu</v>
      </c>
      <c r="C442" s="240" t="str">
        <f ca="1">IFERROR(__xludf.DUMMYFUNCTION("""COMPUTED_VALUE"""),"A..A. ESC. ESPECIAL  ABELINHA EM BUSCA DO SABER")</f>
        <v>A..A. ESC. ESPECIAL  ABELINHA EM BUSCA DO SABER</v>
      </c>
      <c r="D442" s="241" t="str">
        <f ca="1">IFERROR(__xludf.DUMMYFUNCTION("""COMPUTED_VALUE"""),"07924466000122")</f>
        <v>07924466000122</v>
      </c>
      <c r="E442" s="241" t="str">
        <f ca="1">IFERROR(__xludf.DUMMYFUNCTION("""COMPUTED_VALUE"""),"001")</f>
        <v>001</v>
      </c>
      <c r="F442" s="241" t="str">
        <f ca="1">IFERROR(__xludf.DUMMYFUNCTION("""COMPUTED_VALUE"""),"1304")</f>
        <v>1304</v>
      </c>
      <c r="G442" s="240" t="str">
        <f ca="1">IFERROR(__xludf.DUMMYFUNCTION("""COMPUTED_VALUE"""),"136417")</f>
        <v>136417</v>
      </c>
      <c r="H442" s="240" t="str">
        <f ca="1">IFERROR(__xludf.DUMMYFUNCTION("""COMPUTED_VALUE"""),"EJA")</f>
        <v>EJA</v>
      </c>
      <c r="I442" s="242">
        <f ca="1">IFERROR(__xludf.DUMMYFUNCTION("""COMPUTED_VALUE"""),1449)</f>
        <v>1449</v>
      </c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</row>
    <row r="443" spans="1:26" ht="21" customHeight="1">
      <c r="A443" s="240" t="str">
        <f ca="1">IFERROR(__xludf.DUMMYFUNCTION("""COMPUTED_VALUE"""),"Gurupi")</f>
        <v>Gurupi</v>
      </c>
      <c r="B443" s="240" t="str">
        <f ca="1">IFERROR(__xludf.DUMMYFUNCTION("""COMPUTED_VALUE"""),"Cariri do Tocantins")</f>
        <v>Cariri do Tocantins</v>
      </c>
      <c r="C443" s="240" t="str">
        <f ca="1">IFERROR(__xludf.DUMMYFUNCTION("""COMPUTED_VALUE"""),"ASS. APOIO ESCOLA ESTADUAL TARSO DUTRA")</f>
        <v>ASS. APOIO ESCOLA ESTADUAL TARSO DUTRA</v>
      </c>
      <c r="D443" s="241" t="str">
        <f ca="1">IFERROR(__xludf.DUMMYFUNCTION("""COMPUTED_VALUE"""),"01239275000145")</f>
        <v>01239275000145</v>
      </c>
      <c r="E443" s="241" t="str">
        <f ca="1">IFERROR(__xludf.DUMMYFUNCTION("""COMPUTED_VALUE"""),"001")</f>
        <v>001</v>
      </c>
      <c r="F443" s="241" t="str">
        <f ca="1">IFERROR(__xludf.DUMMYFUNCTION("""COMPUTED_VALUE"""),"0794")</f>
        <v>0794</v>
      </c>
      <c r="G443" s="240" t="str">
        <f ca="1">IFERROR(__xludf.DUMMYFUNCTION("""COMPUTED_VALUE"""),"245496")</f>
        <v>245496</v>
      </c>
      <c r="H443" s="240" t="str">
        <f ca="1">IFERROR(__xludf.DUMMYFUNCTION("""COMPUTED_VALUE"""),"E.F. PARCIAL")</f>
        <v>E.F. PARCIAL</v>
      </c>
      <c r="I443" s="242">
        <f ca="1">IFERROR(__xludf.DUMMYFUNCTION("""COMPUTED_VALUE"""),1449)</f>
        <v>1449</v>
      </c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</row>
    <row r="444" spans="1:26" ht="21" customHeight="1">
      <c r="A444" s="240" t="str">
        <f ca="1">IFERROR(__xludf.DUMMYFUNCTION("""COMPUTED_VALUE"""),"Gurupi")</f>
        <v>Gurupi</v>
      </c>
      <c r="B444" s="240" t="str">
        <f ca="1">IFERROR(__xludf.DUMMYFUNCTION("""COMPUTED_VALUE"""),"Cariri do Tocantins")</f>
        <v>Cariri do Tocantins</v>
      </c>
      <c r="C444" s="240" t="str">
        <f ca="1">IFERROR(__xludf.DUMMYFUNCTION("""COMPUTED_VALUE"""),"ASS. APOIO ESCOLA ESTADUAL TARSO DUTRA")</f>
        <v>ASS. APOIO ESCOLA ESTADUAL TARSO DUTRA</v>
      </c>
      <c r="D444" s="241" t="str">
        <f ca="1">IFERROR(__xludf.DUMMYFUNCTION("""COMPUTED_VALUE"""),"01239275000145")</f>
        <v>01239275000145</v>
      </c>
      <c r="E444" s="241" t="str">
        <f ca="1">IFERROR(__xludf.DUMMYFUNCTION("""COMPUTED_VALUE"""),"001")</f>
        <v>001</v>
      </c>
      <c r="F444" s="241" t="str">
        <f ca="1">IFERROR(__xludf.DUMMYFUNCTION("""COMPUTED_VALUE"""),"0794")</f>
        <v>0794</v>
      </c>
      <c r="G444" s="240" t="str">
        <f ca="1">IFERROR(__xludf.DUMMYFUNCTION("""COMPUTED_VALUE"""),"245496")</f>
        <v>245496</v>
      </c>
      <c r="H444" s="240" t="str">
        <f ca="1">IFERROR(__xludf.DUMMYFUNCTION("""COMPUTED_VALUE"""),"ENS MEDIO PARCIAL")</f>
        <v>ENS MEDIO PARCIAL</v>
      </c>
      <c r="I444" s="242">
        <f ca="1">IFERROR(__xludf.DUMMYFUNCTION("""COMPUTED_VALUE"""),3381)</f>
        <v>3381</v>
      </c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</row>
    <row r="445" spans="1:26" ht="21" customHeight="1">
      <c r="A445" s="240" t="str">
        <f ca="1">IFERROR(__xludf.DUMMYFUNCTION("""COMPUTED_VALUE"""),"Gurupi")</f>
        <v>Gurupi</v>
      </c>
      <c r="B445" s="240" t="str">
        <f ca="1">IFERROR(__xludf.DUMMYFUNCTION("""COMPUTED_VALUE"""),"Cariri do Tocantins")</f>
        <v>Cariri do Tocantins</v>
      </c>
      <c r="C445" s="240" t="str">
        <f ca="1">IFERROR(__xludf.DUMMYFUNCTION("""COMPUTED_VALUE"""),"ASS. APOIO ESCOLA ESTADUAL TARSO DUTRA")</f>
        <v>ASS. APOIO ESCOLA ESTADUAL TARSO DUTRA</v>
      </c>
      <c r="D445" s="241" t="str">
        <f ca="1">IFERROR(__xludf.DUMMYFUNCTION("""COMPUTED_VALUE"""),"01239275000145")</f>
        <v>01239275000145</v>
      </c>
      <c r="E445" s="241" t="str">
        <f ca="1">IFERROR(__xludf.DUMMYFUNCTION("""COMPUTED_VALUE"""),"001")</f>
        <v>001</v>
      </c>
      <c r="F445" s="241" t="str">
        <f ca="1">IFERROR(__xludf.DUMMYFUNCTION("""COMPUTED_VALUE"""),"0794")</f>
        <v>0794</v>
      </c>
      <c r="G445" s="240" t="str">
        <f ca="1">IFERROR(__xludf.DUMMYFUNCTION("""COMPUTED_VALUE"""),"245496")</f>
        <v>245496</v>
      </c>
      <c r="H445" s="240" t="str">
        <f ca="1">IFERROR(__xludf.DUMMYFUNCTION("""COMPUTED_VALUE"""),"EJA")</f>
        <v>EJA</v>
      </c>
      <c r="I445" s="242">
        <f ca="1">IFERROR(__xludf.DUMMYFUNCTION("""COMPUTED_VALUE"""),609)</f>
        <v>609</v>
      </c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</row>
    <row r="446" spans="1:26" ht="21" customHeight="1">
      <c r="A446" s="240" t="str">
        <f ca="1">IFERROR(__xludf.DUMMYFUNCTION("""COMPUTED_VALUE"""),"Gurupi")</f>
        <v>Gurupi</v>
      </c>
      <c r="B446" s="240" t="str">
        <f ca="1">IFERROR(__xludf.DUMMYFUNCTION("""COMPUTED_VALUE"""),"Crixas do Tocantins")</f>
        <v>Crixas do Tocantins</v>
      </c>
      <c r="C446" s="240" t="str">
        <f ca="1">IFERROR(__xludf.DUMMYFUNCTION("""COMPUTED_VALUE"""),"ASSOC. DE AP. DA ESC. EST. OLAVO BILAC")</f>
        <v>ASSOC. DE AP. DA ESC. EST. OLAVO BILAC</v>
      </c>
      <c r="D446" s="241" t="str">
        <f ca="1">IFERROR(__xludf.DUMMYFUNCTION("""COMPUTED_VALUE"""),"01892440000163")</f>
        <v>01892440000163</v>
      </c>
      <c r="E446" s="241" t="str">
        <f ca="1">IFERROR(__xludf.DUMMYFUNCTION("""COMPUTED_VALUE"""),"001")</f>
        <v>001</v>
      </c>
      <c r="F446" s="241" t="str">
        <f ca="1">IFERROR(__xludf.DUMMYFUNCTION("""COMPUTED_VALUE"""),"0794")</f>
        <v>0794</v>
      </c>
      <c r="G446" s="240" t="str">
        <f ca="1">IFERROR(__xludf.DUMMYFUNCTION("""COMPUTED_VALUE"""),"13498")</f>
        <v>13498</v>
      </c>
      <c r="H446" s="240" t="str">
        <f ca="1">IFERROR(__xludf.DUMMYFUNCTION("""COMPUTED_VALUE"""),"E.F. PARCIAL")</f>
        <v>E.F. PARCIAL</v>
      </c>
      <c r="I446" s="242">
        <f ca="1">IFERROR(__xludf.DUMMYFUNCTION("""COMPUTED_VALUE"""),1218)</f>
        <v>1218</v>
      </c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</row>
    <row r="447" spans="1:26" ht="21" customHeight="1">
      <c r="A447" s="240" t="str">
        <f ca="1">IFERROR(__xludf.DUMMYFUNCTION("""COMPUTED_VALUE"""),"Gurupi")</f>
        <v>Gurupi</v>
      </c>
      <c r="B447" s="240" t="str">
        <f ca="1">IFERROR(__xludf.DUMMYFUNCTION("""COMPUTED_VALUE"""),"Crixas do Tocantins")</f>
        <v>Crixas do Tocantins</v>
      </c>
      <c r="C447" s="240" t="str">
        <f ca="1">IFERROR(__xludf.DUMMYFUNCTION("""COMPUTED_VALUE"""),"ASSOC. DE AP. DA ESC. EST. OLAVO BILAC")</f>
        <v>ASSOC. DE AP. DA ESC. EST. OLAVO BILAC</v>
      </c>
      <c r="D447" s="241" t="str">
        <f ca="1">IFERROR(__xludf.DUMMYFUNCTION("""COMPUTED_VALUE"""),"01892440000163")</f>
        <v>01892440000163</v>
      </c>
      <c r="E447" s="241" t="str">
        <f ca="1">IFERROR(__xludf.DUMMYFUNCTION("""COMPUTED_VALUE"""),"001")</f>
        <v>001</v>
      </c>
      <c r="F447" s="241" t="str">
        <f ca="1">IFERROR(__xludf.DUMMYFUNCTION("""COMPUTED_VALUE"""),"0794")</f>
        <v>0794</v>
      </c>
      <c r="G447" s="240" t="str">
        <f ca="1">IFERROR(__xludf.DUMMYFUNCTION("""COMPUTED_VALUE"""),"13498")</f>
        <v>13498</v>
      </c>
      <c r="H447" s="240" t="str">
        <f ca="1">IFERROR(__xludf.DUMMYFUNCTION("""COMPUTED_VALUE"""),"ENS MEDIO PARCIAL")</f>
        <v>ENS MEDIO PARCIAL</v>
      </c>
      <c r="I447" s="242">
        <f ca="1">IFERROR(__xludf.DUMMYFUNCTION("""COMPUTED_VALUE"""),1239)</f>
        <v>1239</v>
      </c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</row>
    <row r="448" spans="1:26" ht="21" customHeight="1">
      <c r="A448" s="240" t="str">
        <f ca="1">IFERROR(__xludf.DUMMYFUNCTION("""COMPUTED_VALUE"""),"Gurupi")</f>
        <v>Gurupi</v>
      </c>
      <c r="B448" s="240" t="str">
        <f ca="1">IFERROR(__xludf.DUMMYFUNCTION("""COMPUTED_VALUE"""),"Duere")</f>
        <v>Duere</v>
      </c>
      <c r="C448" s="240" t="str">
        <f ca="1">IFERROR(__xludf.DUMMYFUNCTION("""COMPUTED_VALUE"""),"A.P.MESTRES DA ESCOLA EST.ELESBAO LIMA")</f>
        <v>A.P.MESTRES DA ESCOLA EST.ELESBAO LIMA</v>
      </c>
      <c r="D448" s="241" t="str">
        <f ca="1">IFERROR(__xludf.DUMMYFUNCTION("""COMPUTED_VALUE"""),"01865387000101")</f>
        <v>01865387000101</v>
      </c>
      <c r="E448" s="241" t="str">
        <f ca="1">IFERROR(__xludf.DUMMYFUNCTION("""COMPUTED_VALUE"""),"001")</f>
        <v>001</v>
      </c>
      <c r="F448" s="241" t="str">
        <f ca="1">IFERROR(__xludf.DUMMYFUNCTION("""COMPUTED_VALUE"""),"0794")</f>
        <v>0794</v>
      </c>
      <c r="G448" s="240" t="str">
        <f ca="1">IFERROR(__xludf.DUMMYFUNCTION("""COMPUTED_VALUE"""),"6758X")</f>
        <v>6758X</v>
      </c>
      <c r="H448" s="240" t="str">
        <f ca="1">IFERROR(__xludf.DUMMYFUNCTION("""COMPUTED_VALUE"""),"E.F. PARCIAL")</f>
        <v>E.F. PARCIAL</v>
      </c>
      <c r="I448" s="242">
        <f ca="1">IFERROR(__xludf.DUMMYFUNCTION("""COMPUTED_VALUE"""),6279)</f>
        <v>6279</v>
      </c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</row>
    <row r="449" spans="1:26" ht="21" customHeight="1">
      <c r="A449" s="240" t="str">
        <f ca="1">IFERROR(__xludf.DUMMYFUNCTION("""COMPUTED_VALUE"""),"Gurupi")</f>
        <v>Gurupi</v>
      </c>
      <c r="B449" s="240" t="str">
        <f ca="1">IFERROR(__xludf.DUMMYFUNCTION("""COMPUTED_VALUE"""),"Duere")</f>
        <v>Duere</v>
      </c>
      <c r="C449" s="240" t="str">
        <f ca="1">IFERROR(__xludf.DUMMYFUNCTION("""COMPUTED_VALUE"""),"A.P.MESTRES DA ESCOLA EST.ELESBAO LIMA")</f>
        <v>A.P.MESTRES DA ESCOLA EST.ELESBAO LIMA</v>
      </c>
      <c r="D449" s="241" t="str">
        <f ca="1">IFERROR(__xludf.DUMMYFUNCTION("""COMPUTED_VALUE"""),"01865387000101")</f>
        <v>01865387000101</v>
      </c>
      <c r="E449" s="241" t="str">
        <f ca="1">IFERROR(__xludf.DUMMYFUNCTION("""COMPUTED_VALUE"""),"001")</f>
        <v>001</v>
      </c>
      <c r="F449" s="241" t="str">
        <f ca="1">IFERROR(__xludf.DUMMYFUNCTION("""COMPUTED_VALUE"""),"0794")</f>
        <v>0794</v>
      </c>
      <c r="G449" s="240" t="str">
        <f ca="1">IFERROR(__xludf.DUMMYFUNCTION("""COMPUTED_VALUE"""),"6758X")</f>
        <v>6758X</v>
      </c>
      <c r="H449" s="240" t="str">
        <f ca="1">IFERROR(__xludf.DUMMYFUNCTION("""COMPUTED_VALUE"""),"AEE")</f>
        <v>AEE</v>
      </c>
      <c r="I449" s="242">
        <f ca="1">IFERROR(__xludf.DUMMYFUNCTION("""COMPUTED_VALUE"""),462)</f>
        <v>462</v>
      </c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</row>
    <row r="450" spans="1:26" ht="21" customHeight="1">
      <c r="A450" s="240" t="str">
        <f ca="1">IFERROR(__xludf.DUMMYFUNCTION("""COMPUTED_VALUE"""),"Gurupi")</f>
        <v>Gurupi</v>
      </c>
      <c r="B450" s="240" t="str">
        <f ca="1">IFERROR(__xludf.DUMMYFUNCTION("""COMPUTED_VALUE"""),"Duere")</f>
        <v>Duere</v>
      </c>
      <c r="C450" s="240" t="str">
        <f ca="1">IFERROR(__xludf.DUMMYFUNCTION("""COMPUTED_VALUE"""),"A.P.MESTRES DA ESCOLA EST.ELESBAO LIMA")</f>
        <v>A.P.MESTRES DA ESCOLA EST.ELESBAO LIMA</v>
      </c>
      <c r="D450" s="241" t="str">
        <f ca="1">IFERROR(__xludf.DUMMYFUNCTION("""COMPUTED_VALUE"""),"01865387000101")</f>
        <v>01865387000101</v>
      </c>
      <c r="E450" s="241" t="str">
        <f ca="1">IFERROR(__xludf.DUMMYFUNCTION("""COMPUTED_VALUE"""),"001")</f>
        <v>001</v>
      </c>
      <c r="F450" s="241" t="str">
        <f ca="1">IFERROR(__xludf.DUMMYFUNCTION("""COMPUTED_VALUE"""),"0794")</f>
        <v>0794</v>
      </c>
      <c r="G450" s="240" t="str">
        <f ca="1">IFERROR(__xludf.DUMMYFUNCTION("""COMPUTED_VALUE"""),"6758X")</f>
        <v>6758X</v>
      </c>
      <c r="H450" s="240" t="str">
        <f ca="1">IFERROR(__xludf.DUMMYFUNCTION("""COMPUTED_VALUE"""),"ENS MEDIO PARCIAL")</f>
        <v>ENS MEDIO PARCIAL</v>
      </c>
      <c r="I450" s="242">
        <f ca="1">IFERROR(__xludf.DUMMYFUNCTION("""COMPUTED_VALUE"""),3045)</f>
        <v>3045</v>
      </c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</row>
    <row r="451" spans="1:26" ht="21" customHeight="1">
      <c r="A451" s="240" t="str">
        <f ca="1">IFERROR(__xludf.DUMMYFUNCTION("""COMPUTED_VALUE"""),"Gurupi")</f>
        <v>Gurupi</v>
      </c>
      <c r="B451" s="240" t="str">
        <f ca="1">IFERROR(__xludf.DUMMYFUNCTION("""COMPUTED_VALUE"""),"Figueiropolis")</f>
        <v>Figueiropolis</v>
      </c>
      <c r="C451" s="240" t="str">
        <f ca="1">IFERROR(__xludf.DUMMYFUNCTION("""COMPUTED_VALUE"""),"A. APOIO COL. EST. ALAIR SENA CONCEICAO")</f>
        <v>A. APOIO COL. EST. ALAIR SENA CONCEICAO</v>
      </c>
      <c r="D451" s="241" t="str">
        <f ca="1">IFERROR(__xludf.DUMMYFUNCTION("""COMPUTED_VALUE"""),"01257080000128")</f>
        <v>01257080000128</v>
      </c>
      <c r="E451" s="241" t="str">
        <f ca="1">IFERROR(__xludf.DUMMYFUNCTION("""COMPUTED_VALUE"""),"001")</f>
        <v>001</v>
      </c>
      <c r="F451" s="241" t="str">
        <f ca="1">IFERROR(__xludf.DUMMYFUNCTION("""COMPUTED_VALUE"""),"3978")</f>
        <v>3978</v>
      </c>
      <c r="G451" s="240" t="str">
        <f ca="1">IFERROR(__xludf.DUMMYFUNCTION("""COMPUTED_VALUE"""),"52639")</f>
        <v>52639</v>
      </c>
      <c r="H451" s="240" t="str">
        <f ca="1">IFERROR(__xludf.DUMMYFUNCTION("""COMPUTED_VALUE"""),"ENS MEDIO PARCIAL")</f>
        <v>ENS MEDIO PARCIAL</v>
      </c>
      <c r="I451" s="242">
        <f ca="1">IFERROR(__xludf.DUMMYFUNCTION("""COMPUTED_VALUE"""),3612)</f>
        <v>3612</v>
      </c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</row>
    <row r="452" spans="1:26" ht="21" customHeight="1">
      <c r="A452" s="240" t="str">
        <f ca="1">IFERROR(__xludf.DUMMYFUNCTION("""COMPUTED_VALUE"""),"Gurupi")</f>
        <v>Gurupi</v>
      </c>
      <c r="B452" s="240" t="str">
        <f ca="1">IFERROR(__xludf.DUMMYFUNCTION("""COMPUTED_VALUE"""),"Figueiropolis")</f>
        <v>Figueiropolis</v>
      </c>
      <c r="C452" s="240" t="str">
        <f ca="1">IFERROR(__xludf.DUMMYFUNCTION("""COMPUTED_VALUE"""),"A. APOIO COLEGIO EST. CANDIDO FIGUEIRA")</f>
        <v>A. APOIO COLEGIO EST. CANDIDO FIGUEIRA</v>
      </c>
      <c r="D452" s="241" t="str">
        <f ca="1">IFERROR(__xludf.DUMMYFUNCTION("""COMPUTED_VALUE"""),"01262902000169")</f>
        <v>01262902000169</v>
      </c>
      <c r="E452" s="241" t="str">
        <f ca="1">IFERROR(__xludf.DUMMYFUNCTION("""COMPUTED_VALUE"""),"001")</f>
        <v>001</v>
      </c>
      <c r="F452" s="241" t="str">
        <f ca="1">IFERROR(__xludf.DUMMYFUNCTION("""COMPUTED_VALUE"""),"3978")</f>
        <v>3978</v>
      </c>
      <c r="G452" s="240" t="str">
        <f ca="1">IFERROR(__xludf.DUMMYFUNCTION("""COMPUTED_VALUE"""),"4802X")</f>
        <v>4802X</v>
      </c>
      <c r="H452" s="240" t="str">
        <f ca="1">IFERROR(__xludf.DUMMYFUNCTION("""COMPUTED_VALUE"""),"E.F. PARCIAL")</f>
        <v>E.F. PARCIAL</v>
      </c>
      <c r="I452" s="242">
        <f ca="1">IFERROR(__xludf.DUMMYFUNCTION("""COMPUTED_VALUE"""),7098)</f>
        <v>7098</v>
      </c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</row>
    <row r="453" spans="1:26" ht="21" customHeight="1">
      <c r="A453" s="240" t="str">
        <f ca="1">IFERROR(__xludf.DUMMYFUNCTION("""COMPUTED_VALUE"""),"Gurupi")</f>
        <v>Gurupi</v>
      </c>
      <c r="B453" s="240" t="str">
        <f ca="1">IFERROR(__xludf.DUMMYFUNCTION("""COMPUTED_VALUE"""),"Figueiropolis")</f>
        <v>Figueiropolis</v>
      </c>
      <c r="C453" s="240" t="str">
        <f ca="1">IFERROR(__xludf.DUMMYFUNCTION("""COMPUTED_VALUE"""),"A. APOIO COLEGIO EST. CANDIDO FIGUEIRA")</f>
        <v>A. APOIO COLEGIO EST. CANDIDO FIGUEIRA</v>
      </c>
      <c r="D453" s="241" t="str">
        <f ca="1">IFERROR(__xludf.DUMMYFUNCTION("""COMPUTED_VALUE"""),"01262902000169")</f>
        <v>01262902000169</v>
      </c>
      <c r="E453" s="241" t="str">
        <f ca="1">IFERROR(__xludf.DUMMYFUNCTION("""COMPUTED_VALUE"""),"001")</f>
        <v>001</v>
      </c>
      <c r="F453" s="241" t="str">
        <f ca="1">IFERROR(__xludf.DUMMYFUNCTION("""COMPUTED_VALUE"""),"3978")</f>
        <v>3978</v>
      </c>
      <c r="G453" s="240" t="str">
        <f ca="1">IFERROR(__xludf.DUMMYFUNCTION("""COMPUTED_VALUE"""),"4802X")</f>
        <v>4802X</v>
      </c>
      <c r="H453" s="240" t="str">
        <f ca="1">IFERROR(__xludf.DUMMYFUNCTION("""COMPUTED_VALUE"""),"AEE")</f>
        <v>AEE</v>
      </c>
      <c r="I453" s="242">
        <f ca="1">IFERROR(__xludf.DUMMYFUNCTION("""COMPUTED_VALUE"""),231)</f>
        <v>231</v>
      </c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</row>
    <row r="454" spans="1:26" ht="21" customHeight="1">
      <c r="A454" s="240" t="str">
        <f ca="1">IFERROR(__xludf.DUMMYFUNCTION("""COMPUTED_VALUE"""),"Gurupi")</f>
        <v>Gurupi</v>
      </c>
      <c r="B454" s="240" t="str">
        <f ca="1">IFERROR(__xludf.DUMMYFUNCTION("""COMPUTED_VALUE"""),"Formoso do Araguaia")</f>
        <v>Formoso do Araguaia</v>
      </c>
      <c r="C454" s="240" t="str">
        <f ca="1">IFERROR(__xludf.DUMMYFUNCTION("""COMPUTED_VALUE"""),"A.P.E MESTRES DA E. E.BENEDITO P.BANDEIRA")</f>
        <v>A.P.E MESTRES DA E. E.BENEDITO P.BANDEIRA</v>
      </c>
      <c r="D454" s="241" t="str">
        <f ca="1">IFERROR(__xludf.DUMMYFUNCTION("""COMPUTED_VALUE"""),"01136026000124")</f>
        <v>01136026000124</v>
      </c>
      <c r="E454" s="241" t="str">
        <f ca="1">IFERROR(__xludf.DUMMYFUNCTION("""COMPUTED_VALUE"""),"001")</f>
        <v>001</v>
      </c>
      <c r="F454" s="241" t="str">
        <f ca="1">IFERROR(__xludf.DUMMYFUNCTION("""COMPUTED_VALUE"""),"3123")</f>
        <v>3123</v>
      </c>
      <c r="G454" s="240" t="str">
        <f ca="1">IFERROR(__xludf.DUMMYFUNCTION("""COMPUTED_VALUE"""),"0303240")</f>
        <v>0303240</v>
      </c>
      <c r="H454" s="240" t="str">
        <f ca="1">IFERROR(__xludf.DUMMYFUNCTION("""COMPUTED_VALUE"""),"E.F. PARCIAL")</f>
        <v>E.F. PARCIAL</v>
      </c>
      <c r="I454" s="242">
        <f ca="1">IFERROR(__xludf.DUMMYFUNCTION("""COMPUTED_VALUE"""),2079)</f>
        <v>2079</v>
      </c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</row>
    <row r="455" spans="1:26" ht="21" customHeight="1">
      <c r="A455" s="240" t="str">
        <f ca="1">IFERROR(__xludf.DUMMYFUNCTION("""COMPUTED_VALUE"""),"Gurupi")</f>
        <v>Gurupi</v>
      </c>
      <c r="B455" s="240" t="str">
        <f ca="1">IFERROR(__xludf.DUMMYFUNCTION("""COMPUTED_VALUE"""),"Formoso do Araguaia")</f>
        <v>Formoso do Araguaia</v>
      </c>
      <c r="C455" s="240" t="str">
        <f ca="1">IFERROR(__xludf.DUMMYFUNCTION("""COMPUTED_VALUE"""),"A.P.E MESTRES DA E. E.BENEDITO P.BANDEIRA")</f>
        <v>A.P.E MESTRES DA E. E.BENEDITO P.BANDEIRA</v>
      </c>
      <c r="D455" s="241" t="str">
        <f ca="1">IFERROR(__xludf.DUMMYFUNCTION("""COMPUTED_VALUE"""),"01136026000124")</f>
        <v>01136026000124</v>
      </c>
      <c r="E455" s="241" t="str">
        <f ca="1">IFERROR(__xludf.DUMMYFUNCTION("""COMPUTED_VALUE"""),"001")</f>
        <v>001</v>
      </c>
      <c r="F455" s="241" t="str">
        <f ca="1">IFERROR(__xludf.DUMMYFUNCTION("""COMPUTED_VALUE"""),"3123")</f>
        <v>3123</v>
      </c>
      <c r="G455" s="240" t="str">
        <f ca="1">IFERROR(__xludf.DUMMYFUNCTION("""COMPUTED_VALUE"""),"0303240")</f>
        <v>0303240</v>
      </c>
      <c r="H455" s="240" t="str">
        <f ca="1">IFERROR(__xludf.DUMMYFUNCTION("""COMPUTED_VALUE"""),"ENS MEDIO PARCIAL")</f>
        <v>ENS MEDIO PARCIAL</v>
      </c>
      <c r="I455" s="242">
        <f ca="1">IFERROR(__xludf.DUMMYFUNCTION("""COMPUTED_VALUE"""),1785)</f>
        <v>1785</v>
      </c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</row>
    <row r="456" spans="1:26" ht="21" customHeight="1">
      <c r="A456" s="240" t="str">
        <f ca="1">IFERROR(__xludf.DUMMYFUNCTION("""COMPUTED_VALUE"""),"Gurupi")</f>
        <v>Gurupi</v>
      </c>
      <c r="B456" s="240" t="str">
        <f ca="1">IFERROR(__xludf.DUMMYFUNCTION("""COMPUTED_VALUE"""),"Formoso do Araguaia")</f>
        <v>Formoso do Araguaia</v>
      </c>
      <c r="C456" s="240" t="str">
        <f ca="1">IFERROR(__xludf.DUMMYFUNCTION("""COMPUTED_VALUE"""),"A.A. COLEGIO ESTADUAL TIRADENTES")</f>
        <v>A.A. COLEGIO ESTADUAL TIRADENTES</v>
      </c>
      <c r="D456" s="241" t="str">
        <f ca="1">IFERROR(__xludf.DUMMYFUNCTION("""COMPUTED_VALUE"""),"01263350000103")</f>
        <v>01263350000103</v>
      </c>
      <c r="E456" s="241" t="str">
        <f ca="1">IFERROR(__xludf.DUMMYFUNCTION("""COMPUTED_VALUE"""),"001")</f>
        <v>001</v>
      </c>
      <c r="F456" s="241" t="str">
        <f ca="1">IFERROR(__xludf.DUMMYFUNCTION("""COMPUTED_VALUE"""),"3123")</f>
        <v>3123</v>
      </c>
      <c r="G456" s="240" t="str">
        <f ca="1">IFERROR(__xludf.DUMMYFUNCTION("""COMPUTED_VALUE"""),"302988")</f>
        <v>302988</v>
      </c>
      <c r="H456" s="240" t="str">
        <f ca="1">IFERROR(__xludf.DUMMYFUNCTION("""COMPUTED_VALUE"""),"ENS MEDIO PARCIAL")</f>
        <v>ENS MEDIO PARCIAL</v>
      </c>
      <c r="I456" s="242">
        <f ca="1">IFERROR(__xludf.DUMMYFUNCTION("""COMPUTED_VALUE"""),5376)</f>
        <v>5376</v>
      </c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</row>
    <row r="457" spans="1:26" ht="21" customHeight="1">
      <c r="A457" s="240" t="str">
        <f ca="1">IFERROR(__xludf.DUMMYFUNCTION("""COMPUTED_VALUE"""),"Gurupi")</f>
        <v>Gurupi</v>
      </c>
      <c r="B457" s="240" t="str">
        <f ca="1">IFERROR(__xludf.DUMMYFUNCTION("""COMPUTED_VALUE"""),"Formoso do Araguaia")</f>
        <v>Formoso do Araguaia</v>
      </c>
      <c r="C457" s="240" t="str">
        <f ca="1">IFERROR(__xludf.DUMMYFUNCTION("""COMPUTED_VALUE"""),"A.A. ESC. EST. DONA GERCINA BORGES TEIXEIRA")</f>
        <v>A.A. ESC. EST. DONA GERCINA BORGES TEIXEIRA</v>
      </c>
      <c r="D457" s="241" t="str">
        <f ca="1">IFERROR(__xludf.DUMMYFUNCTION("""COMPUTED_VALUE"""),"01268334000103")</f>
        <v>01268334000103</v>
      </c>
      <c r="E457" s="241" t="str">
        <f ca="1">IFERROR(__xludf.DUMMYFUNCTION("""COMPUTED_VALUE"""),"001")</f>
        <v>001</v>
      </c>
      <c r="F457" s="241" t="str">
        <f ca="1">IFERROR(__xludf.DUMMYFUNCTION("""COMPUTED_VALUE"""),"3123")</f>
        <v>3123</v>
      </c>
      <c r="G457" s="240" t="str">
        <f ca="1">IFERROR(__xludf.DUMMYFUNCTION("""COMPUTED_VALUE"""),"302880")</f>
        <v>302880</v>
      </c>
      <c r="H457" s="240" t="str">
        <f ca="1">IFERROR(__xludf.DUMMYFUNCTION("""COMPUTED_VALUE"""),"E.F. PARCIAL")</f>
        <v>E.F. PARCIAL</v>
      </c>
      <c r="I457" s="242">
        <f ca="1">IFERROR(__xludf.DUMMYFUNCTION("""COMPUTED_VALUE"""),8274)</f>
        <v>8274</v>
      </c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</row>
    <row r="458" spans="1:26" ht="21" customHeight="1">
      <c r="A458" s="240" t="str">
        <f ca="1">IFERROR(__xludf.DUMMYFUNCTION("""COMPUTED_VALUE"""),"Gurupi")</f>
        <v>Gurupi</v>
      </c>
      <c r="B458" s="240" t="str">
        <f ca="1">IFERROR(__xludf.DUMMYFUNCTION("""COMPUTED_VALUE"""),"Formoso do Araguaia")</f>
        <v>Formoso do Araguaia</v>
      </c>
      <c r="C458" s="240" t="str">
        <f ca="1">IFERROR(__xludf.DUMMYFUNCTION("""COMPUTED_VALUE"""),"A.A. ESC. EST. DONA GERCINA BORGES TEIXEIRA")</f>
        <v>A.A. ESC. EST. DONA GERCINA BORGES TEIXEIRA</v>
      </c>
      <c r="D458" s="241" t="str">
        <f ca="1">IFERROR(__xludf.DUMMYFUNCTION("""COMPUTED_VALUE"""),"01268334000103")</f>
        <v>01268334000103</v>
      </c>
      <c r="E458" s="241" t="str">
        <f ca="1">IFERROR(__xludf.DUMMYFUNCTION("""COMPUTED_VALUE"""),"001")</f>
        <v>001</v>
      </c>
      <c r="F458" s="241" t="str">
        <f ca="1">IFERROR(__xludf.DUMMYFUNCTION("""COMPUTED_VALUE"""),"3123")</f>
        <v>3123</v>
      </c>
      <c r="G458" s="240" t="str">
        <f ca="1">IFERROR(__xludf.DUMMYFUNCTION("""COMPUTED_VALUE"""),"302880")</f>
        <v>302880</v>
      </c>
      <c r="H458" s="240" t="str">
        <f ca="1">IFERROR(__xludf.DUMMYFUNCTION("""COMPUTED_VALUE"""),"AEE")</f>
        <v>AEE</v>
      </c>
      <c r="I458" s="242">
        <f ca="1">IFERROR(__xludf.DUMMYFUNCTION("""COMPUTED_VALUE"""),630)</f>
        <v>630</v>
      </c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</row>
    <row r="459" spans="1:26" ht="21" customHeight="1">
      <c r="A459" s="240" t="str">
        <f ca="1">IFERROR(__xludf.DUMMYFUNCTION("""COMPUTED_VALUE"""),"Gurupi")</f>
        <v>Gurupi</v>
      </c>
      <c r="B459" s="240" t="str">
        <f ca="1">IFERROR(__xludf.DUMMYFUNCTION("""COMPUTED_VALUE"""),"Formoso do Araguaia")</f>
        <v>Formoso do Araguaia</v>
      </c>
      <c r="C459" s="240" t="str">
        <f ca="1">IFERROR(__xludf.DUMMYFUNCTION("""COMPUTED_VALUE"""),"A.A. ESC. EST. DONA GERCINA BORGES TEIXEIRA")</f>
        <v>A.A. ESC. EST. DONA GERCINA BORGES TEIXEIRA</v>
      </c>
      <c r="D459" s="241" t="str">
        <f ca="1">IFERROR(__xludf.DUMMYFUNCTION("""COMPUTED_VALUE"""),"01268334000103")</f>
        <v>01268334000103</v>
      </c>
      <c r="E459" s="241" t="str">
        <f ca="1">IFERROR(__xludf.DUMMYFUNCTION("""COMPUTED_VALUE"""),"001")</f>
        <v>001</v>
      </c>
      <c r="F459" s="241" t="str">
        <f ca="1">IFERROR(__xludf.DUMMYFUNCTION("""COMPUTED_VALUE"""),"3123")</f>
        <v>3123</v>
      </c>
      <c r="G459" s="240" t="str">
        <f ca="1">IFERROR(__xludf.DUMMYFUNCTION("""COMPUTED_VALUE"""),"302880")</f>
        <v>302880</v>
      </c>
      <c r="H459" s="240" t="str">
        <f ca="1">IFERROR(__xludf.DUMMYFUNCTION("""COMPUTED_VALUE"""),"EJA")</f>
        <v>EJA</v>
      </c>
      <c r="I459" s="242">
        <f ca="1">IFERROR(__xludf.DUMMYFUNCTION("""COMPUTED_VALUE"""),2394)</f>
        <v>2394</v>
      </c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</row>
    <row r="460" spans="1:26" ht="21" customHeight="1">
      <c r="A460" s="240" t="str">
        <f ca="1">IFERROR(__xludf.DUMMYFUNCTION("""COMPUTED_VALUE"""),"Gurupi")</f>
        <v>Gurupi</v>
      </c>
      <c r="B460" s="240" t="str">
        <f ca="1">IFERROR(__xludf.DUMMYFUNCTION("""COMPUTED_VALUE"""),"Formoso do Araguaia")</f>
        <v>Formoso do Araguaia</v>
      </c>
      <c r="C460" s="240" t="str">
        <f ca="1">IFERROR(__xludf.DUMMYFUNCTION("""COMPUTED_VALUE"""),"A.A. ESC ESPECIAL ANJO DA GUARDA")</f>
        <v>A.A. ESC ESPECIAL ANJO DA GUARDA</v>
      </c>
      <c r="D460" s="241" t="str">
        <f ca="1">IFERROR(__xludf.DUMMYFUNCTION("""COMPUTED_VALUE"""),"17617389000111")</f>
        <v>17617389000111</v>
      </c>
      <c r="E460" s="241" t="str">
        <f ca="1">IFERROR(__xludf.DUMMYFUNCTION("""COMPUTED_VALUE"""),"001")</f>
        <v>001</v>
      </c>
      <c r="F460" s="241" t="str">
        <f ca="1">IFERROR(__xludf.DUMMYFUNCTION("""COMPUTED_VALUE"""),"3123")</f>
        <v>3123</v>
      </c>
      <c r="G460" s="240" t="str">
        <f ca="1">IFERROR(__xludf.DUMMYFUNCTION("""COMPUTED_VALUE"""),"168211")</f>
        <v>168211</v>
      </c>
      <c r="H460" s="240" t="str">
        <f ca="1">IFERROR(__xludf.DUMMYFUNCTION("""COMPUTED_VALUE"""),"E.F. PARCIAL")</f>
        <v>E.F. PARCIAL</v>
      </c>
      <c r="I460" s="242">
        <f ca="1">IFERROR(__xludf.DUMMYFUNCTION("""COMPUTED_VALUE"""),588)</f>
        <v>588</v>
      </c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</row>
    <row r="461" spans="1:26" ht="21" customHeight="1">
      <c r="A461" s="240" t="str">
        <f ca="1">IFERROR(__xludf.DUMMYFUNCTION("""COMPUTED_VALUE"""),"Gurupi")</f>
        <v>Gurupi</v>
      </c>
      <c r="B461" s="240" t="str">
        <f ca="1">IFERROR(__xludf.DUMMYFUNCTION("""COMPUTED_VALUE"""),"Formoso do Araguaia")</f>
        <v>Formoso do Araguaia</v>
      </c>
      <c r="C461" s="240" t="str">
        <f ca="1">IFERROR(__xludf.DUMMYFUNCTION("""COMPUTED_VALUE"""),"A.A. ESC ESPECIAL ANJO DA GUARDA")</f>
        <v>A.A. ESC ESPECIAL ANJO DA GUARDA</v>
      </c>
      <c r="D461" s="241" t="str">
        <f ca="1">IFERROR(__xludf.DUMMYFUNCTION("""COMPUTED_VALUE"""),"17617389000111")</f>
        <v>17617389000111</v>
      </c>
      <c r="E461" s="241" t="str">
        <f ca="1">IFERROR(__xludf.DUMMYFUNCTION("""COMPUTED_VALUE"""),"001")</f>
        <v>001</v>
      </c>
      <c r="F461" s="241" t="str">
        <f ca="1">IFERROR(__xludf.DUMMYFUNCTION("""COMPUTED_VALUE"""),"3123")</f>
        <v>3123</v>
      </c>
      <c r="G461" s="240" t="str">
        <f ca="1">IFERROR(__xludf.DUMMYFUNCTION("""COMPUTED_VALUE"""),"168211")</f>
        <v>168211</v>
      </c>
      <c r="H461" s="240" t="str">
        <f ca="1">IFERROR(__xludf.DUMMYFUNCTION("""COMPUTED_VALUE"""),"AEE")</f>
        <v>AEE</v>
      </c>
      <c r="I461" s="242">
        <f ca="1">IFERROR(__xludf.DUMMYFUNCTION("""COMPUTED_VALUE"""),735)</f>
        <v>735</v>
      </c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</row>
    <row r="462" spans="1:26" ht="21" customHeight="1">
      <c r="A462" s="240" t="str">
        <f ca="1">IFERROR(__xludf.DUMMYFUNCTION("""COMPUTED_VALUE"""),"Gurupi")</f>
        <v>Gurupi</v>
      </c>
      <c r="B462" s="240" t="str">
        <f ca="1">IFERROR(__xludf.DUMMYFUNCTION("""COMPUTED_VALUE"""),"Formoso do Araguaia")</f>
        <v>Formoso do Araguaia</v>
      </c>
      <c r="C462" s="240" t="str">
        <f ca="1">IFERROR(__xludf.DUMMYFUNCTION("""COMPUTED_VALUE"""),"A.A. ESC ESPECIAL ANJO DA GUARDA")</f>
        <v>A.A. ESC ESPECIAL ANJO DA GUARDA</v>
      </c>
      <c r="D462" s="241" t="str">
        <f ca="1">IFERROR(__xludf.DUMMYFUNCTION("""COMPUTED_VALUE"""),"17617389000111")</f>
        <v>17617389000111</v>
      </c>
      <c r="E462" s="241" t="str">
        <f ca="1">IFERROR(__xludf.DUMMYFUNCTION("""COMPUTED_VALUE"""),"001")</f>
        <v>001</v>
      </c>
      <c r="F462" s="241" t="str">
        <f ca="1">IFERROR(__xludf.DUMMYFUNCTION("""COMPUTED_VALUE"""),"3123")</f>
        <v>3123</v>
      </c>
      <c r="G462" s="240" t="str">
        <f ca="1">IFERROR(__xludf.DUMMYFUNCTION("""COMPUTED_VALUE"""),"168211")</f>
        <v>168211</v>
      </c>
      <c r="H462" s="240" t="str">
        <f ca="1">IFERROR(__xludf.DUMMYFUNCTION("""COMPUTED_VALUE"""),"EJA")</f>
        <v>EJA</v>
      </c>
      <c r="I462" s="242">
        <f ca="1">IFERROR(__xludf.DUMMYFUNCTION("""COMPUTED_VALUE"""),1029)</f>
        <v>1029</v>
      </c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</row>
    <row r="463" spans="1:26" ht="21" customHeight="1">
      <c r="A463" s="240" t="str">
        <f ca="1">IFERROR(__xludf.DUMMYFUNCTION("""COMPUTED_VALUE"""),"Gurupi")</f>
        <v>Gurupi</v>
      </c>
      <c r="B463" s="240" t="str">
        <f ca="1">IFERROR(__xludf.DUMMYFUNCTION("""COMPUTED_VALUE"""),"Formoso do Araguaia")</f>
        <v>Formoso do Araguaia</v>
      </c>
      <c r="C463" s="240" t="str">
        <f ca="1">IFERROR(__xludf.DUMMYFUNCTION("""COMPUTED_VALUE"""),"ASSOCIAÇÃO DE APOIO DA ESCOLA INDÍGENA TAINÁ DA ALDEIA CANUANA")</f>
        <v>ASSOCIAÇÃO DE APOIO DA ESCOLA INDÍGENA TAINÁ DA ALDEIA CANUANA</v>
      </c>
      <c r="D463" s="241" t="str">
        <f ca="1">IFERROR(__xludf.DUMMYFUNCTION("""COMPUTED_VALUE"""),"27701257000127")</f>
        <v>27701257000127</v>
      </c>
      <c r="E463" s="241" t="str">
        <f ca="1">IFERROR(__xludf.DUMMYFUNCTION("""COMPUTED_VALUE"""),"001")</f>
        <v>001</v>
      </c>
      <c r="F463" s="241" t="str">
        <f ca="1">IFERROR(__xludf.DUMMYFUNCTION("""COMPUTED_VALUE"""),"3123")</f>
        <v>3123</v>
      </c>
      <c r="G463" s="240" t="str">
        <f ca="1">IFERROR(__xludf.DUMMYFUNCTION("""COMPUTED_VALUE"""),"171174")</f>
        <v>171174</v>
      </c>
      <c r="H463" s="240" t="str">
        <f ca="1">IFERROR(__xludf.DUMMYFUNCTION("""COMPUTED_VALUE"""),"INDIGENA PARCIAL")</f>
        <v>INDIGENA PARCIAL</v>
      </c>
      <c r="I463" s="242">
        <f ca="1">IFERROR(__xludf.DUMMYFUNCTION("""COMPUTED_VALUE"""),2751)</f>
        <v>2751</v>
      </c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</row>
    <row r="464" spans="1:26" ht="21" customHeight="1">
      <c r="A464" s="240" t="str">
        <f ca="1">IFERROR(__xludf.DUMMYFUNCTION("""COMPUTED_VALUE"""),"Gurupi")</f>
        <v>Gurupi</v>
      </c>
      <c r="B464" s="240" t="str">
        <f ca="1">IFERROR(__xludf.DUMMYFUNCTION("""COMPUTED_VALUE"""),"Gurupi")</f>
        <v>Gurupi</v>
      </c>
      <c r="C464" s="240" t="str">
        <f ca="1">IFERROR(__xludf.DUMMYFUNCTION("""COMPUTED_VALUE"""),"A.A. ESC. EST. HERCILIA CARVALHO DA SILVA")</f>
        <v>A.A. ESC. EST. HERCILIA CARVALHO DA SILVA</v>
      </c>
      <c r="D464" s="241" t="str">
        <f ca="1">IFERROR(__xludf.DUMMYFUNCTION("""COMPUTED_VALUE"""),"01465790000143")</f>
        <v>01465790000143</v>
      </c>
      <c r="E464" s="241" t="str">
        <f ca="1">IFERROR(__xludf.DUMMYFUNCTION("""COMPUTED_VALUE"""),"001")</f>
        <v>001</v>
      </c>
      <c r="F464" s="241" t="str">
        <f ca="1">IFERROR(__xludf.DUMMYFUNCTION("""COMPUTED_VALUE"""),"0794")</f>
        <v>0794</v>
      </c>
      <c r="G464" s="240" t="str">
        <f ca="1">IFERROR(__xludf.DUMMYFUNCTION("""COMPUTED_VALUE"""),"66834")</f>
        <v>66834</v>
      </c>
      <c r="H464" s="240" t="str">
        <f ca="1">IFERROR(__xludf.DUMMYFUNCTION("""COMPUTED_VALUE"""),"E.F. PARCIAL")</f>
        <v>E.F. PARCIAL</v>
      </c>
      <c r="I464" s="242">
        <f ca="1">IFERROR(__xludf.DUMMYFUNCTION("""COMPUTED_VALUE"""),6615)</f>
        <v>6615</v>
      </c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</row>
    <row r="465" spans="1:26" ht="21" customHeight="1">
      <c r="A465" s="240" t="str">
        <f ca="1">IFERROR(__xludf.DUMMYFUNCTION("""COMPUTED_VALUE"""),"Gurupi")</f>
        <v>Gurupi</v>
      </c>
      <c r="B465" s="240" t="str">
        <f ca="1">IFERROR(__xludf.DUMMYFUNCTION("""COMPUTED_VALUE"""),"Gurupi")</f>
        <v>Gurupi</v>
      </c>
      <c r="C465" s="240" t="str">
        <f ca="1">IFERROR(__xludf.DUMMYFUNCTION("""COMPUTED_VALUE"""),"A.A. ESC. EST. HERCILIA CARVALHO DA SILVA")</f>
        <v>A.A. ESC. EST. HERCILIA CARVALHO DA SILVA</v>
      </c>
      <c r="D465" s="241" t="str">
        <f ca="1">IFERROR(__xludf.DUMMYFUNCTION("""COMPUTED_VALUE"""),"01465790000143")</f>
        <v>01465790000143</v>
      </c>
      <c r="E465" s="241" t="str">
        <f ca="1">IFERROR(__xludf.DUMMYFUNCTION("""COMPUTED_VALUE"""),"001")</f>
        <v>001</v>
      </c>
      <c r="F465" s="241" t="str">
        <f ca="1">IFERROR(__xludf.DUMMYFUNCTION("""COMPUTED_VALUE"""),"0794")</f>
        <v>0794</v>
      </c>
      <c r="G465" s="240" t="str">
        <f ca="1">IFERROR(__xludf.DUMMYFUNCTION("""COMPUTED_VALUE"""),"66834")</f>
        <v>66834</v>
      </c>
      <c r="H465" s="240" t="str">
        <f ca="1">IFERROR(__xludf.DUMMYFUNCTION("""COMPUTED_VALUE"""),"AEE")</f>
        <v>AEE</v>
      </c>
      <c r="I465" s="242">
        <f ca="1">IFERROR(__xludf.DUMMYFUNCTION("""COMPUTED_VALUE"""),420)</f>
        <v>420</v>
      </c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</row>
    <row r="466" spans="1:26" ht="21" customHeight="1">
      <c r="A466" s="240" t="str">
        <f ca="1">IFERROR(__xludf.DUMMYFUNCTION("""COMPUTED_VALUE"""),"Gurupi")</f>
        <v>Gurupi</v>
      </c>
      <c r="B466" s="240" t="str">
        <f ca="1">IFERROR(__xludf.DUMMYFUNCTION("""COMPUTED_VALUE"""),"Gurupi")</f>
        <v>Gurupi</v>
      </c>
      <c r="C466" s="240" t="str">
        <f ca="1">IFERROR(__xludf.DUMMYFUNCTION("""COMPUTED_VALUE"""),"A.A. ESC. EST. HERCILIA CARVALHO DA SILVA")</f>
        <v>A.A. ESC. EST. HERCILIA CARVALHO DA SILVA</v>
      </c>
      <c r="D466" s="241" t="str">
        <f ca="1">IFERROR(__xludf.DUMMYFUNCTION("""COMPUTED_VALUE"""),"01465790000143")</f>
        <v>01465790000143</v>
      </c>
      <c r="E466" s="241" t="str">
        <f ca="1">IFERROR(__xludf.DUMMYFUNCTION("""COMPUTED_VALUE"""),"001")</f>
        <v>001</v>
      </c>
      <c r="F466" s="241" t="str">
        <f ca="1">IFERROR(__xludf.DUMMYFUNCTION("""COMPUTED_VALUE"""),"0794")</f>
        <v>0794</v>
      </c>
      <c r="G466" s="240" t="str">
        <f ca="1">IFERROR(__xludf.DUMMYFUNCTION("""COMPUTED_VALUE"""),"66834")</f>
        <v>66834</v>
      </c>
      <c r="H466" s="240" t="str">
        <f ca="1">IFERROR(__xludf.DUMMYFUNCTION("""COMPUTED_VALUE"""),"ENS MEDIO PARCIAL")</f>
        <v>ENS MEDIO PARCIAL</v>
      </c>
      <c r="I466" s="242">
        <f ca="1">IFERROR(__xludf.DUMMYFUNCTION("""COMPUTED_VALUE"""),4095)</f>
        <v>4095</v>
      </c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</row>
    <row r="467" spans="1:26" ht="21" customHeight="1">
      <c r="A467" s="240" t="str">
        <f ca="1">IFERROR(__xludf.DUMMYFUNCTION("""COMPUTED_VALUE"""),"Gurupi")</f>
        <v>Gurupi</v>
      </c>
      <c r="B467" s="240" t="str">
        <f ca="1">IFERROR(__xludf.DUMMYFUNCTION("""COMPUTED_VALUE"""),"Gurupi")</f>
        <v>Gurupi</v>
      </c>
      <c r="C467" s="240" t="str">
        <f ca="1">IFERROR(__xludf.DUMMYFUNCTION("""COMPUTED_VALUE"""),"A.A.  DO COL. PAROQUIAL BERNARDO SAYAO")</f>
        <v>A.A.  DO COL. PAROQUIAL BERNARDO SAYAO</v>
      </c>
      <c r="D467" s="241" t="str">
        <f ca="1">IFERROR(__xludf.DUMMYFUNCTION("""COMPUTED_VALUE"""),"01865371000107")</f>
        <v>01865371000107</v>
      </c>
      <c r="E467" s="241" t="str">
        <f ca="1">IFERROR(__xludf.DUMMYFUNCTION("""COMPUTED_VALUE"""),"001")</f>
        <v>001</v>
      </c>
      <c r="F467" s="241" t="str">
        <f ca="1">IFERROR(__xludf.DUMMYFUNCTION("""COMPUTED_VALUE"""),"0794")</f>
        <v>0794</v>
      </c>
      <c r="G467" s="240" t="str">
        <f ca="1">IFERROR(__xludf.DUMMYFUNCTION("""COMPUTED_VALUE"""),"66796")</f>
        <v>66796</v>
      </c>
      <c r="H467" s="240" t="str">
        <f ca="1">IFERROR(__xludf.DUMMYFUNCTION("""COMPUTED_VALUE"""),"E.F. PARCIAL")</f>
        <v>E.F. PARCIAL</v>
      </c>
      <c r="I467" s="242">
        <f ca="1">IFERROR(__xludf.DUMMYFUNCTION("""COMPUTED_VALUE"""),10899)</f>
        <v>10899</v>
      </c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</row>
    <row r="468" spans="1:26" ht="21" customHeight="1">
      <c r="A468" s="240" t="str">
        <f ca="1">IFERROR(__xludf.DUMMYFUNCTION("""COMPUTED_VALUE"""),"Gurupi")</f>
        <v>Gurupi</v>
      </c>
      <c r="B468" s="240" t="str">
        <f ca="1">IFERROR(__xludf.DUMMYFUNCTION("""COMPUTED_VALUE"""),"Gurupi")</f>
        <v>Gurupi</v>
      </c>
      <c r="C468" s="240" t="str">
        <f ca="1">IFERROR(__xludf.DUMMYFUNCTION("""COMPUTED_VALUE"""),"A.A.  DO COL. PAROQUIAL BERNARDO SAYAO")</f>
        <v>A.A.  DO COL. PAROQUIAL BERNARDO SAYAO</v>
      </c>
      <c r="D468" s="241" t="str">
        <f ca="1">IFERROR(__xludf.DUMMYFUNCTION("""COMPUTED_VALUE"""),"01865371000107")</f>
        <v>01865371000107</v>
      </c>
      <c r="E468" s="241" t="str">
        <f ca="1">IFERROR(__xludf.DUMMYFUNCTION("""COMPUTED_VALUE"""),"001")</f>
        <v>001</v>
      </c>
      <c r="F468" s="241" t="str">
        <f ca="1">IFERROR(__xludf.DUMMYFUNCTION("""COMPUTED_VALUE"""),"0794")</f>
        <v>0794</v>
      </c>
      <c r="G468" s="240" t="str">
        <f ca="1">IFERROR(__xludf.DUMMYFUNCTION("""COMPUTED_VALUE"""),"66796")</f>
        <v>66796</v>
      </c>
      <c r="H468" s="240" t="str">
        <f ca="1">IFERROR(__xludf.DUMMYFUNCTION("""COMPUTED_VALUE"""),"AEE")</f>
        <v>AEE</v>
      </c>
      <c r="I468" s="242">
        <f ca="1">IFERROR(__xludf.DUMMYFUNCTION("""COMPUTED_VALUE"""),693)</f>
        <v>693</v>
      </c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</row>
    <row r="469" spans="1:26" ht="21" customHeight="1">
      <c r="A469" s="240" t="str">
        <f ca="1">IFERROR(__xludf.DUMMYFUNCTION("""COMPUTED_VALUE"""),"Gurupi")</f>
        <v>Gurupi</v>
      </c>
      <c r="B469" s="240" t="str">
        <f ca="1">IFERROR(__xludf.DUMMYFUNCTION("""COMPUTED_VALUE"""),"Gurupi")</f>
        <v>Gurupi</v>
      </c>
      <c r="C469" s="240" t="str">
        <f ca="1">IFERROR(__xludf.DUMMYFUNCTION("""COMPUTED_VALUE"""),"A.A. ESC. EST. DR. JOAQUIM P. DA COSTA")</f>
        <v>A.A. ESC. EST. DR. JOAQUIM P. DA COSTA</v>
      </c>
      <c r="D469" s="241" t="str">
        <f ca="1">IFERROR(__xludf.DUMMYFUNCTION("""COMPUTED_VALUE"""),"01865386000167")</f>
        <v>01865386000167</v>
      </c>
      <c r="E469" s="241" t="str">
        <f ca="1">IFERROR(__xludf.DUMMYFUNCTION("""COMPUTED_VALUE"""),"001")</f>
        <v>001</v>
      </c>
      <c r="F469" s="241" t="str">
        <f ca="1">IFERROR(__xludf.DUMMYFUNCTION("""COMPUTED_VALUE"""),"0794")</f>
        <v>0794</v>
      </c>
      <c r="G469" s="240" t="str">
        <f ca="1">IFERROR(__xludf.DUMMYFUNCTION("""COMPUTED_VALUE"""),"67288")</f>
        <v>67288</v>
      </c>
      <c r="H469" s="240" t="str">
        <f ca="1">IFERROR(__xludf.DUMMYFUNCTION("""COMPUTED_VALUE"""),"E.F. PARCIAL")</f>
        <v>E.F. PARCIAL</v>
      </c>
      <c r="I469" s="242">
        <f ca="1">IFERROR(__xludf.DUMMYFUNCTION("""COMPUTED_VALUE"""),4536)</f>
        <v>4536</v>
      </c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</row>
    <row r="470" spans="1:26" ht="21" customHeight="1">
      <c r="A470" s="240" t="str">
        <f ca="1">IFERROR(__xludf.DUMMYFUNCTION("""COMPUTED_VALUE"""),"Gurupi")</f>
        <v>Gurupi</v>
      </c>
      <c r="B470" s="240" t="str">
        <f ca="1">IFERROR(__xludf.DUMMYFUNCTION("""COMPUTED_VALUE"""),"Gurupi")</f>
        <v>Gurupi</v>
      </c>
      <c r="C470" s="240" t="str">
        <f ca="1">IFERROR(__xludf.DUMMYFUNCTION("""COMPUTED_VALUE"""),"A.A. ESC. EST. DR. JOAQUIM P. DA COSTA")</f>
        <v>A.A. ESC. EST. DR. JOAQUIM P. DA COSTA</v>
      </c>
      <c r="D470" s="241" t="str">
        <f ca="1">IFERROR(__xludf.DUMMYFUNCTION("""COMPUTED_VALUE"""),"01865386000167")</f>
        <v>01865386000167</v>
      </c>
      <c r="E470" s="241" t="str">
        <f ca="1">IFERROR(__xludf.DUMMYFUNCTION("""COMPUTED_VALUE"""),"001")</f>
        <v>001</v>
      </c>
      <c r="F470" s="241" t="str">
        <f ca="1">IFERROR(__xludf.DUMMYFUNCTION("""COMPUTED_VALUE"""),"0794")</f>
        <v>0794</v>
      </c>
      <c r="G470" s="240" t="str">
        <f ca="1">IFERROR(__xludf.DUMMYFUNCTION("""COMPUTED_VALUE"""),"67288")</f>
        <v>67288</v>
      </c>
      <c r="H470" s="240" t="str">
        <f ca="1">IFERROR(__xludf.DUMMYFUNCTION("""COMPUTED_VALUE"""),"AEE")</f>
        <v>AEE</v>
      </c>
      <c r="I470" s="242">
        <f ca="1">IFERROR(__xludf.DUMMYFUNCTION("""COMPUTED_VALUE"""),651)</f>
        <v>651</v>
      </c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</row>
    <row r="471" spans="1:26" ht="21" customHeight="1">
      <c r="A471" s="240" t="str">
        <f ca="1">IFERROR(__xludf.DUMMYFUNCTION("""COMPUTED_VALUE"""),"Gurupi")</f>
        <v>Gurupi</v>
      </c>
      <c r="B471" s="240" t="str">
        <f ca="1">IFERROR(__xludf.DUMMYFUNCTION("""COMPUTED_VALUE"""),"Gurupi")</f>
        <v>Gurupi</v>
      </c>
      <c r="C471" s="240" t="str">
        <f ca="1">IFERROR(__xludf.DUMMYFUNCTION("""COMPUTED_VALUE"""),"A.A. ESC. EST. DR. JOAQUIM P. DA COSTA")</f>
        <v>A.A. ESC. EST. DR. JOAQUIM P. DA COSTA</v>
      </c>
      <c r="D471" s="241" t="str">
        <f ca="1">IFERROR(__xludf.DUMMYFUNCTION("""COMPUTED_VALUE"""),"01865386000167")</f>
        <v>01865386000167</v>
      </c>
      <c r="E471" s="241" t="str">
        <f ca="1">IFERROR(__xludf.DUMMYFUNCTION("""COMPUTED_VALUE"""),"001")</f>
        <v>001</v>
      </c>
      <c r="F471" s="241" t="str">
        <f ca="1">IFERROR(__xludf.DUMMYFUNCTION("""COMPUTED_VALUE"""),"0794")</f>
        <v>0794</v>
      </c>
      <c r="G471" s="240" t="str">
        <f ca="1">IFERROR(__xludf.DUMMYFUNCTION("""COMPUTED_VALUE"""),"67288")</f>
        <v>67288</v>
      </c>
      <c r="H471" s="240" t="str">
        <f ca="1">IFERROR(__xludf.DUMMYFUNCTION("""COMPUTED_VALUE"""),"ENS MEDIO PARCIAL")</f>
        <v>ENS MEDIO PARCIAL</v>
      </c>
      <c r="I471" s="242">
        <f ca="1">IFERROR(__xludf.DUMMYFUNCTION("""COMPUTED_VALUE"""),14364)</f>
        <v>14364</v>
      </c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</row>
    <row r="472" spans="1:26" ht="21" customHeight="1">
      <c r="A472" s="240" t="str">
        <f ca="1">IFERROR(__xludf.DUMMYFUNCTION("""COMPUTED_VALUE"""),"Gurupi")</f>
        <v>Gurupi</v>
      </c>
      <c r="B472" s="240" t="str">
        <f ca="1">IFERROR(__xludf.DUMMYFUNCTION("""COMPUTED_VALUE"""),"Gurupi")</f>
        <v>Gurupi</v>
      </c>
      <c r="C472" s="240" t="str">
        <f ca="1">IFERROR(__xludf.DUMMYFUNCTION("""COMPUTED_VALUE"""),"A.A. ESC. EST. DR. JOAQUIM P. DA COSTA")</f>
        <v>A.A. ESC. EST. DR. JOAQUIM P. DA COSTA</v>
      </c>
      <c r="D472" s="241" t="str">
        <f ca="1">IFERROR(__xludf.DUMMYFUNCTION("""COMPUTED_VALUE"""),"01865386000167")</f>
        <v>01865386000167</v>
      </c>
      <c r="E472" s="241" t="str">
        <f ca="1">IFERROR(__xludf.DUMMYFUNCTION("""COMPUTED_VALUE"""),"001")</f>
        <v>001</v>
      </c>
      <c r="F472" s="241" t="str">
        <f ca="1">IFERROR(__xludf.DUMMYFUNCTION("""COMPUTED_VALUE"""),"0794")</f>
        <v>0794</v>
      </c>
      <c r="G472" s="240" t="str">
        <f ca="1">IFERROR(__xludf.DUMMYFUNCTION("""COMPUTED_VALUE"""),"67288")</f>
        <v>67288</v>
      </c>
      <c r="H472" s="240" t="str">
        <f ca="1">IFERROR(__xludf.DUMMYFUNCTION("""COMPUTED_VALUE"""),"EJA")</f>
        <v>EJA</v>
      </c>
      <c r="I472" s="242">
        <f ca="1">IFERROR(__xludf.DUMMYFUNCTION("""COMPUTED_VALUE"""),1722)</f>
        <v>1722</v>
      </c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</row>
    <row r="473" spans="1:26" ht="21" customHeight="1">
      <c r="A473" s="240" t="str">
        <f ca="1">IFERROR(__xludf.DUMMYFUNCTION("""COMPUTED_VALUE"""),"Gurupi")</f>
        <v>Gurupi</v>
      </c>
      <c r="B473" s="240" t="str">
        <f ca="1">IFERROR(__xludf.DUMMYFUNCTION("""COMPUTED_VALUE"""),"Gurupi")</f>
        <v>Gurupi</v>
      </c>
      <c r="C473" s="240" t="str">
        <f ca="1">IFERROR(__xludf.DUMMYFUNCTION("""COMPUTED_VALUE"""),"ASSOC. DE APOIO ESC. EST. BOM JESUS")</f>
        <v>ASSOC. DE APOIO ESC. EST. BOM JESUS</v>
      </c>
      <c r="D473" s="241" t="str">
        <f ca="1">IFERROR(__xludf.DUMMYFUNCTION("""COMPUTED_VALUE"""),"01865430000139")</f>
        <v>01865430000139</v>
      </c>
      <c r="E473" s="241" t="str">
        <f ca="1">IFERROR(__xludf.DUMMYFUNCTION("""COMPUTED_VALUE"""),"001")</f>
        <v>001</v>
      </c>
      <c r="F473" s="241" t="str">
        <f ca="1">IFERROR(__xludf.DUMMYFUNCTION("""COMPUTED_VALUE"""),"0794")</f>
        <v>0794</v>
      </c>
      <c r="G473" s="240" t="str">
        <f ca="1">IFERROR(__xludf.DUMMYFUNCTION("""COMPUTED_VALUE"""),"420603")</f>
        <v>420603</v>
      </c>
      <c r="H473" s="240" t="str">
        <f ca="1">IFERROR(__xludf.DUMMYFUNCTION("""COMPUTED_VALUE"""),"AEE")</f>
        <v>AEE</v>
      </c>
      <c r="I473" s="242">
        <f ca="1">IFERROR(__xludf.DUMMYFUNCTION("""COMPUTED_VALUE"""),336)</f>
        <v>336</v>
      </c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</row>
    <row r="474" spans="1:26" ht="21" customHeight="1">
      <c r="A474" s="240" t="str">
        <f ca="1">IFERROR(__xludf.DUMMYFUNCTION("""COMPUTED_VALUE"""),"Gurupi")</f>
        <v>Gurupi</v>
      </c>
      <c r="B474" s="240" t="str">
        <f ca="1">IFERROR(__xludf.DUMMYFUNCTION("""COMPUTED_VALUE"""),"Gurupi")</f>
        <v>Gurupi</v>
      </c>
      <c r="C474" s="240" t="str">
        <f ca="1">IFERROR(__xludf.DUMMYFUNCTION("""COMPUTED_VALUE"""),"A.P.M.AL.MAIORES DE ID.C.POSITIVO GURUPI")</f>
        <v>A.P.M.AL.MAIORES DE ID.C.POSITIVO GURUPI</v>
      </c>
      <c r="D474" s="241" t="str">
        <f ca="1">IFERROR(__xludf.DUMMYFUNCTION("""COMPUTED_VALUE"""),"01865432000128")</f>
        <v>01865432000128</v>
      </c>
      <c r="E474" s="241" t="str">
        <f ca="1">IFERROR(__xludf.DUMMYFUNCTION("""COMPUTED_VALUE"""),"104")</f>
        <v>104</v>
      </c>
      <c r="F474" s="241" t="str">
        <f ca="1">IFERROR(__xludf.DUMMYFUNCTION("""COMPUTED_VALUE"""),"0793")</f>
        <v>0793</v>
      </c>
      <c r="G474" s="240" t="str">
        <f ca="1">IFERROR(__xludf.DUMMYFUNCTION("""COMPUTED_VALUE"""),"12138")</f>
        <v>12138</v>
      </c>
      <c r="H474" s="240" t="str">
        <f ca="1">IFERROR(__xludf.DUMMYFUNCTION("""COMPUTED_VALUE"""),"E.F. PARCIAL")</f>
        <v>E.F. PARCIAL</v>
      </c>
      <c r="I474" s="242">
        <f ca="1">IFERROR(__xludf.DUMMYFUNCTION("""COMPUTED_VALUE"""),9177)</f>
        <v>9177</v>
      </c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</row>
    <row r="475" spans="1:26" ht="21" customHeight="1">
      <c r="A475" s="240" t="str">
        <f ca="1">IFERROR(__xludf.DUMMYFUNCTION("""COMPUTED_VALUE"""),"Gurupi")</f>
        <v>Gurupi</v>
      </c>
      <c r="B475" s="240" t="str">
        <f ca="1">IFERROR(__xludf.DUMMYFUNCTION("""COMPUTED_VALUE"""),"Gurupi")</f>
        <v>Gurupi</v>
      </c>
      <c r="C475" s="240" t="str">
        <f ca="1">IFERROR(__xludf.DUMMYFUNCTION("""COMPUTED_VALUE"""),"ASSOC. DE APOIO COL. EST. DE GURUPI")</f>
        <v>ASSOC. DE APOIO COL. EST. DE GURUPI</v>
      </c>
      <c r="D475" s="241" t="str">
        <f ca="1">IFERROR(__xludf.DUMMYFUNCTION("""COMPUTED_VALUE"""),"01887135000183")</f>
        <v>01887135000183</v>
      </c>
      <c r="E475" s="241" t="str">
        <f ca="1">IFERROR(__xludf.DUMMYFUNCTION("""COMPUTED_VALUE"""),"001")</f>
        <v>001</v>
      </c>
      <c r="F475" s="241" t="str">
        <f ca="1">IFERROR(__xludf.DUMMYFUNCTION("""COMPUTED_VALUE"""),"0794")</f>
        <v>0794</v>
      </c>
      <c r="G475" s="240" t="str">
        <f ca="1">IFERROR(__xludf.DUMMYFUNCTION("""COMPUTED_VALUE"""),"420700")</f>
        <v>420700</v>
      </c>
      <c r="H475" s="240" t="str">
        <f ca="1">IFERROR(__xludf.DUMMYFUNCTION("""COMPUTED_VALUE"""),"AEE")</f>
        <v>AEE</v>
      </c>
      <c r="I475" s="242">
        <f ca="1">IFERROR(__xludf.DUMMYFUNCTION("""COMPUTED_VALUE"""),168)</f>
        <v>168</v>
      </c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</row>
    <row r="476" spans="1:26" ht="21" customHeight="1">
      <c r="A476" s="240" t="str">
        <f ca="1">IFERROR(__xludf.DUMMYFUNCTION("""COMPUTED_VALUE"""),"Gurupi")</f>
        <v>Gurupi</v>
      </c>
      <c r="B476" s="240" t="str">
        <f ca="1">IFERROR(__xludf.DUMMYFUNCTION("""COMPUTED_VALUE"""),"Gurupi")</f>
        <v>Gurupi</v>
      </c>
      <c r="C476" s="240" t="str">
        <f ca="1">IFERROR(__xludf.DUMMYFUNCTION("""COMPUTED_VALUE"""),"A. EDUCACIONAL PRES. COSTA E SILVA")</f>
        <v>A. EDUCACIONAL PRES. COSTA E SILVA</v>
      </c>
      <c r="D476" s="241" t="str">
        <f ca="1">IFERROR(__xludf.DUMMYFUNCTION("""COMPUTED_VALUE"""),"01888719000173")</f>
        <v>01888719000173</v>
      </c>
      <c r="E476" s="241" t="str">
        <f ca="1">IFERROR(__xludf.DUMMYFUNCTION("""COMPUTED_VALUE"""),"001")</f>
        <v>001</v>
      </c>
      <c r="F476" s="241" t="str">
        <f ca="1">IFERROR(__xludf.DUMMYFUNCTION("""COMPUTED_VALUE"""),"0794")</f>
        <v>0794</v>
      </c>
      <c r="G476" s="240" t="str">
        <f ca="1">IFERROR(__xludf.DUMMYFUNCTION("""COMPUTED_VALUE"""),"67490")</f>
        <v>67490</v>
      </c>
      <c r="H476" s="240" t="str">
        <f ca="1">IFERROR(__xludf.DUMMYFUNCTION("""COMPUTED_VALUE"""),"AEE")</f>
        <v>AEE</v>
      </c>
      <c r="I476" s="242">
        <f ca="1">IFERROR(__xludf.DUMMYFUNCTION("""COMPUTED_VALUE"""),588)</f>
        <v>588</v>
      </c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</row>
    <row r="477" spans="1:26" ht="21" customHeight="1">
      <c r="A477" s="240" t="str">
        <f ca="1">IFERROR(__xludf.DUMMYFUNCTION("""COMPUTED_VALUE"""),"Gurupi")</f>
        <v>Gurupi</v>
      </c>
      <c r="B477" s="240" t="str">
        <f ca="1">IFERROR(__xludf.DUMMYFUNCTION("""COMPUTED_VALUE"""),"Gurupi")</f>
        <v>Gurupi</v>
      </c>
      <c r="C477" s="240" t="str">
        <f ca="1">IFERROR(__xludf.DUMMYFUNCTION("""COMPUTED_VALUE"""),"A. DE PAIS E MESTRES/ESC. EST. VILA GUARACY")</f>
        <v>A. DE PAIS E MESTRES/ESC. EST. VILA GUARACY</v>
      </c>
      <c r="D477" s="241" t="str">
        <f ca="1">IFERROR(__xludf.DUMMYFUNCTION("""COMPUTED_VALUE"""),"01918955000195")</f>
        <v>01918955000195</v>
      </c>
      <c r="E477" s="241" t="str">
        <f ca="1">IFERROR(__xludf.DUMMYFUNCTION("""COMPUTED_VALUE"""),"001")</f>
        <v>001</v>
      </c>
      <c r="F477" s="241" t="str">
        <f ca="1">IFERROR(__xludf.DUMMYFUNCTION("""COMPUTED_VALUE"""),"0794")</f>
        <v>0794</v>
      </c>
      <c r="G477" s="240" t="str">
        <f ca="1">IFERROR(__xludf.DUMMYFUNCTION("""COMPUTED_VALUE"""),"67008")</f>
        <v>67008</v>
      </c>
      <c r="H477" s="240" t="str">
        <f ca="1">IFERROR(__xludf.DUMMYFUNCTION("""COMPUTED_VALUE"""),"E.F. PARCIAL")</f>
        <v>E.F. PARCIAL</v>
      </c>
      <c r="I477" s="242">
        <f ca="1">IFERROR(__xludf.DUMMYFUNCTION("""COMPUTED_VALUE"""),3780)</f>
        <v>3780</v>
      </c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</row>
    <row r="478" spans="1:26" ht="21" customHeight="1">
      <c r="A478" s="240" t="str">
        <f ca="1">IFERROR(__xludf.DUMMYFUNCTION("""COMPUTED_VALUE"""),"Gurupi")</f>
        <v>Gurupi</v>
      </c>
      <c r="B478" s="240" t="str">
        <f ca="1">IFERROR(__xludf.DUMMYFUNCTION("""COMPUTED_VALUE"""),"Gurupi")</f>
        <v>Gurupi</v>
      </c>
      <c r="C478" s="240" t="str">
        <f ca="1">IFERROR(__xludf.DUMMYFUNCTION("""COMPUTED_VALUE"""),"A. DE PAIS E MESTRES/ESC. EST. VILA GUARACY")</f>
        <v>A. DE PAIS E MESTRES/ESC. EST. VILA GUARACY</v>
      </c>
      <c r="D478" s="241" t="str">
        <f ca="1">IFERROR(__xludf.DUMMYFUNCTION("""COMPUTED_VALUE"""),"01918955000195")</f>
        <v>01918955000195</v>
      </c>
      <c r="E478" s="241" t="str">
        <f ca="1">IFERROR(__xludf.DUMMYFUNCTION("""COMPUTED_VALUE"""),"001")</f>
        <v>001</v>
      </c>
      <c r="F478" s="241" t="str">
        <f ca="1">IFERROR(__xludf.DUMMYFUNCTION("""COMPUTED_VALUE"""),"0794")</f>
        <v>0794</v>
      </c>
      <c r="G478" s="240" t="str">
        <f ca="1">IFERROR(__xludf.DUMMYFUNCTION("""COMPUTED_VALUE"""),"67008")</f>
        <v>67008</v>
      </c>
      <c r="H478" s="240" t="str">
        <f ca="1">IFERROR(__xludf.DUMMYFUNCTION("""COMPUTED_VALUE"""),"AEE")</f>
        <v>AEE</v>
      </c>
      <c r="I478" s="242">
        <f ca="1">IFERROR(__xludf.DUMMYFUNCTION("""COMPUTED_VALUE"""),315)</f>
        <v>315</v>
      </c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</row>
    <row r="479" spans="1:26" ht="21" customHeight="1">
      <c r="A479" s="240" t="str">
        <f ca="1">IFERROR(__xludf.DUMMYFUNCTION("""COMPUTED_VALUE"""),"Gurupi")</f>
        <v>Gurupi</v>
      </c>
      <c r="B479" s="240" t="str">
        <f ca="1">IFERROR(__xludf.DUMMYFUNCTION("""COMPUTED_VALUE"""),"Gurupi")</f>
        <v>Gurupi</v>
      </c>
      <c r="C479" s="240" t="str">
        <f ca="1">IFERROR(__xludf.DUMMYFUNCTION("""COMPUTED_VALUE"""),"A.A. ESCOLAR DA ESC. EST. DR.WALDIR LINS")</f>
        <v>A.A. ESCOLAR DA ESC. EST. DR.WALDIR LINS</v>
      </c>
      <c r="D479" s="241" t="str">
        <f ca="1">IFERROR(__xludf.DUMMYFUNCTION("""COMPUTED_VALUE"""),"01936535000131")</f>
        <v>01936535000131</v>
      </c>
      <c r="E479" s="241" t="str">
        <f ca="1">IFERROR(__xludf.DUMMYFUNCTION("""COMPUTED_VALUE"""),"001")</f>
        <v>001</v>
      </c>
      <c r="F479" s="241" t="str">
        <f ca="1">IFERROR(__xludf.DUMMYFUNCTION("""COMPUTED_VALUE"""),"0794")</f>
        <v>0794</v>
      </c>
      <c r="G479" s="240" t="str">
        <f ca="1">IFERROR(__xludf.DUMMYFUNCTION("""COMPUTED_VALUE"""),"66966")</f>
        <v>66966</v>
      </c>
      <c r="H479" s="240" t="str">
        <f ca="1">IFERROR(__xludf.DUMMYFUNCTION("""COMPUTED_VALUE"""),"E.F. PARCIAL")</f>
        <v>E.F. PARCIAL</v>
      </c>
      <c r="I479" s="242">
        <f ca="1">IFERROR(__xludf.DUMMYFUNCTION("""COMPUTED_VALUE"""),126)</f>
        <v>126</v>
      </c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</row>
    <row r="480" spans="1:26" ht="21" customHeight="1">
      <c r="A480" s="240" t="str">
        <f ca="1">IFERROR(__xludf.DUMMYFUNCTION("""COMPUTED_VALUE"""),"Gurupi")</f>
        <v>Gurupi</v>
      </c>
      <c r="B480" s="240" t="str">
        <f ca="1">IFERROR(__xludf.DUMMYFUNCTION("""COMPUTED_VALUE"""),"Gurupi")</f>
        <v>Gurupi</v>
      </c>
      <c r="C480" s="240" t="str">
        <f ca="1">IFERROR(__xludf.DUMMYFUNCTION("""COMPUTED_VALUE"""),"A.A. ESCOLAR DA ESC. EST. DR.WALDIR LINS")</f>
        <v>A.A. ESCOLAR DA ESC. EST. DR.WALDIR LINS</v>
      </c>
      <c r="D480" s="241" t="str">
        <f ca="1">IFERROR(__xludf.DUMMYFUNCTION("""COMPUTED_VALUE"""),"01936535000131")</f>
        <v>01936535000131</v>
      </c>
      <c r="E480" s="241" t="str">
        <f ca="1">IFERROR(__xludf.DUMMYFUNCTION("""COMPUTED_VALUE"""),"001")</f>
        <v>001</v>
      </c>
      <c r="F480" s="241" t="str">
        <f ca="1">IFERROR(__xludf.DUMMYFUNCTION("""COMPUTED_VALUE"""),"0794")</f>
        <v>0794</v>
      </c>
      <c r="G480" s="240" t="str">
        <f ca="1">IFERROR(__xludf.DUMMYFUNCTION("""COMPUTED_VALUE"""),"66966")</f>
        <v>66966</v>
      </c>
      <c r="H480" s="240" t="str">
        <f ca="1">IFERROR(__xludf.DUMMYFUNCTION("""COMPUTED_VALUE"""),"AEE")</f>
        <v>AEE</v>
      </c>
      <c r="I480" s="242">
        <f ca="1">IFERROR(__xludf.DUMMYFUNCTION("""COMPUTED_VALUE"""),252)</f>
        <v>252</v>
      </c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</row>
    <row r="481" spans="1:26" ht="21" customHeight="1">
      <c r="A481" s="240" t="str">
        <f ca="1">IFERROR(__xludf.DUMMYFUNCTION("""COMPUTED_VALUE"""),"Gurupi")</f>
        <v>Gurupi</v>
      </c>
      <c r="B481" s="240" t="str">
        <f ca="1">IFERROR(__xludf.DUMMYFUNCTION("""COMPUTED_VALUE"""),"Gurupi")</f>
        <v>Gurupi</v>
      </c>
      <c r="C481" s="240" t="str">
        <f ca="1">IFERROR(__xludf.DUMMYFUNCTION("""COMPUTED_VALUE"""),"A.A. ESCOLAR DA ESC. EST. DR.WALDIR LINS")</f>
        <v>A.A. ESCOLAR DA ESC. EST. DR.WALDIR LINS</v>
      </c>
      <c r="D481" s="241" t="str">
        <f ca="1">IFERROR(__xludf.DUMMYFUNCTION("""COMPUTED_VALUE"""),"01936535000131")</f>
        <v>01936535000131</v>
      </c>
      <c r="E481" s="241" t="str">
        <f ca="1">IFERROR(__xludf.DUMMYFUNCTION("""COMPUTED_VALUE"""),"001")</f>
        <v>001</v>
      </c>
      <c r="F481" s="241" t="str">
        <f ca="1">IFERROR(__xludf.DUMMYFUNCTION("""COMPUTED_VALUE"""),"0794")</f>
        <v>0794</v>
      </c>
      <c r="G481" s="240" t="str">
        <f ca="1">IFERROR(__xludf.DUMMYFUNCTION("""COMPUTED_VALUE"""),"66966")</f>
        <v>66966</v>
      </c>
      <c r="H481" s="240" t="str">
        <f ca="1">IFERROR(__xludf.DUMMYFUNCTION("""COMPUTED_VALUE"""),"ENS MEDIO PARCIAL")</f>
        <v>ENS MEDIO PARCIAL</v>
      </c>
      <c r="I481" s="242">
        <f ca="1">IFERROR(__xludf.DUMMYFUNCTION("""COMPUTED_VALUE"""),2646)</f>
        <v>2646</v>
      </c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</row>
    <row r="482" spans="1:26" ht="21" customHeight="1">
      <c r="A482" s="240" t="str">
        <f ca="1">IFERROR(__xludf.DUMMYFUNCTION("""COMPUTED_VALUE"""),"Gurupi")</f>
        <v>Gurupi</v>
      </c>
      <c r="B482" s="240" t="str">
        <f ca="1">IFERROR(__xludf.DUMMYFUNCTION("""COMPUTED_VALUE"""),"Gurupi")</f>
        <v>Gurupi</v>
      </c>
      <c r="C482" s="240" t="str">
        <f ca="1">IFERROR(__xludf.DUMMYFUNCTION("""COMPUTED_VALUE"""),"ASSOC. A. CENTRO DE ENS. MÉDIO ARY R. VALADÃO FILHO")</f>
        <v>ASSOC. A. CENTRO DE ENS. MÉDIO ARY R. VALADÃO FILHO</v>
      </c>
      <c r="D482" s="241" t="str">
        <f ca="1">IFERROR(__xludf.DUMMYFUNCTION("""COMPUTED_VALUE"""),"02152392000130")</f>
        <v>02152392000130</v>
      </c>
      <c r="E482" s="241" t="str">
        <f ca="1">IFERROR(__xludf.DUMMYFUNCTION("""COMPUTED_VALUE"""),"001")</f>
        <v>001</v>
      </c>
      <c r="F482" s="241" t="str">
        <f ca="1">IFERROR(__xludf.DUMMYFUNCTION("""COMPUTED_VALUE"""),"0794")</f>
        <v>0794</v>
      </c>
      <c r="G482" s="240" t="str">
        <f ca="1">IFERROR(__xludf.DUMMYFUNCTION("""COMPUTED_VALUE"""),"420646")</f>
        <v>420646</v>
      </c>
      <c r="H482" s="240" t="str">
        <f ca="1">IFERROR(__xludf.DUMMYFUNCTION("""COMPUTED_VALUE"""),"AEE")</f>
        <v>AEE</v>
      </c>
      <c r="I482" s="242">
        <f ca="1">IFERROR(__xludf.DUMMYFUNCTION("""COMPUTED_VALUE"""),630)</f>
        <v>630</v>
      </c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</row>
    <row r="483" spans="1:26" ht="21" customHeight="1">
      <c r="A483" s="240" t="str">
        <f ca="1">IFERROR(__xludf.DUMMYFUNCTION("""COMPUTED_VALUE"""),"Gurupi")</f>
        <v>Gurupi</v>
      </c>
      <c r="B483" s="240" t="str">
        <f ca="1">IFERROR(__xludf.DUMMYFUNCTION("""COMPUTED_VALUE"""),"Gurupi")</f>
        <v>Gurupi</v>
      </c>
      <c r="C483" s="240" t="str">
        <f ca="1">IFERROR(__xludf.DUMMYFUNCTION("""COMPUTED_VALUE"""),"ASSOC. A. CENTRO DE ENS. MÉDIO ARY R. VALADÃO FILHO")</f>
        <v>ASSOC. A. CENTRO DE ENS. MÉDIO ARY R. VALADÃO FILHO</v>
      </c>
      <c r="D483" s="241" t="str">
        <f ca="1">IFERROR(__xludf.DUMMYFUNCTION("""COMPUTED_VALUE"""),"02152392000130")</f>
        <v>02152392000130</v>
      </c>
      <c r="E483" s="241" t="str">
        <f ca="1">IFERROR(__xludf.DUMMYFUNCTION("""COMPUTED_VALUE"""),"001")</f>
        <v>001</v>
      </c>
      <c r="F483" s="241" t="str">
        <f ca="1">IFERROR(__xludf.DUMMYFUNCTION("""COMPUTED_VALUE"""),"0794")</f>
        <v>0794</v>
      </c>
      <c r="G483" s="240" t="str">
        <f ca="1">IFERROR(__xludf.DUMMYFUNCTION("""COMPUTED_VALUE"""),"420646")</f>
        <v>420646</v>
      </c>
      <c r="H483" s="240" t="str">
        <f ca="1">IFERROR(__xludf.DUMMYFUNCTION("""COMPUTED_VALUE"""),"ENS MEDIO PARCIAL")</f>
        <v>ENS MEDIO PARCIAL</v>
      </c>
      <c r="I483" s="242">
        <f ca="1">IFERROR(__xludf.DUMMYFUNCTION("""COMPUTED_VALUE"""),16779)</f>
        <v>16779</v>
      </c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</row>
    <row r="484" spans="1:26" ht="21" customHeight="1">
      <c r="A484" s="240" t="str">
        <f ca="1">IFERROR(__xludf.DUMMYFUNCTION("""COMPUTED_VALUE"""),"Gurupi")</f>
        <v>Gurupi</v>
      </c>
      <c r="B484" s="240" t="str">
        <f ca="1">IFERROR(__xludf.DUMMYFUNCTION("""COMPUTED_VALUE"""),"Gurupi")</f>
        <v>Gurupi</v>
      </c>
      <c r="C484" s="240" t="str">
        <f ca="1">IFERROR(__xludf.DUMMYFUNCTION("""COMPUTED_VALUE"""),"A.A. ESC. EST.ISOL.E IND.REG.DE GURUPI")</f>
        <v>A.A. ESC. EST.ISOL.E IND.REG.DE GURUPI</v>
      </c>
      <c r="D484" s="241" t="str">
        <f ca="1">IFERROR(__xludf.DUMMYFUNCTION("""COMPUTED_VALUE"""),"03011592000135")</f>
        <v>03011592000135</v>
      </c>
      <c r="E484" s="241" t="str">
        <f ca="1">IFERROR(__xludf.DUMMYFUNCTION("""COMPUTED_VALUE"""),"001")</f>
        <v>001</v>
      </c>
      <c r="F484" s="241" t="str">
        <f ca="1">IFERROR(__xludf.DUMMYFUNCTION("""COMPUTED_VALUE"""),"0794")</f>
        <v>0794</v>
      </c>
      <c r="G484" s="240" t="str">
        <f ca="1">IFERROR(__xludf.DUMMYFUNCTION("""COMPUTED_VALUE"""),"67563")</f>
        <v>67563</v>
      </c>
      <c r="H484" s="240" t="str">
        <f ca="1">IFERROR(__xludf.DUMMYFUNCTION("""COMPUTED_VALUE"""),"INDIGENA PARCIAL")</f>
        <v>INDIGENA PARCIAL</v>
      </c>
      <c r="I484" s="242">
        <f ca="1">IFERROR(__xludf.DUMMYFUNCTION("""COMPUTED_VALUE"""),10521)</f>
        <v>10521</v>
      </c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</row>
    <row r="485" spans="1:26" ht="21" customHeight="1">
      <c r="A485" s="240" t="str">
        <f ca="1">IFERROR(__xludf.DUMMYFUNCTION("""COMPUTED_VALUE"""),"Gurupi")</f>
        <v>Gurupi</v>
      </c>
      <c r="B485" s="240" t="str">
        <f ca="1">IFERROR(__xludf.DUMMYFUNCTION("""COMPUTED_VALUE"""),"Gurupi")</f>
        <v>Gurupi</v>
      </c>
      <c r="C485" s="240" t="str">
        <f ca="1">IFERROR(__xludf.DUMMYFUNCTION("""COMPUTED_VALUE"""),"A.A. DO INSTITUTO PRESBITERIANO ARAGUAIA")</f>
        <v>A.A. DO INSTITUTO PRESBITERIANO ARAGUAIA</v>
      </c>
      <c r="D485" s="241" t="str">
        <f ca="1">IFERROR(__xludf.DUMMYFUNCTION("""COMPUTED_VALUE"""),"03060918000114")</f>
        <v>03060918000114</v>
      </c>
      <c r="E485" s="241" t="str">
        <f ca="1">IFERROR(__xludf.DUMMYFUNCTION("""COMPUTED_VALUE"""),"104")</f>
        <v>104</v>
      </c>
      <c r="F485" s="241" t="str">
        <f ca="1">IFERROR(__xludf.DUMMYFUNCTION("""COMPUTED_VALUE"""),"0793")</f>
        <v>0793</v>
      </c>
      <c r="G485" s="240" t="str">
        <f ca="1">IFERROR(__xludf.DUMMYFUNCTION("""COMPUTED_VALUE"""),"12090")</f>
        <v>12090</v>
      </c>
      <c r="H485" s="240" t="str">
        <f ca="1">IFERROR(__xludf.DUMMYFUNCTION("""COMPUTED_VALUE"""),"E.F. PARCIAL")</f>
        <v>E.F. PARCIAL</v>
      </c>
      <c r="I485" s="242">
        <f ca="1">IFERROR(__xludf.DUMMYFUNCTION("""COMPUTED_VALUE"""),13293)</f>
        <v>13293</v>
      </c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</row>
    <row r="486" spans="1:26" ht="21" customHeight="1">
      <c r="A486" s="240" t="str">
        <f ca="1">IFERROR(__xludf.DUMMYFUNCTION("""COMPUTED_VALUE"""),"Gurupi")</f>
        <v>Gurupi</v>
      </c>
      <c r="B486" s="240" t="str">
        <f ca="1">IFERROR(__xludf.DUMMYFUNCTION("""COMPUTED_VALUE"""),"Gurupi")</f>
        <v>Gurupi</v>
      </c>
      <c r="C486" s="240" t="str">
        <f ca="1">IFERROR(__xludf.DUMMYFUNCTION("""COMPUTED_VALUE"""),"A.A. DO INSTITUTO PRESBITERIANO ARAGUAIA")</f>
        <v>A.A. DO INSTITUTO PRESBITERIANO ARAGUAIA</v>
      </c>
      <c r="D486" s="241" t="str">
        <f ca="1">IFERROR(__xludf.DUMMYFUNCTION("""COMPUTED_VALUE"""),"03060918000114")</f>
        <v>03060918000114</v>
      </c>
      <c r="E486" s="241" t="str">
        <f ca="1">IFERROR(__xludf.DUMMYFUNCTION("""COMPUTED_VALUE"""),"104")</f>
        <v>104</v>
      </c>
      <c r="F486" s="241" t="str">
        <f ca="1">IFERROR(__xludf.DUMMYFUNCTION("""COMPUTED_VALUE"""),"0793")</f>
        <v>0793</v>
      </c>
      <c r="G486" s="240" t="str">
        <f ca="1">IFERROR(__xludf.DUMMYFUNCTION("""COMPUTED_VALUE"""),"12090")</f>
        <v>12090</v>
      </c>
      <c r="H486" s="240" t="str">
        <f ca="1">IFERROR(__xludf.DUMMYFUNCTION("""COMPUTED_VALUE"""),"AEE")</f>
        <v>AEE</v>
      </c>
      <c r="I486" s="242">
        <f ca="1">IFERROR(__xludf.DUMMYFUNCTION("""COMPUTED_VALUE"""),567)</f>
        <v>567</v>
      </c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</row>
    <row r="487" spans="1:26" ht="21" customHeight="1">
      <c r="A487" s="240" t="str">
        <f ca="1">IFERROR(__xludf.DUMMYFUNCTION("""COMPUTED_VALUE"""),"Gurupi")</f>
        <v>Gurupi</v>
      </c>
      <c r="B487" s="240" t="str">
        <f ca="1">IFERROR(__xludf.DUMMYFUNCTION("""COMPUTED_VALUE"""),"Gurupi")</f>
        <v>Gurupi</v>
      </c>
      <c r="C487" s="240" t="str">
        <f ca="1">IFERROR(__xludf.DUMMYFUNCTION("""COMPUTED_VALUE"""),"A.A. DO INSTITUTO PRESBITERIANO ARAGUAIA")</f>
        <v>A.A. DO INSTITUTO PRESBITERIANO ARAGUAIA</v>
      </c>
      <c r="D487" s="241" t="str">
        <f ca="1">IFERROR(__xludf.DUMMYFUNCTION("""COMPUTED_VALUE"""),"03060918000114")</f>
        <v>03060918000114</v>
      </c>
      <c r="E487" s="241" t="str">
        <f ca="1">IFERROR(__xludf.DUMMYFUNCTION("""COMPUTED_VALUE"""),"104")</f>
        <v>104</v>
      </c>
      <c r="F487" s="241" t="str">
        <f ca="1">IFERROR(__xludf.DUMMYFUNCTION("""COMPUTED_VALUE"""),"0793")</f>
        <v>0793</v>
      </c>
      <c r="G487" s="240" t="str">
        <f ca="1">IFERROR(__xludf.DUMMYFUNCTION("""COMPUTED_VALUE"""),"12090")</f>
        <v>12090</v>
      </c>
      <c r="H487" s="240" t="str">
        <f ca="1">IFERROR(__xludf.DUMMYFUNCTION("""COMPUTED_VALUE"""),"ENS MEDIO PARCIAL")</f>
        <v>ENS MEDIO PARCIAL</v>
      </c>
      <c r="I487" s="242">
        <f ca="1">IFERROR(__xludf.DUMMYFUNCTION("""COMPUTED_VALUE"""),9660)</f>
        <v>9660</v>
      </c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</row>
    <row r="488" spans="1:26" ht="21" customHeight="1">
      <c r="A488" s="240" t="str">
        <f ca="1">IFERROR(__xludf.DUMMYFUNCTION("""COMPUTED_VALUE"""),"Gurupi")</f>
        <v>Gurupi</v>
      </c>
      <c r="B488" s="240" t="str">
        <f ca="1">IFERROR(__xludf.DUMMYFUNCTION("""COMPUTED_VALUE"""),"Gurupi")</f>
        <v>Gurupi</v>
      </c>
      <c r="C488" s="240" t="str">
        <f ca="1">IFERROR(__xludf.DUMMYFUNCTION("""COMPUTED_VALUE"""),"A.A. DO INSTITUTO PRESBITERIANO EDUCACIONAL")</f>
        <v>A.A. DO INSTITUTO PRESBITERIANO EDUCACIONAL</v>
      </c>
      <c r="D488" s="241" t="str">
        <f ca="1">IFERROR(__xludf.DUMMYFUNCTION("""COMPUTED_VALUE"""),"07217559000117")</f>
        <v>07217559000117</v>
      </c>
      <c r="E488" s="241" t="str">
        <f ca="1">IFERROR(__xludf.DUMMYFUNCTION("""COMPUTED_VALUE"""),"104")</f>
        <v>104</v>
      </c>
      <c r="F488" s="241" t="str">
        <f ca="1">IFERROR(__xludf.DUMMYFUNCTION("""COMPUTED_VALUE"""),"0793")</f>
        <v>0793</v>
      </c>
      <c r="G488" s="240" t="str">
        <f ca="1">IFERROR(__xludf.DUMMYFUNCTION("""COMPUTED_VALUE"""),"2663")</f>
        <v>2663</v>
      </c>
      <c r="H488" s="240" t="str">
        <f ca="1">IFERROR(__xludf.DUMMYFUNCTION("""COMPUTED_VALUE"""),"E.F. PARCIAL")</f>
        <v>E.F. PARCIAL</v>
      </c>
      <c r="I488" s="242">
        <f ca="1">IFERROR(__xludf.DUMMYFUNCTION("""COMPUTED_VALUE"""),5523)</f>
        <v>5523</v>
      </c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</row>
    <row r="489" spans="1:26" ht="21" customHeight="1">
      <c r="A489" s="240" t="str">
        <f ca="1">IFERROR(__xludf.DUMMYFUNCTION("""COMPUTED_VALUE"""),"Gurupi")</f>
        <v>Gurupi</v>
      </c>
      <c r="B489" s="240" t="str">
        <f ca="1">IFERROR(__xludf.DUMMYFUNCTION("""COMPUTED_VALUE"""),"Gurupi")</f>
        <v>Gurupi</v>
      </c>
      <c r="C489" s="240" t="str">
        <f ca="1">IFERROR(__xludf.DUMMYFUNCTION("""COMPUTED_VALUE"""),"ASSOCIAÇÃO DE APOIO A ESCOLA ESPECIAL SÃO FRANCISCO DE ASSIS")</f>
        <v>ASSOCIAÇÃO DE APOIO A ESCOLA ESPECIAL SÃO FRANCISCO DE ASSIS</v>
      </c>
      <c r="D489" s="241" t="str">
        <f ca="1">IFERROR(__xludf.DUMMYFUNCTION("""COMPUTED_VALUE"""),"07947356000186")</f>
        <v>07947356000186</v>
      </c>
      <c r="E489" s="241" t="str">
        <f ca="1">IFERROR(__xludf.DUMMYFUNCTION("""COMPUTED_VALUE"""),"001")</f>
        <v>001</v>
      </c>
      <c r="F489" s="241" t="str">
        <f ca="1">IFERROR(__xludf.DUMMYFUNCTION("""COMPUTED_VALUE"""),"0794")</f>
        <v>0794</v>
      </c>
      <c r="G489" s="240" t="str">
        <f ca="1">IFERROR(__xludf.DUMMYFUNCTION("""COMPUTED_VALUE"""),"431109")</f>
        <v>431109</v>
      </c>
      <c r="H489" s="240" t="str">
        <f ca="1">IFERROR(__xludf.DUMMYFUNCTION("""COMPUTED_VALUE"""),"PRÉ-ESCOLA")</f>
        <v>PRÉ-ESCOLA</v>
      </c>
      <c r="I489" s="242">
        <f ca="1">IFERROR(__xludf.DUMMYFUNCTION("""COMPUTED_VALUE"""),420)</f>
        <v>420</v>
      </c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</row>
    <row r="490" spans="1:26" ht="21" customHeight="1">
      <c r="A490" s="240" t="str">
        <f ca="1">IFERROR(__xludf.DUMMYFUNCTION("""COMPUTED_VALUE"""),"Gurupi")</f>
        <v>Gurupi</v>
      </c>
      <c r="B490" s="240" t="str">
        <f ca="1">IFERROR(__xludf.DUMMYFUNCTION("""COMPUTED_VALUE"""),"Gurupi")</f>
        <v>Gurupi</v>
      </c>
      <c r="C490" s="240" t="str">
        <f ca="1">IFERROR(__xludf.DUMMYFUNCTION("""COMPUTED_VALUE"""),"ASSOCIAÇÃO DE APOIO A ESCOLA ESPECIAL SÃO FRANCISCO DE ASSIS")</f>
        <v>ASSOCIAÇÃO DE APOIO A ESCOLA ESPECIAL SÃO FRANCISCO DE ASSIS</v>
      </c>
      <c r="D490" s="241" t="str">
        <f ca="1">IFERROR(__xludf.DUMMYFUNCTION("""COMPUTED_VALUE"""),"07947356000186")</f>
        <v>07947356000186</v>
      </c>
      <c r="E490" s="241" t="str">
        <f ca="1">IFERROR(__xludf.DUMMYFUNCTION("""COMPUTED_VALUE"""),"001")</f>
        <v>001</v>
      </c>
      <c r="F490" s="241" t="str">
        <f ca="1">IFERROR(__xludf.DUMMYFUNCTION("""COMPUTED_VALUE"""),"0794")</f>
        <v>0794</v>
      </c>
      <c r="G490" s="240" t="str">
        <f ca="1">IFERROR(__xludf.DUMMYFUNCTION("""COMPUTED_VALUE"""),"431109")</f>
        <v>431109</v>
      </c>
      <c r="H490" s="240" t="str">
        <f ca="1">IFERROR(__xludf.DUMMYFUNCTION("""COMPUTED_VALUE"""),"E.F. PARCIAL")</f>
        <v>E.F. PARCIAL</v>
      </c>
      <c r="I490" s="242">
        <f ca="1">IFERROR(__xludf.DUMMYFUNCTION("""COMPUTED_VALUE"""),462)</f>
        <v>462</v>
      </c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</row>
    <row r="491" spans="1:26" ht="21" customHeight="1">
      <c r="A491" s="240" t="str">
        <f ca="1">IFERROR(__xludf.DUMMYFUNCTION("""COMPUTED_VALUE"""),"Gurupi")</f>
        <v>Gurupi</v>
      </c>
      <c r="B491" s="240" t="str">
        <f ca="1">IFERROR(__xludf.DUMMYFUNCTION("""COMPUTED_VALUE"""),"Gurupi")</f>
        <v>Gurupi</v>
      </c>
      <c r="C491" s="240" t="str">
        <f ca="1">IFERROR(__xludf.DUMMYFUNCTION("""COMPUTED_VALUE"""),"ASSOCIAÇÃO DE APOIO A ESCOLA ESPECIAL SÃO FRANCISCO DE ASSIS")</f>
        <v>ASSOCIAÇÃO DE APOIO A ESCOLA ESPECIAL SÃO FRANCISCO DE ASSIS</v>
      </c>
      <c r="D491" s="241" t="str">
        <f ca="1">IFERROR(__xludf.DUMMYFUNCTION("""COMPUTED_VALUE"""),"07947356000186")</f>
        <v>07947356000186</v>
      </c>
      <c r="E491" s="241" t="str">
        <f ca="1">IFERROR(__xludf.DUMMYFUNCTION("""COMPUTED_VALUE"""),"001")</f>
        <v>001</v>
      </c>
      <c r="F491" s="241" t="str">
        <f ca="1">IFERROR(__xludf.DUMMYFUNCTION("""COMPUTED_VALUE"""),"0794")</f>
        <v>0794</v>
      </c>
      <c r="G491" s="240" t="str">
        <f ca="1">IFERROR(__xludf.DUMMYFUNCTION("""COMPUTED_VALUE"""),"431109")</f>
        <v>431109</v>
      </c>
      <c r="H491" s="240" t="str">
        <f ca="1">IFERROR(__xludf.DUMMYFUNCTION("""COMPUTED_VALUE"""),"AEE")</f>
        <v>AEE</v>
      </c>
      <c r="I491" s="242">
        <f ca="1">IFERROR(__xludf.DUMMYFUNCTION("""COMPUTED_VALUE"""),378)</f>
        <v>378</v>
      </c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</row>
    <row r="492" spans="1:26" ht="21" customHeight="1">
      <c r="A492" s="240" t="str">
        <f ca="1">IFERROR(__xludf.DUMMYFUNCTION("""COMPUTED_VALUE"""),"Gurupi")</f>
        <v>Gurupi</v>
      </c>
      <c r="B492" s="240" t="str">
        <f ca="1">IFERROR(__xludf.DUMMYFUNCTION("""COMPUTED_VALUE"""),"Gurupi")</f>
        <v>Gurupi</v>
      </c>
      <c r="C492" s="240" t="str">
        <f ca="1">IFERROR(__xludf.DUMMYFUNCTION("""COMPUTED_VALUE"""),"ASSOCIAÇÃO DE APOIO A ESCOLA ESPECIAL SÃO FRANCISCO DE ASSIS")</f>
        <v>ASSOCIAÇÃO DE APOIO A ESCOLA ESPECIAL SÃO FRANCISCO DE ASSIS</v>
      </c>
      <c r="D492" s="241" t="str">
        <f ca="1">IFERROR(__xludf.DUMMYFUNCTION("""COMPUTED_VALUE"""),"07947356000186")</f>
        <v>07947356000186</v>
      </c>
      <c r="E492" s="241" t="str">
        <f ca="1">IFERROR(__xludf.DUMMYFUNCTION("""COMPUTED_VALUE"""),"001")</f>
        <v>001</v>
      </c>
      <c r="F492" s="241" t="str">
        <f ca="1">IFERROR(__xludf.DUMMYFUNCTION("""COMPUTED_VALUE"""),"0794")</f>
        <v>0794</v>
      </c>
      <c r="G492" s="240" t="str">
        <f ca="1">IFERROR(__xludf.DUMMYFUNCTION("""COMPUTED_VALUE"""),"431109")</f>
        <v>431109</v>
      </c>
      <c r="H492" s="240" t="str">
        <f ca="1">IFERROR(__xludf.DUMMYFUNCTION("""COMPUTED_VALUE"""),"EJA")</f>
        <v>EJA</v>
      </c>
      <c r="I492" s="242">
        <f ca="1">IFERROR(__xludf.DUMMYFUNCTION("""COMPUTED_VALUE"""),2352)</f>
        <v>2352</v>
      </c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</row>
    <row r="493" spans="1:26" ht="21" customHeight="1">
      <c r="A493" s="240" t="str">
        <f ca="1">IFERROR(__xludf.DUMMYFUNCTION("""COMPUTED_VALUE"""),"Gurupi")</f>
        <v>Gurupi</v>
      </c>
      <c r="B493" s="240" t="str">
        <f ca="1">IFERROR(__xludf.DUMMYFUNCTION("""COMPUTED_VALUE"""),"Gurupi")</f>
        <v>Gurupi</v>
      </c>
      <c r="C493" s="240" t="str">
        <f ca="1">IFERROR(__xludf.DUMMYFUNCTION("""COMPUTED_VALUE"""),"ASSOC APOIO INSTITUTO EDUCACIONAL PASSO A PASSO")</f>
        <v>ASSOC APOIO INSTITUTO EDUCACIONAL PASSO A PASSO</v>
      </c>
      <c r="D493" s="241" t="str">
        <f ca="1">IFERROR(__xludf.DUMMYFUNCTION("""COMPUTED_VALUE"""),"10450172000110")</f>
        <v>10450172000110</v>
      </c>
      <c r="E493" s="241" t="str">
        <f ca="1">IFERROR(__xludf.DUMMYFUNCTION("""COMPUTED_VALUE"""),"001")</f>
        <v>001</v>
      </c>
      <c r="F493" s="241" t="str">
        <f ca="1">IFERROR(__xludf.DUMMYFUNCTION("""COMPUTED_VALUE"""),"0794")</f>
        <v>0794</v>
      </c>
      <c r="G493" s="240" t="str">
        <f ca="1">IFERROR(__xludf.DUMMYFUNCTION("""COMPUTED_VALUE"""),"414263")</f>
        <v>414263</v>
      </c>
      <c r="H493" s="240" t="str">
        <f ca="1">IFERROR(__xludf.DUMMYFUNCTION("""COMPUTED_VALUE"""),"E.F. PARCIAL")</f>
        <v>E.F. PARCIAL</v>
      </c>
      <c r="I493" s="242">
        <f ca="1">IFERROR(__xludf.DUMMYFUNCTION("""COMPUTED_VALUE"""),8946)</f>
        <v>8946</v>
      </c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</row>
    <row r="494" spans="1:26" ht="21" customHeight="1">
      <c r="A494" s="240" t="str">
        <f ca="1">IFERROR(__xludf.DUMMYFUNCTION("""COMPUTED_VALUE"""),"Gurupi")</f>
        <v>Gurupi</v>
      </c>
      <c r="B494" s="240" t="str">
        <f ca="1">IFERROR(__xludf.DUMMYFUNCTION("""COMPUTED_VALUE"""),"Gurupi")</f>
        <v>Gurupi</v>
      </c>
      <c r="C494" s="240" t="str">
        <f ca="1">IFERROR(__xludf.DUMMYFUNCTION("""COMPUTED_VALUE"""),"INSTITUTO SOCIAL EVANG DE GURUPI/EDUC. EVANG. EBENÉZER")</f>
        <v>INSTITUTO SOCIAL EVANG DE GURUPI/EDUC. EVANG. EBENÉZER</v>
      </c>
      <c r="D494" s="241" t="str">
        <f ca="1">IFERROR(__xludf.DUMMYFUNCTION("""COMPUTED_VALUE"""),"17194297000176")</f>
        <v>17194297000176</v>
      </c>
      <c r="E494" s="241" t="str">
        <f ca="1">IFERROR(__xludf.DUMMYFUNCTION("""COMPUTED_VALUE"""),"001")</f>
        <v>001</v>
      </c>
      <c r="F494" s="241" t="str">
        <f ca="1">IFERROR(__xludf.DUMMYFUNCTION("""COMPUTED_VALUE"""),"0794")</f>
        <v>0794</v>
      </c>
      <c r="G494" s="240" t="str">
        <f ca="1">IFERROR(__xludf.DUMMYFUNCTION("""COMPUTED_VALUE"""),"493066")</f>
        <v>493066</v>
      </c>
      <c r="H494" s="240" t="str">
        <f ca="1">IFERROR(__xludf.DUMMYFUNCTION("""COMPUTED_VALUE"""),"E.F. PARCIAL")</f>
        <v>E.F. PARCIAL</v>
      </c>
      <c r="I494" s="242">
        <f ca="1">IFERROR(__xludf.DUMMYFUNCTION("""COMPUTED_VALUE"""),15750)</f>
        <v>15750</v>
      </c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</row>
    <row r="495" spans="1:26" ht="21" customHeight="1">
      <c r="A495" s="240" t="str">
        <f ca="1">IFERROR(__xludf.DUMMYFUNCTION("""COMPUTED_VALUE"""),"Gurupi")</f>
        <v>Gurupi</v>
      </c>
      <c r="B495" s="240" t="str">
        <f ca="1">IFERROR(__xludf.DUMMYFUNCTION("""COMPUTED_VALUE"""),"Gurupi")</f>
        <v>Gurupi</v>
      </c>
      <c r="C495" s="240" t="str">
        <f ca="1">IFERROR(__xludf.DUMMYFUNCTION("""COMPUTED_VALUE"""),"A.A. DA ESCOLA ESTADUAL RUI BARBOSA")</f>
        <v>A.A. DA ESCOLA ESTADUAL RUI BARBOSA</v>
      </c>
      <c r="D495" s="241" t="str">
        <f ca="1">IFERROR(__xludf.DUMMYFUNCTION("""COMPUTED_VALUE"""),"43753475000161")</f>
        <v>43753475000161</v>
      </c>
      <c r="E495" s="241" t="str">
        <f ca="1">IFERROR(__xludf.DUMMYFUNCTION("""COMPUTED_VALUE"""),"001")</f>
        <v>001</v>
      </c>
      <c r="F495" s="241" t="str">
        <f ca="1">IFERROR(__xludf.DUMMYFUNCTION("""COMPUTED_VALUE"""),"0794")</f>
        <v>0794</v>
      </c>
      <c r="G495" s="240" t="str">
        <f ca="1">IFERROR(__xludf.DUMMYFUNCTION("""COMPUTED_VALUE"""),"682969")</f>
        <v>682969</v>
      </c>
      <c r="H495" s="240" t="str">
        <f ca="1">IFERROR(__xludf.DUMMYFUNCTION("""COMPUTED_VALUE"""),"EJA")</f>
        <v>EJA</v>
      </c>
      <c r="I495" s="242">
        <f ca="1">IFERROR(__xludf.DUMMYFUNCTION("""COMPUTED_VALUE"""),5187)</f>
        <v>5187</v>
      </c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</row>
    <row r="496" spans="1:26" ht="21" customHeight="1">
      <c r="A496" s="240" t="str">
        <f ca="1">IFERROR(__xludf.DUMMYFUNCTION("""COMPUTED_VALUE"""),"Gurupi")</f>
        <v>Gurupi</v>
      </c>
      <c r="B496" s="240" t="str">
        <f ca="1">IFERROR(__xludf.DUMMYFUNCTION("""COMPUTED_VALUE"""),"Jau do Tocantins")</f>
        <v>Jau do Tocantins</v>
      </c>
      <c r="C496" s="240" t="str">
        <f ca="1">IFERROR(__xludf.DUMMYFUNCTION("""COMPUTED_VALUE"""),"AAEC PEDRO LUIZ BONFIM/ADELÁIDE FRANCISCO SOARES")</f>
        <v>AAEC PEDRO LUIZ BONFIM/ADELÁIDE FRANCISCO SOARES</v>
      </c>
      <c r="D496" s="241" t="str">
        <f ca="1">IFERROR(__xludf.DUMMYFUNCTION("""COMPUTED_VALUE"""),"02080228000164")</f>
        <v>02080228000164</v>
      </c>
      <c r="E496" s="241" t="str">
        <f ca="1">IFERROR(__xludf.DUMMYFUNCTION("""COMPUTED_VALUE"""),"001")</f>
        <v>001</v>
      </c>
      <c r="F496" s="241" t="str">
        <f ca="1">IFERROR(__xludf.DUMMYFUNCTION("""COMPUTED_VALUE"""),"0794")</f>
        <v>0794</v>
      </c>
      <c r="G496" s="240" t="str">
        <f ca="1">IFERROR(__xludf.DUMMYFUNCTION("""COMPUTED_VALUE"""),"420743")</f>
        <v>420743</v>
      </c>
      <c r="H496" s="240" t="str">
        <f ca="1">IFERROR(__xludf.DUMMYFUNCTION("""COMPUTED_VALUE"""),"ENS MEDIO PARCIAL")</f>
        <v>ENS MEDIO PARCIAL</v>
      </c>
      <c r="I496" s="242">
        <f ca="1">IFERROR(__xludf.DUMMYFUNCTION("""COMPUTED_VALUE"""),2982)</f>
        <v>2982</v>
      </c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</row>
    <row r="497" spans="1:26" ht="21" customHeight="1">
      <c r="A497" s="240" t="str">
        <f ca="1">IFERROR(__xludf.DUMMYFUNCTION("""COMPUTED_VALUE"""),"Gurupi")</f>
        <v>Gurupi</v>
      </c>
      <c r="B497" s="240" t="str">
        <f ca="1">IFERROR(__xludf.DUMMYFUNCTION("""COMPUTED_VALUE"""),"Palmeiropolis")</f>
        <v>Palmeiropolis</v>
      </c>
      <c r="C497" s="240" t="str">
        <f ca="1">IFERROR(__xludf.DUMMYFUNCTION("""COMPUTED_VALUE"""),"A. A.DO COLEGIO EST. DE PALMEIROPOLIS (COLÉGIO MILITAR)")</f>
        <v>A. A.DO COLEGIO EST. DE PALMEIROPOLIS (COLÉGIO MILITAR)</v>
      </c>
      <c r="D497" s="241" t="str">
        <f ca="1">IFERROR(__xludf.DUMMYFUNCTION("""COMPUTED_VALUE"""),"01210496000190")</f>
        <v>01210496000190</v>
      </c>
      <c r="E497" s="241" t="str">
        <f ca="1">IFERROR(__xludf.DUMMYFUNCTION("""COMPUTED_VALUE"""),"001")</f>
        <v>001</v>
      </c>
      <c r="F497" s="241" t="str">
        <f ca="1">IFERROR(__xludf.DUMMYFUNCTION("""COMPUTED_VALUE"""),"1303")</f>
        <v>1303</v>
      </c>
      <c r="G497" s="240" t="str">
        <f ca="1">IFERROR(__xludf.DUMMYFUNCTION("""COMPUTED_VALUE"""),"97438")</f>
        <v>97438</v>
      </c>
      <c r="H497" s="240" t="str">
        <f ca="1">IFERROR(__xludf.DUMMYFUNCTION("""COMPUTED_VALUE"""),"E.F. PARCIAL")</f>
        <v>E.F. PARCIAL</v>
      </c>
      <c r="I497" s="242">
        <f ca="1">IFERROR(__xludf.DUMMYFUNCTION("""COMPUTED_VALUE"""),4914)</f>
        <v>4914</v>
      </c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</row>
    <row r="498" spans="1:26" ht="21" customHeight="1">
      <c r="A498" s="240" t="str">
        <f ca="1">IFERROR(__xludf.DUMMYFUNCTION("""COMPUTED_VALUE"""),"Gurupi")</f>
        <v>Gurupi</v>
      </c>
      <c r="B498" s="240" t="str">
        <f ca="1">IFERROR(__xludf.DUMMYFUNCTION("""COMPUTED_VALUE"""),"Palmeiropolis")</f>
        <v>Palmeiropolis</v>
      </c>
      <c r="C498" s="240" t="str">
        <f ca="1">IFERROR(__xludf.DUMMYFUNCTION("""COMPUTED_VALUE"""),"A. A.DO COLEGIO EST. DE PALMEIROPOLIS (COLÉGIO MILITAR)")</f>
        <v>A. A.DO COLEGIO EST. DE PALMEIROPOLIS (COLÉGIO MILITAR)</v>
      </c>
      <c r="D498" s="241" t="str">
        <f ca="1">IFERROR(__xludf.DUMMYFUNCTION("""COMPUTED_VALUE"""),"01210496000190")</f>
        <v>01210496000190</v>
      </c>
      <c r="E498" s="241" t="str">
        <f ca="1">IFERROR(__xludf.DUMMYFUNCTION("""COMPUTED_VALUE"""),"001")</f>
        <v>001</v>
      </c>
      <c r="F498" s="241" t="str">
        <f ca="1">IFERROR(__xludf.DUMMYFUNCTION("""COMPUTED_VALUE"""),"1303")</f>
        <v>1303</v>
      </c>
      <c r="G498" s="240" t="str">
        <f ca="1">IFERROR(__xludf.DUMMYFUNCTION("""COMPUTED_VALUE"""),"97438")</f>
        <v>97438</v>
      </c>
      <c r="H498" s="240" t="str">
        <f ca="1">IFERROR(__xludf.DUMMYFUNCTION("""COMPUTED_VALUE"""),"AEE")</f>
        <v>AEE</v>
      </c>
      <c r="I498" s="242">
        <f ca="1">IFERROR(__xludf.DUMMYFUNCTION("""COMPUTED_VALUE"""),294)</f>
        <v>294</v>
      </c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</row>
    <row r="499" spans="1:26" ht="21" customHeight="1">
      <c r="A499" s="240" t="str">
        <f ca="1">IFERROR(__xludf.DUMMYFUNCTION("""COMPUTED_VALUE"""),"Gurupi")</f>
        <v>Gurupi</v>
      </c>
      <c r="B499" s="240" t="str">
        <f ca="1">IFERROR(__xludf.DUMMYFUNCTION("""COMPUTED_VALUE"""),"Palmeiropolis")</f>
        <v>Palmeiropolis</v>
      </c>
      <c r="C499" s="240" t="str">
        <f ca="1">IFERROR(__xludf.DUMMYFUNCTION("""COMPUTED_VALUE"""),"A. A.DO COLEGIO EST. DE PALMEIROPOLIS (COLÉGIO MILITAR)")</f>
        <v>A. A.DO COLEGIO EST. DE PALMEIROPOLIS (COLÉGIO MILITAR)</v>
      </c>
      <c r="D499" s="241" t="str">
        <f ca="1">IFERROR(__xludf.DUMMYFUNCTION("""COMPUTED_VALUE"""),"01210496000190")</f>
        <v>01210496000190</v>
      </c>
      <c r="E499" s="241" t="str">
        <f ca="1">IFERROR(__xludf.DUMMYFUNCTION("""COMPUTED_VALUE"""),"001")</f>
        <v>001</v>
      </c>
      <c r="F499" s="241" t="str">
        <f ca="1">IFERROR(__xludf.DUMMYFUNCTION("""COMPUTED_VALUE"""),"1303")</f>
        <v>1303</v>
      </c>
      <c r="G499" s="240" t="str">
        <f ca="1">IFERROR(__xludf.DUMMYFUNCTION("""COMPUTED_VALUE"""),"97438")</f>
        <v>97438</v>
      </c>
      <c r="H499" s="240" t="str">
        <f ca="1">IFERROR(__xludf.DUMMYFUNCTION("""COMPUTED_VALUE"""),"ENS MEDIO PARCIAL")</f>
        <v>ENS MEDIO PARCIAL</v>
      </c>
      <c r="I499" s="242">
        <f ca="1">IFERROR(__xludf.DUMMYFUNCTION("""COMPUTED_VALUE"""),3507)</f>
        <v>3507</v>
      </c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</row>
    <row r="500" spans="1:26" ht="21" customHeight="1">
      <c r="A500" s="240" t="str">
        <f ca="1">IFERROR(__xludf.DUMMYFUNCTION("""COMPUTED_VALUE"""),"Gurupi")</f>
        <v>Gurupi</v>
      </c>
      <c r="B500" s="240" t="str">
        <f ca="1">IFERROR(__xludf.DUMMYFUNCTION("""COMPUTED_VALUE"""),"Palmeiropolis")</f>
        <v>Palmeiropolis</v>
      </c>
      <c r="C500" s="240" t="str">
        <f ca="1">IFERROR(__xludf.DUMMYFUNCTION("""COMPUTED_VALUE"""),"A.A. ESCOLA ESTADUAL PROFESSORA ONEIDES")</f>
        <v>A.A. ESCOLA ESTADUAL PROFESSORA ONEIDES</v>
      </c>
      <c r="D500" s="241" t="str">
        <f ca="1">IFERROR(__xludf.DUMMYFUNCTION("""COMPUTED_VALUE"""),"01262903000103")</f>
        <v>01262903000103</v>
      </c>
      <c r="E500" s="241" t="str">
        <f ca="1">IFERROR(__xludf.DUMMYFUNCTION("""COMPUTED_VALUE"""),"001")</f>
        <v>001</v>
      </c>
      <c r="F500" s="241" t="str">
        <f ca="1">IFERROR(__xludf.DUMMYFUNCTION("""COMPUTED_VALUE"""),"4608")</f>
        <v>4608</v>
      </c>
      <c r="G500" s="240" t="str">
        <f ca="1">IFERROR(__xludf.DUMMYFUNCTION("""COMPUTED_VALUE"""),"79758")</f>
        <v>79758</v>
      </c>
      <c r="H500" s="240" t="str">
        <f ca="1">IFERROR(__xludf.DUMMYFUNCTION("""COMPUTED_VALUE"""),"E.F. PARCIAL")</f>
        <v>E.F. PARCIAL</v>
      </c>
      <c r="I500" s="242">
        <f ca="1">IFERROR(__xludf.DUMMYFUNCTION("""COMPUTED_VALUE"""),4725)</f>
        <v>4725</v>
      </c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</row>
    <row r="501" spans="1:26" ht="21" customHeight="1">
      <c r="A501" s="240" t="str">
        <f ca="1">IFERROR(__xludf.DUMMYFUNCTION("""COMPUTED_VALUE"""),"Gurupi")</f>
        <v>Gurupi</v>
      </c>
      <c r="B501" s="240" t="str">
        <f ca="1">IFERROR(__xludf.DUMMYFUNCTION("""COMPUTED_VALUE"""),"Palmeiropolis")</f>
        <v>Palmeiropolis</v>
      </c>
      <c r="C501" s="240" t="str">
        <f ca="1">IFERROR(__xludf.DUMMYFUNCTION("""COMPUTED_VALUE"""),"A.A. ESCOLA ESTADUAL PROFESSORA ONEIDES")</f>
        <v>A.A. ESCOLA ESTADUAL PROFESSORA ONEIDES</v>
      </c>
      <c r="D501" s="241" t="str">
        <f ca="1">IFERROR(__xludf.DUMMYFUNCTION("""COMPUTED_VALUE"""),"01262903000103")</f>
        <v>01262903000103</v>
      </c>
      <c r="E501" s="241" t="str">
        <f ca="1">IFERROR(__xludf.DUMMYFUNCTION("""COMPUTED_VALUE"""),"001")</f>
        <v>001</v>
      </c>
      <c r="F501" s="241" t="str">
        <f ca="1">IFERROR(__xludf.DUMMYFUNCTION("""COMPUTED_VALUE"""),"4608")</f>
        <v>4608</v>
      </c>
      <c r="G501" s="240" t="str">
        <f ca="1">IFERROR(__xludf.DUMMYFUNCTION("""COMPUTED_VALUE"""),"79758")</f>
        <v>79758</v>
      </c>
      <c r="H501" s="240" t="str">
        <f ca="1">IFERROR(__xludf.DUMMYFUNCTION("""COMPUTED_VALUE"""),"AEE")</f>
        <v>AEE</v>
      </c>
      <c r="I501" s="242">
        <f ca="1">IFERROR(__xludf.DUMMYFUNCTION("""COMPUTED_VALUE"""),504)</f>
        <v>504</v>
      </c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</row>
    <row r="502" spans="1:26" ht="21" customHeight="1">
      <c r="A502" s="240" t="str">
        <f ca="1">IFERROR(__xludf.DUMMYFUNCTION("""COMPUTED_VALUE"""),"Gurupi")</f>
        <v>Gurupi</v>
      </c>
      <c r="B502" s="240" t="str">
        <f ca="1">IFERROR(__xludf.DUMMYFUNCTION("""COMPUTED_VALUE"""),"Palmeiropolis")</f>
        <v>Palmeiropolis</v>
      </c>
      <c r="C502" s="240" t="str">
        <f ca="1">IFERROR(__xludf.DUMMYFUNCTION("""COMPUTED_VALUE"""),"A.A. ESCOLA ESTADUAL PROFESSORA ONEIDES")</f>
        <v>A.A. ESCOLA ESTADUAL PROFESSORA ONEIDES</v>
      </c>
      <c r="D502" s="241" t="str">
        <f ca="1">IFERROR(__xludf.DUMMYFUNCTION("""COMPUTED_VALUE"""),"01262903000103")</f>
        <v>01262903000103</v>
      </c>
      <c r="E502" s="241" t="str">
        <f ca="1">IFERROR(__xludf.DUMMYFUNCTION("""COMPUTED_VALUE"""),"001")</f>
        <v>001</v>
      </c>
      <c r="F502" s="241" t="str">
        <f ca="1">IFERROR(__xludf.DUMMYFUNCTION("""COMPUTED_VALUE"""),"4608")</f>
        <v>4608</v>
      </c>
      <c r="G502" s="240" t="str">
        <f ca="1">IFERROR(__xludf.DUMMYFUNCTION("""COMPUTED_VALUE"""),"79758")</f>
        <v>79758</v>
      </c>
      <c r="H502" s="240" t="str">
        <f ca="1">IFERROR(__xludf.DUMMYFUNCTION("""COMPUTED_VALUE"""),"ENS MEDIO PARCIAL")</f>
        <v>ENS MEDIO PARCIAL</v>
      </c>
      <c r="I502" s="242">
        <f ca="1">IFERROR(__xludf.DUMMYFUNCTION("""COMPUTED_VALUE"""),3423)</f>
        <v>3423</v>
      </c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</row>
    <row r="503" spans="1:26" ht="21" customHeight="1">
      <c r="A503" s="240" t="str">
        <f ca="1">IFERROR(__xludf.DUMMYFUNCTION("""COMPUTED_VALUE"""),"Gurupi")</f>
        <v>Gurupi</v>
      </c>
      <c r="B503" s="240" t="str">
        <f ca="1">IFERROR(__xludf.DUMMYFUNCTION("""COMPUTED_VALUE"""),"Palmeiropolis")</f>
        <v>Palmeiropolis</v>
      </c>
      <c r="C503" s="240" t="str">
        <f ca="1">IFERROR(__xludf.DUMMYFUNCTION("""COMPUTED_VALUE"""),"A.A. ESCOLA ESTADUAL PROFESSORA ONEIDES")</f>
        <v>A.A. ESCOLA ESTADUAL PROFESSORA ONEIDES</v>
      </c>
      <c r="D503" s="241" t="str">
        <f ca="1">IFERROR(__xludf.DUMMYFUNCTION("""COMPUTED_VALUE"""),"01262903000103")</f>
        <v>01262903000103</v>
      </c>
      <c r="E503" s="241" t="str">
        <f ca="1">IFERROR(__xludf.DUMMYFUNCTION("""COMPUTED_VALUE"""),"001")</f>
        <v>001</v>
      </c>
      <c r="F503" s="241" t="str">
        <f ca="1">IFERROR(__xludf.DUMMYFUNCTION("""COMPUTED_VALUE"""),"4608")</f>
        <v>4608</v>
      </c>
      <c r="G503" s="240" t="str">
        <f ca="1">IFERROR(__xludf.DUMMYFUNCTION("""COMPUTED_VALUE"""),"79758")</f>
        <v>79758</v>
      </c>
      <c r="H503" s="240" t="str">
        <f ca="1">IFERROR(__xludf.DUMMYFUNCTION("""COMPUTED_VALUE"""),"EJA")</f>
        <v>EJA</v>
      </c>
      <c r="I503" s="242">
        <f ca="1">IFERROR(__xludf.DUMMYFUNCTION("""COMPUTED_VALUE"""),294)</f>
        <v>294</v>
      </c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</row>
    <row r="504" spans="1:26" ht="21" customHeight="1">
      <c r="A504" s="240" t="str">
        <f ca="1">IFERROR(__xludf.DUMMYFUNCTION("""COMPUTED_VALUE"""),"Gurupi")</f>
        <v>Gurupi</v>
      </c>
      <c r="B504" s="240" t="str">
        <f ca="1">IFERROR(__xludf.DUMMYFUNCTION("""COMPUTED_VALUE"""),"Peixe")</f>
        <v>Peixe</v>
      </c>
      <c r="C504" s="240" t="str">
        <f ca="1">IFERROR(__xludf.DUMMYFUNCTION("""COMPUTED_VALUE"""),"A.A. AO COLEGIO ESTADUAL D. ALANO")</f>
        <v>A.A. AO COLEGIO ESTADUAL D. ALANO</v>
      </c>
      <c r="D504" s="241" t="str">
        <f ca="1">IFERROR(__xludf.DUMMYFUNCTION("""COMPUTED_VALUE"""),"01133705000140")</f>
        <v>01133705000140</v>
      </c>
      <c r="E504" s="241" t="str">
        <f ca="1">IFERROR(__xludf.DUMMYFUNCTION("""COMPUTED_VALUE"""),"001")</f>
        <v>001</v>
      </c>
      <c r="F504" s="241" t="str">
        <f ca="1">IFERROR(__xludf.DUMMYFUNCTION("""COMPUTED_VALUE"""),"3979")</f>
        <v>3979</v>
      </c>
      <c r="G504" s="240" t="str">
        <f ca="1">IFERROR(__xludf.DUMMYFUNCTION("""COMPUTED_VALUE"""),"53155")</f>
        <v>53155</v>
      </c>
      <c r="H504" s="240" t="str">
        <f ca="1">IFERROR(__xludf.DUMMYFUNCTION("""COMPUTED_VALUE"""),"ENS MEDIO PARCIAL")</f>
        <v>ENS MEDIO PARCIAL</v>
      </c>
      <c r="I504" s="242">
        <f ca="1">IFERROR(__xludf.DUMMYFUNCTION("""COMPUTED_VALUE"""),5565)</f>
        <v>5565</v>
      </c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</row>
    <row r="505" spans="1:26" ht="21" customHeight="1">
      <c r="A505" s="240" t="str">
        <f ca="1">IFERROR(__xludf.DUMMYFUNCTION("""COMPUTED_VALUE"""),"Gurupi")</f>
        <v>Gurupi</v>
      </c>
      <c r="B505" s="240" t="str">
        <f ca="1">IFERROR(__xludf.DUMMYFUNCTION("""COMPUTED_VALUE"""),"Peixe")</f>
        <v>Peixe</v>
      </c>
      <c r="C505" s="240" t="str">
        <f ca="1">IFERROR(__xludf.DUMMYFUNCTION("""COMPUTED_VALUE"""),"A.A. AO COLEGIO ESTADUAL D. ALANO")</f>
        <v>A.A. AO COLEGIO ESTADUAL D. ALANO</v>
      </c>
      <c r="D505" s="241" t="str">
        <f ca="1">IFERROR(__xludf.DUMMYFUNCTION("""COMPUTED_VALUE"""),"01133705000140")</f>
        <v>01133705000140</v>
      </c>
      <c r="E505" s="241" t="str">
        <f ca="1">IFERROR(__xludf.DUMMYFUNCTION("""COMPUTED_VALUE"""),"001")</f>
        <v>001</v>
      </c>
      <c r="F505" s="241" t="str">
        <f ca="1">IFERROR(__xludf.DUMMYFUNCTION("""COMPUTED_VALUE"""),"3979")</f>
        <v>3979</v>
      </c>
      <c r="G505" s="240" t="str">
        <f ca="1">IFERROR(__xludf.DUMMYFUNCTION("""COMPUTED_VALUE"""),"53155")</f>
        <v>53155</v>
      </c>
      <c r="H505" s="240" t="str">
        <f ca="1">IFERROR(__xludf.DUMMYFUNCTION("""COMPUTED_VALUE"""),"EJA")</f>
        <v>EJA</v>
      </c>
      <c r="I505" s="242">
        <f ca="1">IFERROR(__xludf.DUMMYFUNCTION("""COMPUTED_VALUE"""),966)</f>
        <v>966</v>
      </c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</row>
    <row r="506" spans="1:26" ht="21" customHeight="1">
      <c r="A506" s="240" t="str">
        <f ca="1">IFERROR(__xludf.DUMMYFUNCTION("""COMPUTED_VALUE"""),"Gurupi")</f>
        <v>Gurupi</v>
      </c>
      <c r="B506" s="240" t="str">
        <f ca="1">IFERROR(__xludf.DUMMYFUNCTION("""COMPUTED_VALUE"""),"Peixe")</f>
        <v>Peixe</v>
      </c>
      <c r="C506" s="240" t="str">
        <f ca="1">IFERROR(__xludf.DUMMYFUNCTION("""COMPUTED_VALUE"""),"A.A.  ESC. EST.TANCREDO DE ALMEIDA NEVES")</f>
        <v>A.A.  ESC. EST.TANCREDO DE ALMEIDA NEVES</v>
      </c>
      <c r="D506" s="241" t="str">
        <f ca="1">IFERROR(__xludf.DUMMYFUNCTION("""COMPUTED_VALUE"""),"01136008000142")</f>
        <v>01136008000142</v>
      </c>
      <c r="E506" s="241" t="str">
        <f ca="1">IFERROR(__xludf.DUMMYFUNCTION("""COMPUTED_VALUE"""),"001")</f>
        <v>001</v>
      </c>
      <c r="F506" s="241" t="str">
        <f ca="1">IFERROR(__xludf.DUMMYFUNCTION("""COMPUTED_VALUE"""),"3979")</f>
        <v>3979</v>
      </c>
      <c r="G506" s="240" t="str">
        <f ca="1">IFERROR(__xludf.DUMMYFUNCTION("""COMPUTED_VALUE"""),"52914")</f>
        <v>52914</v>
      </c>
      <c r="H506" s="240" t="str">
        <f ca="1">IFERROR(__xludf.DUMMYFUNCTION("""COMPUTED_VALUE"""),"E.F. PARCIAL")</f>
        <v>E.F. PARCIAL</v>
      </c>
      <c r="I506" s="242">
        <f ca="1">IFERROR(__xludf.DUMMYFUNCTION("""COMPUTED_VALUE"""),7791)</f>
        <v>7791</v>
      </c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</row>
    <row r="507" spans="1:26" ht="21" customHeight="1">
      <c r="A507" s="240" t="str">
        <f ca="1">IFERROR(__xludf.DUMMYFUNCTION("""COMPUTED_VALUE"""),"Gurupi")</f>
        <v>Gurupi</v>
      </c>
      <c r="B507" s="240" t="str">
        <f ca="1">IFERROR(__xludf.DUMMYFUNCTION("""COMPUTED_VALUE"""),"Sandolandia")</f>
        <v>Sandolandia</v>
      </c>
      <c r="C507" s="240" t="str">
        <f ca="1">IFERROR(__xludf.DUMMYFUNCTION("""COMPUTED_VALUE"""),"ASS. DE APOIO ESC. EST.PE.JOSE DE ANCHIETA")</f>
        <v>ASS. DE APOIO ESC. EST.PE.JOSE DE ANCHIETA</v>
      </c>
      <c r="D507" s="241" t="str">
        <f ca="1">IFERROR(__xludf.DUMMYFUNCTION("""COMPUTED_VALUE"""),"01190190000110")</f>
        <v>01190190000110</v>
      </c>
      <c r="E507" s="241" t="str">
        <f ca="1">IFERROR(__xludf.DUMMYFUNCTION("""COMPUTED_VALUE"""),"001")</f>
        <v>001</v>
      </c>
      <c r="F507" s="241" t="str">
        <f ca="1">IFERROR(__xludf.DUMMYFUNCTION("""COMPUTED_VALUE"""),"1304")</f>
        <v>1304</v>
      </c>
      <c r="G507" s="240" t="str">
        <f ca="1">IFERROR(__xludf.DUMMYFUNCTION("""COMPUTED_VALUE"""),"105171")</f>
        <v>105171</v>
      </c>
      <c r="H507" s="240" t="str">
        <f ca="1">IFERROR(__xludf.DUMMYFUNCTION("""COMPUTED_VALUE"""),"E.F. PARCIAL")</f>
        <v>E.F. PARCIAL</v>
      </c>
      <c r="I507" s="242">
        <f ca="1">IFERROR(__xludf.DUMMYFUNCTION("""COMPUTED_VALUE"""),882)</f>
        <v>882</v>
      </c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</row>
    <row r="508" spans="1:26" ht="21" customHeight="1">
      <c r="A508" s="240" t="str">
        <f ca="1">IFERROR(__xludf.DUMMYFUNCTION("""COMPUTED_VALUE"""),"Gurupi")</f>
        <v>Gurupi</v>
      </c>
      <c r="B508" s="240" t="str">
        <f ca="1">IFERROR(__xludf.DUMMYFUNCTION("""COMPUTED_VALUE"""),"Sandolandia")</f>
        <v>Sandolandia</v>
      </c>
      <c r="C508" s="240" t="str">
        <f ca="1">IFERROR(__xludf.DUMMYFUNCTION("""COMPUTED_VALUE"""),"ASS. DE APOIO ESC. EST.PE.JOSE DE ANCHIETA")</f>
        <v>ASS. DE APOIO ESC. EST.PE.JOSE DE ANCHIETA</v>
      </c>
      <c r="D508" s="241" t="str">
        <f ca="1">IFERROR(__xludf.DUMMYFUNCTION("""COMPUTED_VALUE"""),"01190190000110")</f>
        <v>01190190000110</v>
      </c>
      <c r="E508" s="241" t="str">
        <f ca="1">IFERROR(__xludf.DUMMYFUNCTION("""COMPUTED_VALUE"""),"001")</f>
        <v>001</v>
      </c>
      <c r="F508" s="241" t="str">
        <f ca="1">IFERROR(__xludf.DUMMYFUNCTION("""COMPUTED_VALUE"""),"1304")</f>
        <v>1304</v>
      </c>
      <c r="G508" s="240" t="str">
        <f ca="1">IFERROR(__xludf.DUMMYFUNCTION("""COMPUTED_VALUE"""),"105171")</f>
        <v>105171</v>
      </c>
      <c r="H508" s="240" t="str">
        <f ca="1">IFERROR(__xludf.DUMMYFUNCTION("""COMPUTED_VALUE"""),"ENS MEDIO PARCIAL")</f>
        <v>ENS MEDIO PARCIAL</v>
      </c>
      <c r="I508" s="242">
        <f ca="1">IFERROR(__xludf.DUMMYFUNCTION("""COMPUTED_VALUE"""),378)</f>
        <v>378</v>
      </c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</row>
    <row r="509" spans="1:26" ht="21" customHeight="1">
      <c r="A509" s="240" t="str">
        <f ca="1">IFERROR(__xludf.DUMMYFUNCTION("""COMPUTED_VALUE"""),"Gurupi")</f>
        <v>Gurupi</v>
      </c>
      <c r="B509" s="240" t="str">
        <f ca="1">IFERROR(__xludf.DUMMYFUNCTION("""COMPUTED_VALUE"""),"Sandolandia")</f>
        <v>Sandolandia</v>
      </c>
      <c r="C509" s="240" t="str">
        <f ca="1">IFERROR(__xludf.DUMMYFUNCTION("""COMPUTED_VALUE"""),"A.A. A ESC. EST.NOSSA SENHORA APARECIDA")</f>
        <v>A.A. A ESC. EST.NOSSA SENHORA APARECIDA</v>
      </c>
      <c r="D509" s="241" t="str">
        <f ca="1">IFERROR(__xludf.DUMMYFUNCTION("""COMPUTED_VALUE"""),"01393269000148")</f>
        <v>01393269000148</v>
      </c>
      <c r="E509" s="241" t="str">
        <f ca="1">IFERROR(__xludf.DUMMYFUNCTION("""COMPUTED_VALUE"""),"001")</f>
        <v>001</v>
      </c>
      <c r="F509" s="241" t="str">
        <f ca="1">IFERROR(__xludf.DUMMYFUNCTION("""COMPUTED_VALUE"""),"1304")</f>
        <v>1304</v>
      </c>
      <c r="G509" s="240" t="str">
        <f ca="1">IFERROR(__xludf.DUMMYFUNCTION("""COMPUTED_VALUE"""),"105163")</f>
        <v>105163</v>
      </c>
      <c r="H509" s="240" t="str">
        <f ca="1">IFERROR(__xludf.DUMMYFUNCTION("""COMPUTED_VALUE"""),"E.F. PARCIAL")</f>
        <v>E.F. PARCIAL</v>
      </c>
      <c r="I509" s="242">
        <f ca="1">IFERROR(__xludf.DUMMYFUNCTION("""COMPUTED_VALUE"""),4809)</f>
        <v>4809</v>
      </c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</row>
    <row r="510" spans="1:26" ht="21" customHeight="1">
      <c r="A510" s="240" t="str">
        <f ca="1">IFERROR(__xludf.DUMMYFUNCTION("""COMPUTED_VALUE"""),"Gurupi")</f>
        <v>Gurupi</v>
      </c>
      <c r="B510" s="240" t="str">
        <f ca="1">IFERROR(__xludf.DUMMYFUNCTION("""COMPUTED_VALUE"""),"Sandolandia")</f>
        <v>Sandolandia</v>
      </c>
      <c r="C510" s="240" t="str">
        <f ca="1">IFERROR(__xludf.DUMMYFUNCTION("""COMPUTED_VALUE"""),"A.A. A ESC. EST.NOSSA SENHORA APARECIDA")</f>
        <v>A.A. A ESC. EST.NOSSA SENHORA APARECIDA</v>
      </c>
      <c r="D510" s="241" t="str">
        <f ca="1">IFERROR(__xludf.DUMMYFUNCTION("""COMPUTED_VALUE"""),"01393269000148")</f>
        <v>01393269000148</v>
      </c>
      <c r="E510" s="241" t="str">
        <f ca="1">IFERROR(__xludf.DUMMYFUNCTION("""COMPUTED_VALUE"""),"001")</f>
        <v>001</v>
      </c>
      <c r="F510" s="241" t="str">
        <f ca="1">IFERROR(__xludf.DUMMYFUNCTION("""COMPUTED_VALUE"""),"1304")</f>
        <v>1304</v>
      </c>
      <c r="G510" s="240" t="str">
        <f ca="1">IFERROR(__xludf.DUMMYFUNCTION("""COMPUTED_VALUE"""),"105163")</f>
        <v>105163</v>
      </c>
      <c r="H510" s="240" t="str">
        <f ca="1">IFERROR(__xludf.DUMMYFUNCTION("""COMPUTED_VALUE"""),"AEE")</f>
        <v>AEE</v>
      </c>
      <c r="I510" s="242">
        <f ca="1">IFERROR(__xludf.DUMMYFUNCTION("""COMPUTED_VALUE"""),399)</f>
        <v>399</v>
      </c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</row>
    <row r="511" spans="1:26" ht="21" customHeight="1">
      <c r="A511" s="240" t="str">
        <f ca="1">IFERROR(__xludf.DUMMYFUNCTION("""COMPUTED_VALUE"""),"Gurupi")</f>
        <v>Gurupi</v>
      </c>
      <c r="B511" s="240" t="str">
        <f ca="1">IFERROR(__xludf.DUMMYFUNCTION("""COMPUTED_VALUE"""),"Sandolandia")</f>
        <v>Sandolandia</v>
      </c>
      <c r="C511" s="240" t="str">
        <f ca="1">IFERROR(__xludf.DUMMYFUNCTION("""COMPUTED_VALUE"""),"A.A. A ESC. EST.NOSSA SENHORA APARECIDA")</f>
        <v>A.A. A ESC. EST.NOSSA SENHORA APARECIDA</v>
      </c>
      <c r="D511" s="241" t="str">
        <f ca="1">IFERROR(__xludf.DUMMYFUNCTION("""COMPUTED_VALUE"""),"01393269000148")</f>
        <v>01393269000148</v>
      </c>
      <c r="E511" s="241" t="str">
        <f ca="1">IFERROR(__xludf.DUMMYFUNCTION("""COMPUTED_VALUE"""),"001")</f>
        <v>001</v>
      </c>
      <c r="F511" s="241" t="str">
        <f ca="1">IFERROR(__xludf.DUMMYFUNCTION("""COMPUTED_VALUE"""),"1304")</f>
        <v>1304</v>
      </c>
      <c r="G511" s="240" t="str">
        <f ca="1">IFERROR(__xludf.DUMMYFUNCTION("""COMPUTED_VALUE"""),"105163")</f>
        <v>105163</v>
      </c>
      <c r="H511" s="240" t="str">
        <f ca="1">IFERROR(__xludf.DUMMYFUNCTION("""COMPUTED_VALUE"""),"ENS MEDIO PARCIAL")</f>
        <v>ENS MEDIO PARCIAL</v>
      </c>
      <c r="I511" s="242">
        <f ca="1">IFERROR(__xludf.DUMMYFUNCTION("""COMPUTED_VALUE"""),2667)</f>
        <v>2667</v>
      </c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</row>
    <row r="512" spans="1:26" ht="21" customHeight="1">
      <c r="A512" s="240" t="str">
        <f ca="1">IFERROR(__xludf.DUMMYFUNCTION("""COMPUTED_VALUE"""),"Gurupi")</f>
        <v>Gurupi</v>
      </c>
      <c r="B512" s="240" t="str">
        <f ca="1">IFERROR(__xludf.DUMMYFUNCTION("""COMPUTED_VALUE"""),"Sao Salvador do Tocantins")</f>
        <v>Sao Salvador do Tocantins</v>
      </c>
      <c r="C512" s="240" t="str">
        <f ca="1">IFERROR(__xludf.DUMMYFUNCTION("""COMPUTED_VALUE"""),"A.A DA ESCOLA ESTADUAL RETIRO")</f>
        <v>A.A DA ESCOLA ESTADUAL RETIRO</v>
      </c>
      <c r="D512" s="241" t="str">
        <f ca="1">IFERROR(__xludf.DUMMYFUNCTION("""COMPUTED_VALUE"""),"04205236000115")</f>
        <v>04205236000115</v>
      </c>
      <c r="E512" s="241" t="str">
        <f ca="1">IFERROR(__xludf.DUMMYFUNCTION("""COMPUTED_VALUE"""),"001")</f>
        <v>001</v>
      </c>
      <c r="F512" s="241" t="str">
        <f ca="1">IFERROR(__xludf.DUMMYFUNCTION("""COMPUTED_VALUE"""),"4608")</f>
        <v>4608</v>
      </c>
      <c r="G512" s="240" t="str">
        <f ca="1">IFERROR(__xludf.DUMMYFUNCTION("""COMPUTED_VALUE"""),"73563")</f>
        <v>73563</v>
      </c>
      <c r="H512" s="240" t="str">
        <f ca="1">IFERROR(__xludf.DUMMYFUNCTION("""COMPUTED_VALUE"""),"E.F. PARCIAL")</f>
        <v>E.F. PARCIAL</v>
      </c>
      <c r="I512" s="242">
        <f ca="1">IFERROR(__xludf.DUMMYFUNCTION("""COMPUTED_VALUE"""),1512)</f>
        <v>1512</v>
      </c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</row>
    <row r="513" spans="1:26" ht="21" customHeight="1">
      <c r="A513" s="240" t="str">
        <f ca="1">IFERROR(__xludf.DUMMYFUNCTION("""COMPUTED_VALUE"""),"Gurupi")</f>
        <v>Gurupi</v>
      </c>
      <c r="B513" s="240" t="str">
        <f ca="1">IFERROR(__xludf.DUMMYFUNCTION("""COMPUTED_VALUE"""),"Sao Salvador do Tocantins")</f>
        <v>Sao Salvador do Tocantins</v>
      </c>
      <c r="C513" s="240" t="str">
        <f ca="1">IFERROR(__xludf.DUMMYFUNCTION("""COMPUTED_VALUE"""),"A.A DA ESCOLA ESTADUAL RETIRO")</f>
        <v>A.A DA ESCOLA ESTADUAL RETIRO</v>
      </c>
      <c r="D513" s="241" t="str">
        <f ca="1">IFERROR(__xludf.DUMMYFUNCTION("""COMPUTED_VALUE"""),"04205236000115")</f>
        <v>04205236000115</v>
      </c>
      <c r="E513" s="241" t="str">
        <f ca="1">IFERROR(__xludf.DUMMYFUNCTION("""COMPUTED_VALUE"""),"001")</f>
        <v>001</v>
      </c>
      <c r="F513" s="241" t="str">
        <f ca="1">IFERROR(__xludf.DUMMYFUNCTION("""COMPUTED_VALUE"""),"4608")</f>
        <v>4608</v>
      </c>
      <c r="G513" s="240" t="str">
        <f ca="1">IFERROR(__xludf.DUMMYFUNCTION("""COMPUTED_VALUE"""),"73563")</f>
        <v>73563</v>
      </c>
      <c r="H513" s="240" t="str">
        <f ca="1">IFERROR(__xludf.DUMMYFUNCTION("""COMPUTED_VALUE"""),"ENS MEDIO PARCIAL")</f>
        <v>ENS MEDIO PARCIAL</v>
      </c>
      <c r="I513" s="242">
        <f ca="1">IFERROR(__xludf.DUMMYFUNCTION("""COMPUTED_VALUE"""),672)</f>
        <v>672</v>
      </c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</row>
    <row r="514" spans="1:26" ht="21" customHeight="1">
      <c r="A514" s="240" t="str">
        <f ca="1">IFERROR(__xludf.DUMMYFUNCTION("""COMPUTED_VALUE"""),"Gurupi")</f>
        <v>Gurupi</v>
      </c>
      <c r="B514" s="240" t="str">
        <f ca="1">IFERROR(__xludf.DUMMYFUNCTION("""COMPUTED_VALUE"""),"Sao Valerio da Natividade")</f>
        <v>Sao Valerio da Natividade</v>
      </c>
      <c r="C514" s="240" t="str">
        <f ca="1">IFERROR(__xludf.DUMMYFUNCTION("""COMPUTED_VALUE"""),"A.P.M.E ALUNOS COL. EST. REGINA S. CAMPOS")</f>
        <v>A.P.M.E ALUNOS COL. EST. REGINA S. CAMPOS</v>
      </c>
      <c r="D514" s="241" t="str">
        <f ca="1">IFERROR(__xludf.DUMMYFUNCTION("""COMPUTED_VALUE"""),"01431377000168")</f>
        <v>01431377000168</v>
      </c>
      <c r="E514" s="241" t="str">
        <f ca="1">IFERROR(__xludf.DUMMYFUNCTION("""COMPUTED_VALUE"""),"001")</f>
        <v>001</v>
      </c>
      <c r="F514" s="241" t="str">
        <f ca="1">IFERROR(__xludf.DUMMYFUNCTION("""COMPUTED_VALUE"""),"0794")</f>
        <v>0794</v>
      </c>
      <c r="G514" s="240" t="str">
        <f ca="1">IFERROR(__xludf.DUMMYFUNCTION("""COMPUTED_VALUE"""),"52477")</f>
        <v>52477</v>
      </c>
      <c r="H514" s="240" t="str">
        <f ca="1">IFERROR(__xludf.DUMMYFUNCTION("""COMPUTED_VALUE"""),"E.F. PARCIAL")</f>
        <v>E.F. PARCIAL</v>
      </c>
      <c r="I514" s="242">
        <f ca="1">IFERROR(__xludf.DUMMYFUNCTION("""COMPUTED_VALUE"""),3297)</f>
        <v>3297</v>
      </c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</row>
    <row r="515" spans="1:26" ht="21" customHeight="1">
      <c r="A515" s="240" t="str">
        <f ca="1">IFERROR(__xludf.DUMMYFUNCTION("""COMPUTED_VALUE"""),"Gurupi")</f>
        <v>Gurupi</v>
      </c>
      <c r="B515" s="240" t="str">
        <f ca="1">IFERROR(__xludf.DUMMYFUNCTION("""COMPUTED_VALUE"""),"Sao Valerio da Natividade")</f>
        <v>Sao Valerio da Natividade</v>
      </c>
      <c r="C515" s="240" t="str">
        <f ca="1">IFERROR(__xludf.DUMMYFUNCTION("""COMPUTED_VALUE"""),"A.P.M.E ALUNOS COL. EST. REGINA S. CAMPOS")</f>
        <v>A.P.M.E ALUNOS COL. EST. REGINA S. CAMPOS</v>
      </c>
      <c r="D515" s="241" t="str">
        <f ca="1">IFERROR(__xludf.DUMMYFUNCTION("""COMPUTED_VALUE"""),"01431377000168")</f>
        <v>01431377000168</v>
      </c>
      <c r="E515" s="241" t="str">
        <f ca="1">IFERROR(__xludf.DUMMYFUNCTION("""COMPUTED_VALUE"""),"001")</f>
        <v>001</v>
      </c>
      <c r="F515" s="241" t="str">
        <f ca="1">IFERROR(__xludf.DUMMYFUNCTION("""COMPUTED_VALUE"""),"0794")</f>
        <v>0794</v>
      </c>
      <c r="G515" s="240" t="str">
        <f ca="1">IFERROR(__xludf.DUMMYFUNCTION("""COMPUTED_VALUE"""),"52477")</f>
        <v>52477</v>
      </c>
      <c r="H515" s="240" t="str">
        <f ca="1">IFERROR(__xludf.DUMMYFUNCTION("""COMPUTED_VALUE"""),"AEE")</f>
        <v>AEE</v>
      </c>
      <c r="I515" s="242">
        <f ca="1">IFERROR(__xludf.DUMMYFUNCTION("""COMPUTED_VALUE"""),420)</f>
        <v>420</v>
      </c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</row>
    <row r="516" spans="1:26" ht="21" customHeight="1">
      <c r="A516" s="240" t="str">
        <f ca="1">IFERROR(__xludf.DUMMYFUNCTION("""COMPUTED_VALUE"""),"Gurupi")</f>
        <v>Gurupi</v>
      </c>
      <c r="B516" s="240" t="str">
        <f ca="1">IFERROR(__xludf.DUMMYFUNCTION("""COMPUTED_VALUE"""),"Sao Valerio da Natividade")</f>
        <v>Sao Valerio da Natividade</v>
      </c>
      <c r="C516" s="240" t="str">
        <f ca="1">IFERROR(__xludf.DUMMYFUNCTION("""COMPUTED_VALUE"""),"A.P.M.E ALUNOS COL. EST. REGINA S. CAMPOS")</f>
        <v>A.P.M.E ALUNOS COL. EST. REGINA S. CAMPOS</v>
      </c>
      <c r="D516" s="241" t="str">
        <f ca="1">IFERROR(__xludf.DUMMYFUNCTION("""COMPUTED_VALUE"""),"01431377000168")</f>
        <v>01431377000168</v>
      </c>
      <c r="E516" s="241" t="str">
        <f ca="1">IFERROR(__xludf.DUMMYFUNCTION("""COMPUTED_VALUE"""),"001")</f>
        <v>001</v>
      </c>
      <c r="F516" s="241" t="str">
        <f ca="1">IFERROR(__xludf.DUMMYFUNCTION("""COMPUTED_VALUE"""),"0794")</f>
        <v>0794</v>
      </c>
      <c r="G516" s="240" t="str">
        <f ca="1">IFERROR(__xludf.DUMMYFUNCTION("""COMPUTED_VALUE"""),"52477")</f>
        <v>52477</v>
      </c>
      <c r="H516" s="240" t="str">
        <f ca="1">IFERROR(__xludf.DUMMYFUNCTION("""COMPUTED_VALUE"""),"ENS MEDIO PARCIAL")</f>
        <v>ENS MEDIO PARCIAL</v>
      </c>
      <c r="I516" s="242">
        <f ca="1">IFERROR(__xludf.DUMMYFUNCTION("""COMPUTED_VALUE"""),4179)</f>
        <v>4179</v>
      </c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</row>
    <row r="517" spans="1:26" ht="21" customHeight="1">
      <c r="A517" s="240" t="str">
        <f ca="1">IFERROR(__xludf.DUMMYFUNCTION("""COMPUTED_VALUE"""),"Gurupi")</f>
        <v>Gurupi</v>
      </c>
      <c r="B517" s="240" t="str">
        <f ca="1">IFERROR(__xludf.DUMMYFUNCTION("""COMPUTED_VALUE"""),"Sucupira")</f>
        <v>Sucupira</v>
      </c>
      <c r="C517" s="240" t="str">
        <f ca="1">IFERROR(__xludf.DUMMYFUNCTION("""COMPUTED_VALUE"""),"AS. APOIO ESCOLA ESTADUAL OLAVO BILAC")</f>
        <v>AS. APOIO ESCOLA ESTADUAL OLAVO BILAC</v>
      </c>
      <c r="D517" s="241" t="str">
        <f ca="1">IFERROR(__xludf.DUMMYFUNCTION("""COMPUTED_VALUE"""),"01268287000106")</f>
        <v>01268287000106</v>
      </c>
      <c r="E517" s="241" t="str">
        <f ca="1">IFERROR(__xludf.DUMMYFUNCTION("""COMPUTED_VALUE"""),"001")</f>
        <v>001</v>
      </c>
      <c r="F517" s="241" t="str">
        <f ca="1">IFERROR(__xludf.DUMMYFUNCTION("""COMPUTED_VALUE"""),"0794")</f>
        <v>0794</v>
      </c>
      <c r="G517" s="240" t="str">
        <f ca="1">IFERROR(__xludf.DUMMYFUNCTION("""COMPUTED_VALUE"""),"245852")</f>
        <v>245852</v>
      </c>
      <c r="H517" s="240" t="str">
        <f ca="1">IFERROR(__xludf.DUMMYFUNCTION("""COMPUTED_VALUE"""),"E.F. PARCIAL")</f>
        <v>E.F. PARCIAL</v>
      </c>
      <c r="I517" s="242">
        <f ca="1">IFERROR(__xludf.DUMMYFUNCTION("""COMPUTED_VALUE"""),2877)</f>
        <v>2877</v>
      </c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</row>
    <row r="518" spans="1:26" ht="21" customHeight="1">
      <c r="A518" s="240" t="str">
        <f ca="1">IFERROR(__xludf.DUMMYFUNCTION("""COMPUTED_VALUE"""),"Gurupi")</f>
        <v>Gurupi</v>
      </c>
      <c r="B518" s="240" t="str">
        <f ca="1">IFERROR(__xludf.DUMMYFUNCTION("""COMPUTED_VALUE"""),"Sucupira")</f>
        <v>Sucupira</v>
      </c>
      <c r="C518" s="240" t="str">
        <f ca="1">IFERROR(__xludf.DUMMYFUNCTION("""COMPUTED_VALUE"""),"AS. APOIO ESCOLA ESTADUAL OLAVO BILAC")</f>
        <v>AS. APOIO ESCOLA ESTADUAL OLAVO BILAC</v>
      </c>
      <c r="D518" s="241" t="str">
        <f ca="1">IFERROR(__xludf.DUMMYFUNCTION("""COMPUTED_VALUE"""),"01268287000106")</f>
        <v>01268287000106</v>
      </c>
      <c r="E518" s="241" t="str">
        <f ca="1">IFERROR(__xludf.DUMMYFUNCTION("""COMPUTED_VALUE"""),"001")</f>
        <v>001</v>
      </c>
      <c r="F518" s="241" t="str">
        <f ca="1">IFERROR(__xludf.DUMMYFUNCTION("""COMPUTED_VALUE"""),"0794")</f>
        <v>0794</v>
      </c>
      <c r="G518" s="240" t="str">
        <f ca="1">IFERROR(__xludf.DUMMYFUNCTION("""COMPUTED_VALUE"""),"245852")</f>
        <v>245852</v>
      </c>
      <c r="H518" s="240" t="str">
        <f ca="1">IFERROR(__xludf.DUMMYFUNCTION("""COMPUTED_VALUE"""),"ENS MEDIO PARCIAL")</f>
        <v>ENS MEDIO PARCIAL</v>
      </c>
      <c r="I518" s="242">
        <f ca="1">IFERROR(__xludf.DUMMYFUNCTION("""COMPUTED_VALUE"""),1470)</f>
        <v>1470</v>
      </c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</row>
    <row r="519" spans="1:26" ht="21" customHeight="1">
      <c r="A519" s="240" t="str">
        <f ca="1">IFERROR(__xludf.DUMMYFUNCTION("""COMPUTED_VALUE"""),"Gurupi")</f>
        <v>Gurupi</v>
      </c>
      <c r="B519" s="240" t="str">
        <f ca="1">IFERROR(__xludf.DUMMYFUNCTION("""COMPUTED_VALUE"""),"Talisma")</f>
        <v>Talisma</v>
      </c>
      <c r="C519" s="240" t="str">
        <f ca="1">IFERROR(__xludf.DUMMYFUNCTION("""COMPUTED_VALUE"""),"A.A.  DO COLEGIO ESTADUAL DE TALISMA")</f>
        <v>A.A.  DO COLEGIO ESTADUAL DE TALISMA</v>
      </c>
      <c r="D519" s="241" t="str">
        <f ca="1">IFERROR(__xludf.DUMMYFUNCTION("""COMPUTED_VALUE"""),"07547605000146")</f>
        <v>07547605000146</v>
      </c>
      <c r="E519" s="241" t="str">
        <f ca="1">IFERROR(__xludf.DUMMYFUNCTION("""COMPUTED_VALUE"""),"001")</f>
        <v>001</v>
      </c>
      <c r="F519" s="241" t="str">
        <f ca="1">IFERROR(__xludf.DUMMYFUNCTION("""COMPUTED_VALUE"""),"1303")</f>
        <v>1303</v>
      </c>
      <c r="G519" s="240" t="str">
        <f ca="1">IFERROR(__xludf.DUMMYFUNCTION("""COMPUTED_VALUE"""),"155446")</f>
        <v>155446</v>
      </c>
      <c r="H519" s="240" t="str">
        <f ca="1">IFERROR(__xludf.DUMMYFUNCTION("""COMPUTED_VALUE"""),"ENS MEDIO PARCIAL")</f>
        <v>ENS MEDIO PARCIAL</v>
      </c>
      <c r="I519" s="242">
        <f ca="1">IFERROR(__xludf.DUMMYFUNCTION("""COMPUTED_VALUE"""),1932)</f>
        <v>1932</v>
      </c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</row>
    <row r="520" spans="1:26" ht="21" customHeight="1">
      <c r="A520" s="240" t="str">
        <f ca="1">IFERROR(__xludf.DUMMYFUNCTION("""COMPUTED_VALUE"""),"Gurupi")</f>
        <v>Gurupi</v>
      </c>
      <c r="B520" s="240" t="str">
        <f ca="1">IFERROR(__xludf.DUMMYFUNCTION("""COMPUTED_VALUE"""),"Talisma")</f>
        <v>Talisma</v>
      </c>
      <c r="C520" s="240" t="str">
        <f ca="1">IFERROR(__xludf.DUMMYFUNCTION("""COMPUTED_VALUE"""),"A.A.  DO COLEGIO ESTADUAL DE TALISMA")</f>
        <v>A.A.  DO COLEGIO ESTADUAL DE TALISMA</v>
      </c>
      <c r="D520" s="241" t="str">
        <f ca="1">IFERROR(__xludf.DUMMYFUNCTION("""COMPUTED_VALUE"""),"07547605000146")</f>
        <v>07547605000146</v>
      </c>
      <c r="E520" s="241" t="str">
        <f ca="1">IFERROR(__xludf.DUMMYFUNCTION("""COMPUTED_VALUE"""),"001")</f>
        <v>001</v>
      </c>
      <c r="F520" s="241" t="str">
        <f ca="1">IFERROR(__xludf.DUMMYFUNCTION("""COMPUTED_VALUE"""),"1303")</f>
        <v>1303</v>
      </c>
      <c r="G520" s="240" t="str">
        <f ca="1">IFERROR(__xludf.DUMMYFUNCTION("""COMPUTED_VALUE"""),"155446")</f>
        <v>155446</v>
      </c>
      <c r="H520" s="240" t="str">
        <f ca="1">IFERROR(__xludf.DUMMYFUNCTION("""COMPUTED_VALUE"""),"EJA")</f>
        <v>EJA</v>
      </c>
      <c r="I520" s="242">
        <f ca="1">IFERROR(__xludf.DUMMYFUNCTION("""COMPUTED_VALUE"""),378)</f>
        <v>378</v>
      </c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</row>
    <row r="521" spans="1:26" ht="21" customHeight="1">
      <c r="A521" s="240" t="str">
        <f ca="1">IFERROR(__xludf.DUMMYFUNCTION("""COMPUTED_VALUE"""),"Miracema")</f>
        <v>Miracema</v>
      </c>
      <c r="B521" s="240" t="str">
        <f ca="1">IFERROR(__xludf.DUMMYFUNCTION("""COMPUTED_VALUE"""),"dois Irmaos do Tocantins")</f>
        <v>dois Irmaos do Tocantins</v>
      </c>
      <c r="C521" s="240" t="str">
        <f ca="1">IFERROR(__xludf.DUMMYFUNCTION("""COMPUTED_VALUE"""),"A.C.E. COL PRES. CASTELO BRANCO")</f>
        <v>A.C.E. COL PRES. CASTELO BRANCO</v>
      </c>
      <c r="D521" s="241" t="str">
        <f ca="1">IFERROR(__xludf.DUMMYFUNCTION("""COMPUTED_VALUE"""),"01034882000179")</f>
        <v>01034882000179</v>
      </c>
      <c r="E521" s="241" t="str">
        <f ca="1">IFERROR(__xludf.DUMMYFUNCTION("""COMPUTED_VALUE"""),"001")</f>
        <v>001</v>
      </c>
      <c r="F521" s="241" t="str">
        <f ca="1">IFERROR(__xludf.DUMMYFUNCTION("""COMPUTED_VALUE"""),"0862")</f>
        <v>0862</v>
      </c>
      <c r="G521" s="240" t="str">
        <f ca="1">IFERROR(__xludf.DUMMYFUNCTION("""COMPUTED_VALUE"""),"68950")</f>
        <v>68950</v>
      </c>
      <c r="H521" s="240" t="str">
        <f ca="1">IFERROR(__xludf.DUMMYFUNCTION("""COMPUTED_VALUE"""),"E.F. PARCIAL")</f>
        <v>E.F. PARCIAL</v>
      </c>
      <c r="I521" s="242">
        <f ca="1">IFERROR(__xludf.DUMMYFUNCTION("""COMPUTED_VALUE"""),7518)</f>
        <v>7518</v>
      </c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</row>
    <row r="522" spans="1:26" ht="21" customHeight="1">
      <c r="A522" s="240" t="str">
        <f ca="1">IFERROR(__xludf.DUMMYFUNCTION("""COMPUTED_VALUE"""),"Miracema")</f>
        <v>Miracema</v>
      </c>
      <c r="B522" s="240" t="str">
        <f ca="1">IFERROR(__xludf.DUMMYFUNCTION("""COMPUTED_VALUE"""),"dois Irmaos do Tocantins")</f>
        <v>dois Irmaos do Tocantins</v>
      </c>
      <c r="C522" s="240" t="str">
        <f ca="1">IFERROR(__xludf.DUMMYFUNCTION("""COMPUTED_VALUE"""),"A.C.E. COL PRES. CASTELO BRANCO")</f>
        <v>A.C.E. COL PRES. CASTELO BRANCO</v>
      </c>
      <c r="D522" s="241" t="str">
        <f ca="1">IFERROR(__xludf.DUMMYFUNCTION("""COMPUTED_VALUE"""),"01034882000179")</f>
        <v>01034882000179</v>
      </c>
      <c r="E522" s="241" t="str">
        <f ca="1">IFERROR(__xludf.DUMMYFUNCTION("""COMPUTED_VALUE"""),"001")</f>
        <v>001</v>
      </c>
      <c r="F522" s="241" t="str">
        <f ca="1">IFERROR(__xludf.DUMMYFUNCTION("""COMPUTED_VALUE"""),"0862")</f>
        <v>0862</v>
      </c>
      <c r="G522" s="240" t="str">
        <f ca="1">IFERROR(__xludf.DUMMYFUNCTION("""COMPUTED_VALUE"""),"68950")</f>
        <v>68950</v>
      </c>
      <c r="H522" s="240" t="str">
        <f ca="1">IFERROR(__xludf.DUMMYFUNCTION("""COMPUTED_VALUE"""),"AEE")</f>
        <v>AEE</v>
      </c>
      <c r="I522" s="242">
        <f ca="1">IFERROR(__xludf.DUMMYFUNCTION("""COMPUTED_VALUE"""),294)</f>
        <v>294</v>
      </c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</row>
    <row r="523" spans="1:26" ht="21" customHeight="1">
      <c r="A523" s="240" t="str">
        <f ca="1">IFERROR(__xludf.DUMMYFUNCTION("""COMPUTED_VALUE"""),"Miracema")</f>
        <v>Miracema</v>
      </c>
      <c r="B523" s="240" t="str">
        <f ca="1">IFERROR(__xludf.DUMMYFUNCTION("""COMPUTED_VALUE"""),"dois Irmaos do Tocantins")</f>
        <v>dois Irmaos do Tocantins</v>
      </c>
      <c r="C523" s="240" t="str">
        <f ca="1">IFERROR(__xludf.DUMMYFUNCTION("""COMPUTED_VALUE"""),"A.C.E. COL PRES. CASTELO BRANCO")</f>
        <v>A.C.E. COL PRES. CASTELO BRANCO</v>
      </c>
      <c r="D523" s="241" t="str">
        <f ca="1">IFERROR(__xludf.DUMMYFUNCTION("""COMPUTED_VALUE"""),"01034882000179")</f>
        <v>01034882000179</v>
      </c>
      <c r="E523" s="241" t="str">
        <f ca="1">IFERROR(__xludf.DUMMYFUNCTION("""COMPUTED_VALUE"""),"001")</f>
        <v>001</v>
      </c>
      <c r="F523" s="241" t="str">
        <f ca="1">IFERROR(__xludf.DUMMYFUNCTION("""COMPUTED_VALUE"""),"0862")</f>
        <v>0862</v>
      </c>
      <c r="G523" s="240" t="str">
        <f ca="1">IFERROR(__xludf.DUMMYFUNCTION("""COMPUTED_VALUE"""),"68950")</f>
        <v>68950</v>
      </c>
      <c r="H523" s="240" t="str">
        <f ca="1">IFERROR(__xludf.DUMMYFUNCTION("""COMPUTED_VALUE"""),"ENS MEDIO PARCIAL")</f>
        <v>ENS MEDIO PARCIAL</v>
      </c>
      <c r="I523" s="242">
        <f ca="1">IFERROR(__xludf.DUMMYFUNCTION("""COMPUTED_VALUE"""),4494)</f>
        <v>4494</v>
      </c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</row>
    <row r="524" spans="1:26" ht="21" customHeight="1">
      <c r="A524" s="240" t="str">
        <f ca="1">IFERROR(__xludf.DUMMYFUNCTION("""COMPUTED_VALUE"""),"Miracema")</f>
        <v>Miracema</v>
      </c>
      <c r="B524" s="240" t="str">
        <f ca="1">IFERROR(__xludf.DUMMYFUNCTION("""COMPUTED_VALUE"""),"dois Irmaos do Tocantins")</f>
        <v>dois Irmaos do Tocantins</v>
      </c>
      <c r="C524" s="240" t="str">
        <f ca="1">IFERROR(__xludf.DUMMYFUNCTION("""COMPUTED_VALUE"""),"ASSOC. DE APOIO A ESCOLA ESPECIAL CLOVIS DE ASSIS")</f>
        <v>ASSOC. DE APOIO A ESCOLA ESPECIAL CLOVIS DE ASSIS</v>
      </c>
      <c r="D524" s="241" t="str">
        <f ca="1">IFERROR(__xludf.DUMMYFUNCTION("""COMPUTED_VALUE"""),"09327390000183")</f>
        <v>09327390000183</v>
      </c>
      <c r="E524" s="241" t="str">
        <f ca="1">IFERROR(__xludf.DUMMYFUNCTION("""COMPUTED_VALUE"""),"001")</f>
        <v>001</v>
      </c>
      <c r="F524" s="241" t="str">
        <f ca="1">IFERROR(__xludf.DUMMYFUNCTION("""COMPUTED_VALUE"""),"0862")</f>
        <v>0862</v>
      </c>
      <c r="G524" s="240" t="str">
        <f ca="1">IFERROR(__xludf.DUMMYFUNCTION("""COMPUTED_VALUE"""),"211087")</f>
        <v>211087</v>
      </c>
      <c r="H524" s="240" t="str">
        <f ca="1">IFERROR(__xludf.DUMMYFUNCTION("""COMPUTED_VALUE"""),"E.F. PARCIAL")</f>
        <v>E.F. PARCIAL</v>
      </c>
      <c r="I524" s="242">
        <f ca="1">IFERROR(__xludf.DUMMYFUNCTION("""COMPUTED_VALUE"""),252)</f>
        <v>252</v>
      </c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</row>
    <row r="525" spans="1:26" ht="21" customHeight="1">
      <c r="A525" s="240" t="str">
        <f ca="1">IFERROR(__xludf.DUMMYFUNCTION("""COMPUTED_VALUE"""),"Miracema")</f>
        <v>Miracema</v>
      </c>
      <c r="B525" s="240" t="str">
        <f ca="1">IFERROR(__xludf.DUMMYFUNCTION("""COMPUTED_VALUE"""),"dois Irmaos do Tocantins")</f>
        <v>dois Irmaos do Tocantins</v>
      </c>
      <c r="C525" s="240" t="str">
        <f ca="1">IFERROR(__xludf.DUMMYFUNCTION("""COMPUTED_VALUE"""),"ASSOC. DE APOIO A ESCOLA ESPECIAL CLOVIS DE ASSIS")</f>
        <v>ASSOC. DE APOIO A ESCOLA ESPECIAL CLOVIS DE ASSIS</v>
      </c>
      <c r="D525" s="241" t="str">
        <f ca="1">IFERROR(__xludf.DUMMYFUNCTION("""COMPUTED_VALUE"""),"09327390000183")</f>
        <v>09327390000183</v>
      </c>
      <c r="E525" s="241" t="str">
        <f ca="1">IFERROR(__xludf.DUMMYFUNCTION("""COMPUTED_VALUE"""),"001")</f>
        <v>001</v>
      </c>
      <c r="F525" s="241" t="str">
        <f ca="1">IFERROR(__xludf.DUMMYFUNCTION("""COMPUTED_VALUE"""),"0862")</f>
        <v>0862</v>
      </c>
      <c r="G525" s="240" t="str">
        <f ca="1">IFERROR(__xludf.DUMMYFUNCTION("""COMPUTED_VALUE"""),"211087")</f>
        <v>211087</v>
      </c>
      <c r="H525" s="240" t="str">
        <f ca="1">IFERROR(__xludf.DUMMYFUNCTION("""COMPUTED_VALUE"""),"AEE")</f>
        <v>AEE</v>
      </c>
      <c r="I525" s="242">
        <f ca="1">IFERROR(__xludf.DUMMYFUNCTION("""COMPUTED_VALUE"""),987)</f>
        <v>987</v>
      </c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</row>
    <row r="526" spans="1:26" ht="21" customHeight="1">
      <c r="A526" s="240" t="str">
        <f ca="1">IFERROR(__xludf.DUMMYFUNCTION("""COMPUTED_VALUE"""),"Miracema")</f>
        <v>Miracema</v>
      </c>
      <c r="B526" s="240" t="str">
        <f ca="1">IFERROR(__xludf.DUMMYFUNCTION("""COMPUTED_VALUE"""),"dois Irmaos do Tocantins")</f>
        <v>dois Irmaos do Tocantins</v>
      </c>
      <c r="C526" s="240" t="str">
        <f ca="1">IFERROR(__xludf.DUMMYFUNCTION("""COMPUTED_VALUE"""),"ASSOC. DE APOIO A ESCOLA ESPECIAL CLOVIS DE ASSIS")</f>
        <v>ASSOC. DE APOIO A ESCOLA ESPECIAL CLOVIS DE ASSIS</v>
      </c>
      <c r="D526" s="241" t="str">
        <f ca="1">IFERROR(__xludf.DUMMYFUNCTION("""COMPUTED_VALUE"""),"09327390000183")</f>
        <v>09327390000183</v>
      </c>
      <c r="E526" s="241" t="str">
        <f ca="1">IFERROR(__xludf.DUMMYFUNCTION("""COMPUTED_VALUE"""),"001")</f>
        <v>001</v>
      </c>
      <c r="F526" s="241" t="str">
        <f ca="1">IFERROR(__xludf.DUMMYFUNCTION("""COMPUTED_VALUE"""),"0862")</f>
        <v>0862</v>
      </c>
      <c r="G526" s="240" t="str">
        <f ca="1">IFERROR(__xludf.DUMMYFUNCTION("""COMPUTED_VALUE"""),"211087")</f>
        <v>211087</v>
      </c>
      <c r="H526" s="240" t="str">
        <f ca="1">IFERROR(__xludf.DUMMYFUNCTION("""COMPUTED_VALUE"""),"EJA")</f>
        <v>EJA</v>
      </c>
      <c r="I526" s="242">
        <f ca="1">IFERROR(__xludf.DUMMYFUNCTION("""COMPUTED_VALUE"""),798)</f>
        <v>798</v>
      </c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</row>
    <row r="527" spans="1:26" ht="21" customHeight="1">
      <c r="A527" s="240" t="str">
        <f ca="1">IFERROR(__xludf.DUMMYFUNCTION("""COMPUTED_VALUE"""),"Miracema")</f>
        <v>Miracema</v>
      </c>
      <c r="B527" s="240" t="str">
        <f ca="1">IFERROR(__xludf.DUMMYFUNCTION("""COMPUTED_VALUE"""),"Lizarda")</f>
        <v>Lizarda</v>
      </c>
      <c r="C527" s="240" t="str">
        <f ca="1">IFERROR(__xludf.DUMMYFUNCTION("""COMPUTED_VALUE"""),"A. ESC. COMUN. DO COL. EST. 31 DE MARCO")</f>
        <v>A. ESC. COMUN. DO COL. EST. 31 DE MARCO</v>
      </c>
      <c r="D527" s="241" t="str">
        <f ca="1">IFERROR(__xludf.DUMMYFUNCTION("""COMPUTED_VALUE"""),"01232873000192")</f>
        <v>01232873000192</v>
      </c>
      <c r="E527" s="241" t="str">
        <f ca="1">IFERROR(__xludf.DUMMYFUNCTION("""COMPUTED_VALUE"""),"001")</f>
        <v>001</v>
      </c>
      <c r="F527" s="241" t="str">
        <f ca="1">IFERROR(__xludf.DUMMYFUNCTION("""COMPUTED_VALUE"""),"0862")</f>
        <v>0862</v>
      </c>
      <c r="G527" s="240" t="str">
        <f ca="1">IFERROR(__xludf.DUMMYFUNCTION("""COMPUTED_VALUE"""),"68969")</f>
        <v>68969</v>
      </c>
      <c r="H527" s="240" t="str">
        <f ca="1">IFERROR(__xludf.DUMMYFUNCTION("""COMPUTED_VALUE"""),"E.F. PARCIAL")</f>
        <v>E.F. PARCIAL</v>
      </c>
      <c r="I527" s="242">
        <f ca="1">IFERROR(__xludf.DUMMYFUNCTION("""COMPUTED_VALUE"""),3990)</f>
        <v>3990</v>
      </c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</row>
    <row r="528" spans="1:26" ht="21" customHeight="1">
      <c r="A528" s="240" t="str">
        <f ca="1">IFERROR(__xludf.DUMMYFUNCTION("""COMPUTED_VALUE"""),"Miracema")</f>
        <v>Miracema</v>
      </c>
      <c r="B528" s="240" t="str">
        <f ca="1">IFERROR(__xludf.DUMMYFUNCTION("""COMPUTED_VALUE"""),"Lizarda")</f>
        <v>Lizarda</v>
      </c>
      <c r="C528" s="240" t="str">
        <f ca="1">IFERROR(__xludf.DUMMYFUNCTION("""COMPUTED_VALUE"""),"A. ESC. COMUN. DO COL. EST. 31 DE MARCO")</f>
        <v>A. ESC. COMUN. DO COL. EST. 31 DE MARCO</v>
      </c>
      <c r="D528" s="241" t="str">
        <f ca="1">IFERROR(__xludf.DUMMYFUNCTION("""COMPUTED_VALUE"""),"01232873000192")</f>
        <v>01232873000192</v>
      </c>
      <c r="E528" s="241" t="str">
        <f ca="1">IFERROR(__xludf.DUMMYFUNCTION("""COMPUTED_VALUE"""),"001")</f>
        <v>001</v>
      </c>
      <c r="F528" s="241" t="str">
        <f ca="1">IFERROR(__xludf.DUMMYFUNCTION("""COMPUTED_VALUE"""),"0862")</f>
        <v>0862</v>
      </c>
      <c r="G528" s="240" t="str">
        <f ca="1">IFERROR(__xludf.DUMMYFUNCTION("""COMPUTED_VALUE"""),"68969")</f>
        <v>68969</v>
      </c>
      <c r="H528" s="240" t="str">
        <f ca="1">IFERROR(__xludf.DUMMYFUNCTION("""COMPUTED_VALUE"""),"AEE")</f>
        <v>AEE</v>
      </c>
      <c r="I528" s="242">
        <f ca="1">IFERROR(__xludf.DUMMYFUNCTION("""COMPUTED_VALUE"""),252)</f>
        <v>252</v>
      </c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</row>
    <row r="529" spans="1:26" ht="21" customHeight="1">
      <c r="A529" s="240" t="str">
        <f ca="1">IFERROR(__xludf.DUMMYFUNCTION("""COMPUTED_VALUE"""),"Miracema")</f>
        <v>Miracema</v>
      </c>
      <c r="B529" s="240" t="str">
        <f ca="1">IFERROR(__xludf.DUMMYFUNCTION("""COMPUTED_VALUE"""),"Lizarda")</f>
        <v>Lizarda</v>
      </c>
      <c r="C529" s="240" t="str">
        <f ca="1">IFERROR(__xludf.DUMMYFUNCTION("""COMPUTED_VALUE"""),"A. ESC. COMUN. DO COL. EST. 31 DE MARCO")</f>
        <v>A. ESC. COMUN. DO COL. EST. 31 DE MARCO</v>
      </c>
      <c r="D529" s="241" t="str">
        <f ca="1">IFERROR(__xludf.DUMMYFUNCTION("""COMPUTED_VALUE"""),"01232873000192")</f>
        <v>01232873000192</v>
      </c>
      <c r="E529" s="241" t="str">
        <f ca="1">IFERROR(__xludf.DUMMYFUNCTION("""COMPUTED_VALUE"""),"001")</f>
        <v>001</v>
      </c>
      <c r="F529" s="241" t="str">
        <f ca="1">IFERROR(__xludf.DUMMYFUNCTION("""COMPUTED_VALUE"""),"0862")</f>
        <v>0862</v>
      </c>
      <c r="G529" s="240" t="str">
        <f ca="1">IFERROR(__xludf.DUMMYFUNCTION("""COMPUTED_VALUE"""),"68969")</f>
        <v>68969</v>
      </c>
      <c r="H529" s="240" t="str">
        <f ca="1">IFERROR(__xludf.DUMMYFUNCTION("""COMPUTED_VALUE"""),"ENS MEDIO PARCIAL")</f>
        <v>ENS MEDIO PARCIAL</v>
      </c>
      <c r="I529" s="242">
        <f ca="1">IFERROR(__xludf.DUMMYFUNCTION("""COMPUTED_VALUE"""),3528)</f>
        <v>3528</v>
      </c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</row>
    <row r="530" spans="1:26" ht="21" customHeight="1">
      <c r="A530" s="240" t="str">
        <f ca="1">IFERROR(__xludf.DUMMYFUNCTION("""COMPUTED_VALUE"""),"Miracema")</f>
        <v>Miracema</v>
      </c>
      <c r="B530" s="240" t="str">
        <f ca="1">IFERROR(__xludf.DUMMYFUNCTION("""COMPUTED_VALUE"""),"Lizarda")</f>
        <v>Lizarda</v>
      </c>
      <c r="C530" s="240" t="str">
        <f ca="1">IFERROR(__xludf.DUMMYFUNCTION("""COMPUTED_VALUE"""),"ESCOLA ESTADUAL AYRTON SENNA")</f>
        <v>ESCOLA ESTADUAL AYRTON SENNA</v>
      </c>
      <c r="D530" s="241" t="str">
        <f ca="1">IFERROR(__xludf.DUMMYFUNCTION("""COMPUTED_VALUE"""),"11406586000105")</f>
        <v>11406586000105</v>
      </c>
      <c r="E530" s="241" t="str">
        <f ca="1">IFERROR(__xludf.DUMMYFUNCTION("""COMPUTED_VALUE"""),"001")</f>
        <v>001</v>
      </c>
      <c r="F530" s="241" t="str">
        <f ca="1">IFERROR(__xludf.DUMMYFUNCTION("""COMPUTED_VALUE"""),"0862")</f>
        <v>0862</v>
      </c>
      <c r="G530" s="240" t="str">
        <f ca="1">IFERROR(__xludf.DUMMYFUNCTION("""COMPUTED_VALUE"""),"270393")</f>
        <v>270393</v>
      </c>
      <c r="H530" s="240" t="str">
        <f ca="1">IFERROR(__xludf.DUMMYFUNCTION("""COMPUTED_VALUE"""),"E.F. PARCIAL")</f>
        <v>E.F. PARCIAL</v>
      </c>
      <c r="I530" s="242">
        <f ca="1">IFERROR(__xludf.DUMMYFUNCTION("""COMPUTED_VALUE"""),1491)</f>
        <v>1491</v>
      </c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</row>
    <row r="531" spans="1:26" ht="21" customHeight="1">
      <c r="A531" s="240" t="str">
        <f ca="1">IFERROR(__xludf.DUMMYFUNCTION("""COMPUTED_VALUE"""),"Miracema")</f>
        <v>Miracema</v>
      </c>
      <c r="B531" s="240" t="str">
        <f ca="1">IFERROR(__xludf.DUMMYFUNCTION("""COMPUTED_VALUE"""),"Lizarda")</f>
        <v>Lizarda</v>
      </c>
      <c r="C531" s="240" t="str">
        <f ca="1">IFERROR(__xludf.DUMMYFUNCTION("""COMPUTED_VALUE"""),"ESCOLA ESTADUAL AYRTON SENNA")</f>
        <v>ESCOLA ESTADUAL AYRTON SENNA</v>
      </c>
      <c r="D531" s="241" t="str">
        <f ca="1">IFERROR(__xludf.DUMMYFUNCTION("""COMPUTED_VALUE"""),"11406586000105")</f>
        <v>11406586000105</v>
      </c>
      <c r="E531" s="241" t="str">
        <f ca="1">IFERROR(__xludf.DUMMYFUNCTION("""COMPUTED_VALUE"""),"001")</f>
        <v>001</v>
      </c>
      <c r="F531" s="241" t="str">
        <f ca="1">IFERROR(__xludf.DUMMYFUNCTION("""COMPUTED_VALUE"""),"0862")</f>
        <v>0862</v>
      </c>
      <c r="G531" s="240" t="str">
        <f ca="1">IFERROR(__xludf.DUMMYFUNCTION("""COMPUTED_VALUE"""),"270393")</f>
        <v>270393</v>
      </c>
      <c r="H531" s="240" t="str">
        <f ca="1">IFERROR(__xludf.DUMMYFUNCTION("""COMPUTED_VALUE"""),"AEE")</f>
        <v>AEE</v>
      </c>
      <c r="I531" s="242">
        <f ca="1">IFERROR(__xludf.DUMMYFUNCTION("""COMPUTED_VALUE"""),105)</f>
        <v>105</v>
      </c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</row>
    <row r="532" spans="1:26" ht="21" customHeight="1">
      <c r="A532" s="240" t="str">
        <f ca="1">IFERROR(__xludf.DUMMYFUNCTION("""COMPUTED_VALUE"""),"Miracema")</f>
        <v>Miracema</v>
      </c>
      <c r="B532" s="240" t="str">
        <f ca="1">IFERROR(__xludf.DUMMYFUNCTION("""COMPUTED_VALUE"""),"Lizarda")</f>
        <v>Lizarda</v>
      </c>
      <c r="C532" s="240" t="str">
        <f ca="1">IFERROR(__xludf.DUMMYFUNCTION("""COMPUTED_VALUE"""),"ESCOLA ESTADUAL AYRTON SENNA")</f>
        <v>ESCOLA ESTADUAL AYRTON SENNA</v>
      </c>
      <c r="D532" s="241" t="str">
        <f ca="1">IFERROR(__xludf.DUMMYFUNCTION("""COMPUTED_VALUE"""),"11406586000105")</f>
        <v>11406586000105</v>
      </c>
      <c r="E532" s="241" t="str">
        <f ca="1">IFERROR(__xludf.DUMMYFUNCTION("""COMPUTED_VALUE"""),"001")</f>
        <v>001</v>
      </c>
      <c r="F532" s="241" t="str">
        <f ca="1">IFERROR(__xludf.DUMMYFUNCTION("""COMPUTED_VALUE"""),"0862")</f>
        <v>0862</v>
      </c>
      <c r="G532" s="240" t="str">
        <f ca="1">IFERROR(__xludf.DUMMYFUNCTION("""COMPUTED_VALUE"""),"270393")</f>
        <v>270393</v>
      </c>
      <c r="H532" s="240" t="str">
        <f ca="1">IFERROR(__xludf.DUMMYFUNCTION("""COMPUTED_VALUE"""),"ENS MEDIO PARCIAL")</f>
        <v>ENS MEDIO PARCIAL</v>
      </c>
      <c r="I532" s="242">
        <f ca="1">IFERROR(__xludf.DUMMYFUNCTION("""COMPUTED_VALUE"""),630)</f>
        <v>630</v>
      </c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</row>
    <row r="533" spans="1:26" ht="21" customHeight="1">
      <c r="A533" s="240" t="str">
        <f ca="1">IFERROR(__xludf.DUMMYFUNCTION("""COMPUTED_VALUE"""),"Miracema")</f>
        <v>Miracema</v>
      </c>
      <c r="B533" s="240" t="str">
        <f ca="1">IFERROR(__xludf.DUMMYFUNCTION("""COMPUTED_VALUE"""),"Miracema do Tocantins")</f>
        <v>Miracema do Tocantins</v>
      </c>
      <c r="C533" s="240" t="str">
        <f ca="1">IFERROR(__xludf.DUMMYFUNCTION("""COMPUTED_VALUE"""),"ASSOC ESC COM COL EST FILOMENA MOREIRA DE PAULA")</f>
        <v>ASSOC ESC COM COL EST FILOMENA MOREIRA DE PAULA</v>
      </c>
      <c r="D533" s="241" t="str">
        <f ca="1">IFERROR(__xludf.DUMMYFUNCTION("""COMPUTED_VALUE"""),"00900200000109")</f>
        <v>00900200000109</v>
      </c>
      <c r="E533" s="241" t="str">
        <f ca="1">IFERROR(__xludf.DUMMYFUNCTION("""COMPUTED_VALUE"""),"001")</f>
        <v>001</v>
      </c>
      <c r="F533" s="241" t="str">
        <f ca="1">IFERROR(__xludf.DUMMYFUNCTION("""COMPUTED_VALUE"""),"0862")</f>
        <v>0862</v>
      </c>
      <c r="G533" s="240" t="str">
        <f ca="1">IFERROR(__xludf.DUMMYFUNCTION("""COMPUTED_VALUE"""),"97527")</f>
        <v>97527</v>
      </c>
      <c r="H533" s="240" t="str">
        <f ca="1">IFERROR(__xludf.DUMMYFUNCTION("""COMPUTED_VALUE"""),"AEE")</f>
        <v>AEE</v>
      </c>
      <c r="I533" s="242">
        <f ca="1">IFERROR(__xludf.DUMMYFUNCTION("""COMPUTED_VALUE"""),357)</f>
        <v>357</v>
      </c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</row>
    <row r="534" spans="1:26" ht="21" customHeight="1">
      <c r="A534" s="240" t="str">
        <f ca="1">IFERROR(__xludf.DUMMYFUNCTION("""COMPUTED_VALUE"""),"Miracema")</f>
        <v>Miracema</v>
      </c>
      <c r="B534" s="240" t="str">
        <f ca="1">IFERROR(__xludf.DUMMYFUNCTION("""COMPUTED_VALUE"""),"Miracema do Tocantins")</f>
        <v>Miracema do Tocantins</v>
      </c>
      <c r="C534" s="240" t="str">
        <f ca="1">IFERROR(__xludf.DUMMYFUNCTION("""COMPUTED_VALUE"""),"A.COM.DA ESC. EST. JOSE D. VASCONCELOS")</f>
        <v>A.COM.DA ESC. EST. JOSE D. VASCONCELOS</v>
      </c>
      <c r="D534" s="241" t="str">
        <f ca="1">IFERROR(__xludf.DUMMYFUNCTION("""COMPUTED_VALUE"""),"01068379000134")</f>
        <v>01068379000134</v>
      </c>
      <c r="E534" s="241" t="str">
        <f ca="1">IFERROR(__xludf.DUMMYFUNCTION("""COMPUTED_VALUE"""),"001")</f>
        <v>001</v>
      </c>
      <c r="F534" s="241" t="str">
        <f ca="1">IFERROR(__xludf.DUMMYFUNCTION("""COMPUTED_VALUE"""),"0862")</f>
        <v>0862</v>
      </c>
      <c r="G534" s="240" t="str">
        <f ca="1">IFERROR(__xludf.DUMMYFUNCTION("""COMPUTED_VALUE"""),"69035")</f>
        <v>69035</v>
      </c>
      <c r="H534" s="240" t="str">
        <f ca="1">IFERROR(__xludf.DUMMYFUNCTION("""COMPUTED_VALUE"""),"E.F. PARCIAL")</f>
        <v>E.F. PARCIAL</v>
      </c>
      <c r="I534" s="242">
        <f ca="1">IFERROR(__xludf.DUMMYFUNCTION("""COMPUTED_VALUE"""),3423)</f>
        <v>3423</v>
      </c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</row>
    <row r="535" spans="1:26" ht="21" customHeight="1">
      <c r="A535" s="240" t="str">
        <f ca="1">IFERROR(__xludf.DUMMYFUNCTION("""COMPUTED_VALUE"""),"Miracema")</f>
        <v>Miracema</v>
      </c>
      <c r="B535" s="240" t="str">
        <f ca="1">IFERROR(__xludf.DUMMYFUNCTION("""COMPUTED_VALUE"""),"Miracema do Tocantins")</f>
        <v>Miracema do Tocantins</v>
      </c>
      <c r="C535" s="240" t="str">
        <f ca="1">IFERROR(__xludf.DUMMYFUNCTION("""COMPUTED_VALUE"""),"A.COM.DA ESC. EST. JOSE D. VASCONCELOS")</f>
        <v>A.COM.DA ESC. EST. JOSE D. VASCONCELOS</v>
      </c>
      <c r="D535" s="241" t="str">
        <f ca="1">IFERROR(__xludf.DUMMYFUNCTION("""COMPUTED_VALUE"""),"01068379000134")</f>
        <v>01068379000134</v>
      </c>
      <c r="E535" s="241" t="str">
        <f ca="1">IFERROR(__xludf.DUMMYFUNCTION("""COMPUTED_VALUE"""),"001")</f>
        <v>001</v>
      </c>
      <c r="F535" s="241" t="str">
        <f ca="1">IFERROR(__xludf.DUMMYFUNCTION("""COMPUTED_VALUE"""),"0862")</f>
        <v>0862</v>
      </c>
      <c r="G535" s="240" t="str">
        <f ca="1">IFERROR(__xludf.DUMMYFUNCTION("""COMPUTED_VALUE"""),"69035")</f>
        <v>69035</v>
      </c>
      <c r="H535" s="240" t="str">
        <f ca="1">IFERROR(__xludf.DUMMYFUNCTION("""COMPUTED_VALUE"""),"AEE")</f>
        <v>AEE</v>
      </c>
      <c r="I535" s="242">
        <f ca="1">IFERROR(__xludf.DUMMYFUNCTION("""COMPUTED_VALUE"""),399)</f>
        <v>399</v>
      </c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</row>
    <row r="536" spans="1:26" ht="21" customHeight="1">
      <c r="A536" s="240" t="str">
        <f ca="1">IFERROR(__xludf.DUMMYFUNCTION("""COMPUTED_VALUE"""),"Miracema")</f>
        <v>Miracema</v>
      </c>
      <c r="B536" s="240" t="str">
        <f ca="1">IFERROR(__xludf.DUMMYFUNCTION("""COMPUTED_VALUE"""),"Miracema do Tocantins")</f>
        <v>Miracema do Tocantins</v>
      </c>
      <c r="C536" s="240" t="str">
        <f ca="1">IFERROR(__xludf.DUMMYFUNCTION("""COMPUTED_VALUE"""),"A.COM.DA ESC. EST. JOSE D. VASCONCELOS")</f>
        <v>A.COM.DA ESC. EST. JOSE D. VASCONCELOS</v>
      </c>
      <c r="D536" s="241" t="str">
        <f ca="1">IFERROR(__xludf.DUMMYFUNCTION("""COMPUTED_VALUE"""),"01068379000134")</f>
        <v>01068379000134</v>
      </c>
      <c r="E536" s="241" t="str">
        <f ca="1">IFERROR(__xludf.DUMMYFUNCTION("""COMPUTED_VALUE"""),"001")</f>
        <v>001</v>
      </c>
      <c r="F536" s="241" t="str">
        <f ca="1">IFERROR(__xludf.DUMMYFUNCTION("""COMPUTED_VALUE"""),"0862")</f>
        <v>0862</v>
      </c>
      <c r="G536" s="240" t="str">
        <f ca="1">IFERROR(__xludf.DUMMYFUNCTION("""COMPUTED_VALUE"""),"69035")</f>
        <v>69035</v>
      </c>
      <c r="H536" s="240" t="str">
        <f ca="1">IFERROR(__xludf.DUMMYFUNCTION("""COMPUTED_VALUE"""),"ENS MEDIO PARCIAL")</f>
        <v>ENS MEDIO PARCIAL</v>
      </c>
      <c r="I536" s="242">
        <f ca="1">IFERROR(__xludf.DUMMYFUNCTION("""COMPUTED_VALUE"""),4914)</f>
        <v>4914</v>
      </c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</row>
    <row r="537" spans="1:26" ht="21" customHeight="1">
      <c r="A537" s="240" t="str">
        <f ca="1">IFERROR(__xludf.DUMMYFUNCTION("""COMPUTED_VALUE"""),"Miracema")</f>
        <v>Miracema</v>
      </c>
      <c r="B537" s="240" t="str">
        <f ca="1">IFERROR(__xludf.DUMMYFUNCTION("""COMPUTED_VALUE"""),"Miracema do Tocantins")</f>
        <v>Miracema do Tocantins</v>
      </c>
      <c r="C537" s="240" t="str">
        <f ca="1">IFERROR(__xludf.DUMMYFUNCTION("""COMPUTED_VALUE"""),"A.COM.DA ESC. EST. JOSE D. VASCONCELOS")</f>
        <v>A.COM.DA ESC. EST. JOSE D. VASCONCELOS</v>
      </c>
      <c r="D537" s="241" t="str">
        <f ca="1">IFERROR(__xludf.DUMMYFUNCTION("""COMPUTED_VALUE"""),"01068379000134")</f>
        <v>01068379000134</v>
      </c>
      <c r="E537" s="241" t="str">
        <f ca="1">IFERROR(__xludf.DUMMYFUNCTION("""COMPUTED_VALUE"""),"001")</f>
        <v>001</v>
      </c>
      <c r="F537" s="241" t="str">
        <f ca="1">IFERROR(__xludf.DUMMYFUNCTION("""COMPUTED_VALUE"""),"0862")</f>
        <v>0862</v>
      </c>
      <c r="G537" s="240" t="str">
        <f ca="1">IFERROR(__xludf.DUMMYFUNCTION("""COMPUTED_VALUE"""),"69035")</f>
        <v>69035</v>
      </c>
      <c r="H537" s="240" t="str">
        <f ca="1">IFERROR(__xludf.DUMMYFUNCTION("""COMPUTED_VALUE"""),"EJA")</f>
        <v>EJA</v>
      </c>
      <c r="I537" s="242">
        <f ca="1">IFERROR(__xludf.DUMMYFUNCTION("""COMPUTED_VALUE"""),147)</f>
        <v>147</v>
      </c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</row>
    <row r="538" spans="1:26" ht="21" customHeight="1">
      <c r="A538" s="240" t="str">
        <f ca="1">IFERROR(__xludf.DUMMYFUNCTION("""COMPUTED_VALUE"""),"Miracema")</f>
        <v>Miracema</v>
      </c>
      <c r="B538" s="240" t="str">
        <f ca="1">IFERROR(__xludf.DUMMYFUNCTION("""COMPUTED_VALUE"""),"Miracema do Tocantins")</f>
        <v>Miracema do Tocantins</v>
      </c>
      <c r="C538" s="240" t="str">
        <f ca="1">IFERROR(__xludf.DUMMYFUNCTION("""COMPUTED_VALUE"""),"ASS. DE APOIO AO CEM SANTA TEREZINHA")</f>
        <v>ASS. DE APOIO AO CEM SANTA TEREZINHA</v>
      </c>
      <c r="D538" s="241" t="str">
        <f ca="1">IFERROR(__xludf.DUMMYFUNCTION("""COMPUTED_VALUE"""),"01085211000137")</f>
        <v>01085211000137</v>
      </c>
      <c r="E538" s="241" t="str">
        <f ca="1">IFERROR(__xludf.DUMMYFUNCTION("""COMPUTED_VALUE"""),"001")</f>
        <v>001</v>
      </c>
      <c r="F538" s="241" t="str">
        <f ca="1">IFERROR(__xludf.DUMMYFUNCTION("""COMPUTED_VALUE"""),"0862")</f>
        <v>0862</v>
      </c>
      <c r="G538" s="240" t="str">
        <f ca="1">IFERROR(__xludf.DUMMYFUNCTION("""COMPUTED_VALUE"""),"244589")</f>
        <v>244589</v>
      </c>
      <c r="H538" s="240" t="str">
        <f ca="1">IFERROR(__xludf.DUMMYFUNCTION("""COMPUTED_VALUE"""),"E.F. PARCIAL")</f>
        <v>E.F. PARCIAL</v>
      </c>
      <c r="I538" s="242">
        <f ca="1">IFERROR(__xludf.DUMMYFUNCTION("""COMPUTED_VALUE"""),6573)</f>
        <v>6573</v>
      </c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</row>
    <row r="539" spans="1:26" ht="21" customHeight="1">
      <c r="A539" s="240" t="str">
        <f ca="1">IFERROR(__xludf.DUMMYFUNCTION("""COMPUTED_VALUE"""),"Miracema")</f>
        <v>Miracema</v>
      </c>
      <c r="B539" s="240" t="str">
        <f ca="1">IFERROR(__xludf.DUMMYFUNCTION("""COMPUTED_VALUE"""),"Miracema do Tocantins")</f>
        <v>Miracema do Tocantins</v>
      </c>
      <c r="C539" s="240" t="str">
        <f ca="1">IFERROR(__xludf.DUMMYFUNCTION("""COMPUTED_VALUE"""),"ASS. DE APOIO AO CEM SANTA TEREZINHA")</f>
        <v>ASS. DE APOIO AO CEM SANTA TEREZINHA</v>
      </c>
      <c r="D539" s="241" t="str">
        <f ca="1">IFERROR(__xludf.DUMMYFUNCTION("""COMPUTED_VALUE"""),"01085211000137")</f>
        <v>01085211000137</v>
      </c>
      <c r="E539" s="241" t="str">
        <f ca="1">IFERROR(__xludf.DUMMYFUNCTION("""COMPUTED_VALUE"""),"001")</f>
        <v>001</v>
      </c>
      <c r="F539" s="241" t="str">
        <f ca="1">IFERROR(__xludf.DUMMYFUNCTION("""COMPUTED_VALUE"""),"0862")</f>
        <v>0862</v>
      </c>
      <c r="G539" s="240" t="str">
        <f ca="1">IFERROR(__xludf.DUMMYFUNCTION("""COMPUTED_VALUE"""),"244589")</f>
        <v>244589</v>
      </c>
      <c r="H539" s="240" t="str">
        <f ca="1">IFERROR(__xludf.DUMMYFUNCTION("""COMPUTED_VALUE"""),"AEE")</f>
        <v>AEE</v>
      </c>
      <c r="I539" s="242">
        <f ca="1">IFERROR(__xludf.DUMMYFUNCTION("""COMPUTED_VALUE"""),504)</f>
        <v>504</v>
      </c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</row>
    <row r="540" spans="1:26" ht="21" customHeight="1">
      <c r="A540" s="240" t="str">
        <f ca="1">IFERROR(__xludf.DUMMYFUNCTION("""COMPUTED_VALUE"""),"Miracema")</f>
        <v>Miracema</v>
      </c>
      <c r="B540" s="240" t="str">
        <f ca="1">IFERROR(__xludf.DUMMYFUNCTION("""COMPUTED_VALUE"""),"Miracema do Tocantins")</f>
        <v>Miracema do Tocantins</v>
      </c>
      <c r="C540" s="240" t="str">
        <f ca="1">IFERROR(__xludf.DUMMYFUNCTION("""COMPUTED_VALUE"""),"ASS. DE APOIO AO CEM SANTA TEREZINHA")</f>
        <v>ASS. DE APOIO AO CEM SANTA TEREZINHA</v>
      </c>
      <c r="D540" s="241" t="str">
        <f ca="1">IFERROR(__xludf.DUMMYFUNCTION("""COMPUTED_VALUE"""),"01085211000137")</f>
        <v>01085211000137</v>
      </c>
      <c r="E540" s="241" t="str">
        <f ca="1">IFERROR(__xludf.DUMMYFUNCTION("""COMPUTED_VALUE"""),"001")</f>
        <v>001</v>
      </c>
      <c r="F540" s="241" t="str">
        <f ca="1">IFERROR(__xludf.DUMMYFUNCTION("""COMPUTED_VALUE"""),"0862")</f>
        <v>0862</v>
      </c>
      <c r="G540" s="240" t="str">
        <f ca="1">IFERROR(__xludf.DUMMYFUNCTION("""COMPUTED_VALUE"""),"244589")</f>
        <v>244589</v>
      </c>
      <c r="H540" s="240" t="str">
        <f ca="1">IFERROR(__xludf.DUMMYFUNCTION("""COMPUTED_VALUE"""),"ENS MEDIO PARCIAL")</f>
        <v>ENS MEDIO PARCIAL</v>
      </c>
      <c r="I540" s="242">
        <f ca="1">IFERROR(__xludf.DUMMYFUNCTION("""COMPUTED_VALUE"""),4284)</f>
        <v>4284</v>
      </c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</row>
    <row r="541" spans="1:26" ht="21" customHeight="1">
      <c r="A541" s="240" t="str">
        <f ca="1">IFERROR(__xludf.DUMMYFUNCTION("""COMPUTED_VALUE"""),"Miracema")</f>
        <v>Miracema</v>
      </c>
      <c r="B541" s="240" t="str">
        <f ca="1">IFERROR(__xludf.DUMMYFUNCTION("""COMPUTED_VALUE"""),"Miracema do Tocantins")</f>
        <v>Miracema do Tocantins</v>
      </c>
      <c r="C541" s="240" t="str">
        <f ca="1">IFERROR(__xludf.DUMMYFUNCTION("""COMPUTED_VALUE"""),"A.P.M.A. ESC. CONV. ONESINA BANDEIRA")</f>
        <v>A.P.M.A. ESC. CONV. ONESINA BANDEIRA</v>
      </c>
      <c r="D541" s="241" t="str">
        <f ca="1">IFERROR(__xludf.DUMMYFUNCTION("""COMPUTED_VALUE"""),"01133700000117")</f>
        <v>01133700000117</v>
      </c>
      <c r="E541" s="241" t="str">
        <f ca="1">IFERROR(__xludf.DUMMYFUNCTION("""COMPUTED_VALUE"""),"001")</f>
        <v>001</v>
      </c>
      <c r="F541" s="241" t="str">
        <f ca="1">IFERROR(__xludf.DUMMYFUNCTION("""COMPUTED_VALUE"""),"0862")</f>
        <v>0862</v>
      </c>
      <c r="G541" s="240" t="str">
        <f ca="1">IFERROR(__xludf.DUMMYFUNCTION("""COMPUTED_VALUE"""),"69051")</f>
        <v>69051</v>
      </c>
      <c r="H541" s="240" t="str">
        <f ca="1">IFERROR(__xludf.DUMMYFUNCTION("""COMPUTED_VALUE"""),"E.F. PARCIAL")</f>
        <v>E.F. PARCIAL</v>
      </c>
      <c r="I541" s="242">
        <f ca="1">IFERROR(__xludf.DUMMYFUNCTION("""COMPUTED_VALUE"""),8400)</f>
        <v>8400</v>
      </c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</row>
    <row r="542" spans="1:26" ht="21" customHeight="1">
      <c r="A542" s="240" t="str">
        <f ca="1">IFERROR(__xludf.DUMMYFUNCTION("""COMPUTED_VALUE"""),"Miracema")</f>
        <v>Miracema</v>
      </c>
      <c r="B542" s="240" t="str">
        <f ca="1">IFERROR(__xludf.DUMMYFUNCTION("""COMPUTED_VALUE"""),"Miracema do Tocantins")</f>
        <v>Miracema do Tocantins</v>
      </c>
      <c r="C542" s="240" t="str">
        <f ca="1">IFERROR(__xludf.DUMMYFUNCTION("""COMPUTED_VALUE"""),"A.P.M.A. ESC. CONV. ONESINA BANDEIRA")</f>
        <v>A.P.M.A. ESC. CONV. ONESINA BANDEIRA</v>
      </c>
      <c r="D542" s="241" t="str">
        <f ca="1">IFERROR(__xludf.DUMMYFUNCTION("""COMPUTED_VALUE"""),"01133700000117")</f>
        <v>01133700000117</v>
      </c>
      <c r="E542" s="241" t="str">
        <f ca="1">IFERROR(__xludf.DUMMYFUNCTION("""COMPUTED_VALUE"""),"001")</f>
        <v>001</v>
      </c>
      <c r="F542" s="241" t="str">
        <f ca="1">IFERROR(__xludf.DUMMYFUNCTION("""COMPUTED_VALUE"""),"0862")</f>
        <v>0862</v>
      </c>
      <c r="G542" s="240" t="str">
        <f ca="1">IFERROR(__xludf.DUMMYFUNCTION("""COMPUTED_VALUE"""),"69051")</f>
        <v>69051</v>
      </c>
      <c r="H542" s="240" t="str">
        <f ca="1">IFERROR(__xludf.DUMMYFUNCTION("""COMPUTED_VALUE"""),"AEE")</f>
        <v>AEE</v>
      </c>
      <c r="I542" s="242">
        <f ca="1">IFERROR(__xludf.DUMMYFUNCTION("""COMPUTED_VALUE"""),399)</f>
        <v>399</v>
      </c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</row>
    <row r="543" spans="1:26" ht="21" customHeight="1">
      <c r="A543" s="240" t="str">
        <f ca="1">IFERROR(__xludf.DUMMYFUNCTION("""COMPUTED_VALUE"""),"Miracema")</f>
        <v>Miracema</v>
      </c>
      <c r="B543" s="240" t="str">
        <f ca="1">IFERROR(__xludf.DUMMYFUNCTION("""COMPUTED_VALUE"""),"Miracema do Tocantins")</f>
        <v>Miracema do Tocantins</v>
      </c>
      <c r="C543" s="240" t="str">
        <f ca="1">IFERROR(__xludf.DUMMYFUNCTION("""COMPUTED_VALUE"""),"A.P.M.A. ESC. CONV. ONESINA BANDEIRA")</f>
        <v>A.P.M.A. ESC. CONV. ONESINA BANDEIRA</v>
      </c>
      <c r="D543" s="241" t="str">
        <f ca="1">IFERROR(__xludf.DUMMYFUNCTION("""COMPUTED_VALUE"""),"01133700000117")</f>
        <v>01133700000117</v>
      </c>
      <c r="E543" s="241" t="str">
        <f ca="1">IFERROR(__xludf.DUMMYFUNCTION("""COMPUTED_VALUE"""),"001")</f>
        <v>001</v>
      </c>
      <c r="F543" s="241" t="str">
        <f ca="1">IFERROR(__xludf.DUMMYFUNCTION("""COMPUTED_VALUE"""),"0862")</f>
        <v>0862</v>
      </c>
      <c r="G543" s="240" t="str">
        <f ca="1">IFERROR(__xludf.DUMMYFUNCTION("""COMPUTED_VALUE"""),"69051")</f>
        <v>69051</v>
      </c>
      <c r="H543" s="240" t="str">
        <f ca="1">IFERROR(__xludf.DUMMYFUNCTION("""COMPUTED_VALUE"""),"ENS MEDIO PARCIAL")</f>
        <v>ENS MEDIO PARCIAL</v>
      </c>
      <c r="I543" s="242">
        <f ca="1">IFERROR(__xludf.DUMMYFUNCTION("""COMPUTED_VALUE"""),1596)</f>
        <v>1596</v>
      </c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</row>
    <row r="544" spans="1:26" ht="21" customHeight="1">
      <c r="A544" s="240" t="str">
        <f ca="1">IFERROR(__xludf.DUMMYFUNCTION("""COMPUTED_VALUE"""),"Miracema")</f>
        <v>Miracema</v>
      </c>
      <c r="B544" s="240" t="str">
        <f ca="1">IFERROR(__xludf.DUMMYFUNCTION("""COMPUTED_VALUE"""),"Miracema do Tocantins")</f>
        <v>Miracema do Tocantins</v>
      </c>
      <c r="C544" s="240" t="str">
        <f ca="1">IFERROR(__xludf.DUMMYFUNCTION("""COMPUTED_VALUE"""),"A.P.M.A. ESC. CONV. ONESINA BANDEIRA")</f>
        <v>A.P.M.A. ESC. CONV. ONESINA BANDEIRA</v>
      </c>
      <c r="D544" s="241" t="str">
        <f ca="1">IFERROR(__xludf.DUMMYFUNCTION("""COMPUTED_VALUE"""),"01133700000117")</f>
        <v>01133700000117</v>
      </c>
      <c r="E544" s="241" t="str">
        <f ca="1">IFERROR(__xludf.DUMMYFUNCTION("""COMPUTED_VALUE"""),"001")</f>
        <v>001</v>
      </c>
      <c r="F544" s="241" t="str">
        <f ca="1">IFERROR(__xludf.DUMMYFUNCTION("""COMPUTED_VALUE"""),"0862")</f>
        <v>0862</v>
      </c>
      <c r="G544" s="240" t="str">
        <f ca="1">IFERROR(__xludf.DUMMYFUNCTION("""COMPUTED_VALUE"""),"69051")</f>
        <v>69051</v>
      </c>
      <c r="H544" s="240" t="str">
        <f ca="1">IFERROR(__xludf.DUMMYFUNCTION("""COMPUTED_VALUE"""),"EJA")</f>
        <v>EJA</v>
      </c>
      <c r="I544" s="242">
        <f ca="1">IFERROR(__xludf.DUMMYFUNCTION("""COMPUTED_VALUE"""),5397)</f>
        <v>5397</v>
      </c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</row>
    <row r="545" spans="1:26" ht="21" customHeight="1">
      <c r="A545" s="240" t="str">
        <f ca="1">IFERROR(__xludf.DUMMYFUNCTION("""COMPUTED_VALUE"""),"Miracema")</f>
        <v>Miracema</v>
      </c>
      <c r="B545" s="240" t="str">
        <f ca="1">IFERROR(__xludf.DUMMYFUNCTION("""COMPUTED_VALUE"""),"Miracema do Tocantins")</f>
        <v>Miracema do Tocantins</v>
      </c>
      <c r="C545" s="240" t="str">
        <f ca="1">IFERROR(__xludf.DUMMYFUNCTION("""COMPUTED_VALUE"""),"A.A.  DA ESCOLA ESTADUAL OSCAR SARDINHA")</f>
        <v>A.A.  DA ESCOLA ESTADUAL OSCAR SARDINHA</v>
      </c>
      <c r="D545" s="241" t="str">
        <f ca="1">IFERROR(__xludf.DUMMYFUNCTION("""COMPUTED_VALUE"""),"01197158000166")</f>
        <v>01197158000166</v>
      </c>
      <c r="E545" s="241" t="str">
        <f ca="1">IFERROR(__xludf.DUMMYFUNCTION("""COMPUTED_VALUE"""),"001")</f>
        <v>001</v>
      </c>
      <c r="F545" s="241" t="str">
        <f ca="1">IFERROR(__xludf.DUMMYFUNCTION("""COMPUTED_VALUE"""),"0862")</f>
        <v>0862</v>
      </c>
      <c r="G545" s="240" t="str">
        <f ca="1">IFERROR(__xludf.DUMMYFUNCTION("""COMPUTED_VALUE"""),"6906X")</f>
        <v>6906X</v>
      </c>
      <c r="H545" s="240" t="str">
        <f ca="1">IFERROR(__xludf.DUMMYFUNCTION("""COMPUTED_VALUE"""),"E.F. PARCIAL")</f>
        <v>E.F. PARCIAL</v>
      </c>
      <c r="I545" s="242">
        <f ca="1">IFERROR(__xludf.DUMMYFUNCTION("""COMPUTED_VALUE"""),2247)</f>
        <v>2247</v>
      </c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</row>
    <row r="546" spans="1:26" ht="21" customHeight="1">
      <c r="A546" s="240" t="str">
        <f ca="1">IFERROR(__xludf.DUMMYFUNCTION("""COMPUTED_VALUE"""),"Miracema")</f>
        <v>Miracema</v>
      </c>
      <c r="B546" s="240" t="str">
        <f ca="1">IFERROR(__xludf.DUMMYFUNCTION("""COMPUTED_VALUE"""),"Miracema do Tocantins")</f>
        <v>Miracema do Tocantins</v>
      </c>
      <c r="C546" s="240" t="str">
        <f ca="1">IFERROR(__xludf.DUMMYFUNCTION("""COMPUTED_VALUE"""),"A.A.  DA ESCOLA ESTADUAL OSCAR SARDINHA")</f>
        <v>A.A.  DA ESCOLA ESTADUAL OSCAR SARDINHA</v>
      </c>
      <c r="D546" s="241" t="str">
        <f ca="1">IFERROR(__xludf.DUMMYFUNCTION("""COMPUTED_VALUE"""),"01197158000166")</f>
        <v>01197158000166</v>
      </c>
      <c r="E546" s="241" t="str">
        <f ca="1">IFERROR(__xludf.DUMMYFUNCTION("""COMPUTED_VALUE"""),"001")</f>
        <v>001</v>
      </c>
      <c r="F546" s="241" t="str">
        <f ca="1">IFERROR(__xludf.DUMMYFUNCTION("""COMPUTED_VALUE"""),"0862")</f>
        <v>0862</v>
      </c>
      <c r="G546" s="240" t="str">
        <f ca="1">IFERROR(__xludf.DUMMYFUNCTION("""COMPUTED_VALUE"""),"6906X")</f>
        <v>6906X</v>
      </c>
      <c r="H546" s="240" t="str">
        <f ca="1">IFERROR(__xludf.DUMMYFUNCTION("""COMPUTED_VALUE"""),"AEE")</f>
        <v>AEE</v>
      </c>
      <c r="I546" s="242">
        <f ca="1">IFERROR(__xludf.DUMMYFUNCTION("""COMPUTED_VALUE"""),231)</f>
        <v>231</v>
      </c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</row>
    <row r="547" spans="1:26" ht="21" customHeight="1">
      <c r="A547" s="240" t="str">
        <f ca="1">IFERROR(__xludf.DUMMYFUNCTION("""COMPUTED_VALUE"""),"Miracema")</f>
        <v>Miracema</v>
      </c>
      <c r="B547" s="240" t="str">
        <f ca="1">IFERROR(__xludf.DUMMYFUNCTION("""COMPUTED_VALUE"""),"Miracema do Tocantins")</f>
        <v>Miracema do Tocantins</v>
      </c>
      <c r="C547" s="240" t="str">
        <f ca="1">IFERROR(__xludf.DUMMYFUNCTION("""COMPUTED_VALUE"""),"ASSOCIAÇÃO DE APOIO ÀS ESCOLAS INDIGENAS XERENTE")</f>
        <v>ASSOCIAÇÃO DE APOIO ÀS ESCOLAS INDIGENAS XERENTE</v>
      </c>
      <c r="D547" s="241" t="str">
        <f ca="1">IFERROR(__xludf.DUMMYFUNCTION("""COMPUTED_VALUE"""),"07671600000120")</f>
        <v>07671600000120</v>
      </c>
      <c r="E547" s="241" t="str">
        <f ca="1">IFERROR(__xludf.DUMMYFUNCTION("""COMPUTED_VALUE"""),"001")</f>
        <v>001</v>
      </c>
      <c r="F547" s="241" t="str">
        <f ca="1">IFERROR(__xludf.DUMMYFUNCTION("""COMPUTED_VALUE"""),"0862")</f>
        <v>0862</v>
      </c>
      <c r="G547" s="240" t="str">
        <f ca="1">IFERROR(__xludf.DUMMYFUNCTION("""COMPUTED_VALUE"""),"185884")</f>
        <v>185884</v>
      </c>
      <c r="H547" s="240" t="str">
        <f ca="1">IFERROR(__xludf.DUMMYFUNCTION("""COMPUTED_VALUE"""),"INDIGENA PARCIAL")</f>
        <v>INDIGENA PARCIAL</v>
      </c>
      <c r="I547" s="242">
        <f ca="1">IFERROR(__xludf.DUMMYFUNCTION("""COMPUTED_VALUE"""),25641)</f>
        <v>25641</v>
      </c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</row>
    <row r="548" spans="1:26" ht="21" customHeight="1">
      <c r="A548" s="240" t="str">
        <f ca="1">IFERROR(__xludf.DUMMYFUNCTION("""COMPUTED_VALUE"""),"Miracema")</f>
        <v>Miracema</v>
      </c>
      <c r="B548" s="240" t="str">
        <f ca="1">IFERROR(__xludf.DUMMYFUNCTION("""COMPUTED_VALUE"""),"Miracema do Tocantins")</f>
        <v>Miracema do Tocantins</v>
      </c>
      <c r="C548" s="240" t="str">
        <f ca="1">IFERROR(__xludf.DUMMYFUNCTION("""COMPUTED_VALUE"""),"A.P.A.DOS EXECEPCIONAIS DE MIRACEMA - APAE")</f>
        <v>A.P.A.DOS EXECEPCIONAIS DE MIRACEMA - APAE</v>
      </c>
      <c r="D548" s="241" t="str">
        <f ca="1">IFERROR(__xludf.DUMMYFUNCTION("""COMPUTED_VALUE"""),"38146965000160")</f>
        <v>38146965000160</v>
      </c>
      <c r="E548" s="241" t="str">
        <f ca="1">IFERROR(__xludf.DUMMYFUNCTION("""COMPUTED_VALUE"""),"001")</f>
        <v>001</v>
      </c>
      <c r="F548" s="241" t="str">
        <f ca="1">IFERROR(__xludf.DUMMYFUNCTION("""COMPUTED_VALUE"""),"0862")</f>
        <v>0862</v>
      </c>
      <c r="G548" s="240" t="str">
        <f ca="1">IFERROR(__xludf.DUMMYFUNCTION("""COMPUTED_VALUE"""),"93734")</f>
        <v>93734</v>
      </c>
      <c r="H548" s="240" t="str">
        <f ca="1">IFERROR(__xludf.DUMMYFUNCTION("""COMPUTED_VALUE"""),"PRÉ-ESCOLA")</f>
        <v>PRÉ-ESCOLA</v>
      </c>
      <c r="I548" s="242">
        <f ca="1">IFERROR(__xludf.DUMMYFUNCTION("""COMPUTED_VALUE"""),336)</f>
        <v>336</v>
      </c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</row>
    <row r="549" spans="1:26" ht="21" customHeight="1">
      <c r="A549" s="240" t="str">
        <f ca="1">IFERROR(__xludf.DUMMYFUNCTION("""COMPUTED_VALUE"""),"Miracema")</f>
        <v>Miracema</v>
      </c>
      <c r="B549" s="240" t="str">
        <f ca="1">IFERROR(__xludf.DUMMYFUNCTION("""COMPUTED_VALUE"""),"Miracema do Tocantins")</f>
        <v>Miracema do Tocantins</v>
      </c>
      <c r="C549" s="240" t="str">
        <f ca="1">IFERROR(__xludf.DUMMYFUNCTION("""COMPUTED_VALUE"""),"A.P.A.DOS EXECEPCIONAIS DE MIRACEMA - APAE")</f>
        <v>A.P.A.DOS EXECEPCIONAIS DE MIRACEMA - APAE</v>
      </c>
      <c r="D549" s="241" t="str">
        <f ca="1">IFERROR(__xludf.DUMMYFUNCTION("""COMPUTED_VALUE"""),"38146965000160")</f>
        <v>38146965000160</v>
      </c>
      <c r="E549" s="241" t="str">
        <f ca="1">IFERROR(__xludf.DUMMYFUNCTION("""COMPUTED_VALUE"""),"001")</f>
        <v>001</v>
      </c>
      <c r="F549" s="241" t="str">
        <f ca="1">IFERROR(__xludf.DUMMYFUNCTION("""COMPUTED_VALUE"""),"0862")</f>
        <v>0862</v>
      </c>
      <c r="G549" s="240" t="str">
        <f ca="1">IFERROR(__xludf.DUMMYFUNCTION("""COMPUTED_VALUE"""),"93734")</f>
        <v>93734</v>
      </c>
      <c r="H549" s="240" t="str">
        <f ca="1">IFERROR(__xludf.DUMMYFUNCTION("""COMPUTED_VALUE"""),"E.F. PARCIAL")</f>
        <v>E.F. PARCIAL</v>
      </c>
      <c r="I549" s="242">
        <f ca="1">IFERROR(__xludf.DUMMYFUNCTION("""COMPUTED_VALUE"""),483)</f>
        <v>483</v>
      </c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</row>
    <row r="550" spans="1:26" ht="21" customHeight="1">
      <c r="A550" s="240" t="str">
        <f ca="1">IFERROR(__xludf.DUMMYFUNCTION("""COMPUTED_VALUE"""),"Miracema")</f>
        <v>Miracema</v>
      </c>
      <c r="B550" s="240" t="str">
        <f ca="1">IFERROR(__xludf.DUMMYFUNCTION("""COMPUTED_VALUE"""),"Miracema do Tocantins")</f>
        <v>Miracema do Tocantins</v>
      </c>
      <c r="C550" s="240" t="str">
        <f ca="1">IFERROR(__xludf.DUMMYFUNCTION("""COMPUTED_VALUE"""),"A.P.A.DOS EXECEPCIONAIS DE MIRACEMA - APAE")</f>
        <v>A.P.A.DOS EXECEPCIONAIS DE MIRACEMA - APAE</v>
      </c>
      <c r="D550" s="241" t="str">
        <f ca="1">IFERROR(__xludf.DUMMYFUNCTION("""COMPUTED_VALUE"""),"38146965000160")</f>
        <v>38146965000160</v>
      </c>
      <c r="E550" s="241" t="str">
        <f ca="1">IFERROR(__xludf.DUMMYFUNCTION("""COMPUTED_VALUE"""),"001")</f>
        <v>001</v>
      </c>
      <c r="F550" s="241" t="str">
        <f ca="1">IFERROR(__xludf.DUMMYFUNCTION("""COMPUTED_VALUE"""),"0862")</f>
        <v>0862</v>
      </c>
      <c r="G550" s="240" t="str">
        <f ca="1">IFERROR(__xludf.DUMMYFUNCTION("""COMPUTED_VALUE"""),"93734")</f>
        <v>93734</v>
      </c>
      <c r="H550" s="240" t="str">
        <f ca="1">IFERROR(__xludf.DUMMYFUNCTION("""COMPUTED_VALUE"""),"AEE")</f>
        <v>AEE</v>
      </c>
      <c r="I550" s="242">
        <f ca="1">IFERROR(__xludf.DUMMYFUNCTION("""COMPUTED_VALUE"""),1785)</f>
        <v>1785</v>
      </c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</row>
    <row r="551" spans="1:26" ht="21" customHeight="1">
      <c r="A551" s="240" t="str">
        <f ca="1">IFERROR(__xludf.DUMMYFUNCTION("""COMPUTED_VALUE"""),"Miracema")</f>
        <v>Miracema</v>
      </c>
      <c r="B551" s="240" t="str">
        <f ca="1">IFERROR(__xludf.DUMMYFUNCTION("""COMPUTED_VALUE"""),"Miracema do Tocantins")</f>
        <v>Miracema do Tocantins</v>
      </c>
      <c r="C551" s="240" t="str">
        <f ca="1">IFERROR(__xludf.DUMMYFUNCTION("""COMPUTED_VALUE"""),"A.P.A.DOS EXECEPCIONAIS DE MIRACEMA - APAE")</f>
        <v>A.P.A.DOS EXECEPCIONAIS DE MIRACEMA - APAE</v>
      </c>
      <c r="D551" s="241" t="str">
        <f ca="1">IFERROR(__xludf.DUMMYFUNCTION("""COMPUTED_VALUE"""),"38146965000160")</f>
        <v>38146965000160</v>
      </c>
      <c r="E551" s="241" t="str">
        <f ca="1">IFERROR(__xludf.DUMMYFUNCTION("""COMPUTED_VALUE"""),"001")</f>
        <v>001</v>
      </c>
      <c r="F551" s="241" t="str">
        <f ca="1">IFERROR(__xludf.DUMMYFUNCTION("""COMPUTED_VALUE"""),"0862")</f>
        <v>0862</v>
      </c>
      <c r="G551" s="240" t="str">
        <f ca="1">IFERROR(__xludf.DUMMYFUNCTION("""COMPUTED_VALUE"""),"93734")</f>
        <v>93734</v>
      </c>
      <c r="H551" s="240" t="str">
        <f ca="1">IFERROR(__xludf.DUMMYFUNCTION("""COMPUTED_VALUE"""),"EJA")</f>
        <v>EJA</v>
      </c>
      <c r="I551" s="242">
        <f ca="1">IFERROR(__xludf.DUMMYFUNCTION("""COMPUTED_VALUE"""),1554)</f>
        <v>1554</v>
      </c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</row>
    <row r="552" spans="1:26" ht="21" customHeight="1">
      <c r="A552" s="240" t="str">
        <f ca="1">IFERROR(__xludf.DUMMYFUNCTION("""COMPUTED_VALUE"""),"Miracema")</f>
        <v>Miracema</v>
      </c>
      <c r="B552" s="240" t="str">
        <f ca="1">IFERROR(__xludf.DUMMYFUNCTION("""COMPUTED_VALUE"""),"Miracema do Tocantins")</f>
        <v>Miracema do Tocantins</v>
      </c>
      <c r="C552" s="240" t="str">
        <f ca="1">IFERROR(__xludf.DUMMYFUNCTION("""COMPUTED_VALUE"""),"SOCIEDADE EDUCADORA FEMININA/COLÉGIO TOCANTINS")</f>
        <v>SOCIEDADE EDUCADORA FEMININA/COLÉGIO TOCANTINS</v>
      </c>
      <c r="D552" s="241" t="str">
        <f ca="1">IFERROR(__xludf.DUMMYFUNCTION("""COMPUTED_VALUE"""),"61373585000694")</f>
        <v>61373585000694</v>
      </c>
      <c r="E552" s="241" t="str">
        <f ca="1">IFERROR(__xludf.DUMMYFUNCTION("""COMPUTED_VALUE"""),"001")</f>
        <v>001</v>
      </c>
      <c r="F552" s="241" t="str">
        <f ca="1">IFERROR(__xludf.DUMMYFUNCTION("""COMPUTED_VALUE"""),"0862")</f>
        <v>0862</v>
      </c>
      <c r="G552" s="240" t="str">
        <f ca="1">IFERROR(__xludf.DUMMYFUNCTION("""COMPUTED_VALUE"""),"69086")</f>
        <v>69086</v>
      </c>
      <c r="H552" s="240" t="str">
        <f ca="1">IFERROR(__xludf.DUMMYFUNCTION("""COMPUTED_VALUE"""),"E.F. PARCIAL")</f>
        <v>E.F. PARCIAL</v>
      </c>
      <c r="I552" s="242">
        <f ca="1">IFERROR(__xludf.DUMMYFUNCTION("""COMPUTED_VALUE"""),4830)</f>
        <v>4830</v>
      </c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</row>
    <row r="553" spans="1:26" ht="21" customHeight="1">
      <c r="A553" s="240" t="str">
        <f ca="1">IFERROR(__xludf.DUMMYFUNCTION("""COMPUTED_VALUE"""),"Miracema")</f>
        <v>Miracema</v>
      </c>
      <c r="B553" s="240" t="str">
        <f ca="1">IFERROR(__xludf.DUMMYFUNCTION("""COMPUTED_VALUE"""),"Miracema do Tocantins")</f>
        <v>Miracema do Tocantins</v>
      </c>
      <c r="C553" s="240" t="str">
        <f ca="1">IFERROR(__xludf.DUMMYFUNCTION("""COMPUTED_VALUE"""),"SOCIEDADE EDUCADORA FEMININA/COLÉGIO TOCANTINS")</f>
        <v>SOCIEDADE EDUCADORA FEMININA/COLÉGIO TOCANTINS</v>
      </c>
      <c r="D553" s="241" t="str">
        <f ca="1">IFERROR(__xludf.DUMMYFUNCTION("""COMPUTED_VALUE"""),"61373585000694")</f>
        <v>61373585000694</v>
      </c>
      <c r="E553" s="241" t="str">
        <f ca="1">IFERROR(__xludf.DUMMYFUNCTION("""COMPUTED_VALUE"""),"001")</f>
        <v>001</v>
      </c>
      <c r="F553" s="241" t="str">
        <f ca="1">IFERROR(__xludf.DUMMYFUNCTION("""COMPUTED_VALUE"""),"0862")</f>
        <v>0862</v>
      </c>
      <c r="G553" s="240" t="str">
        <f ca="1">IFERROR(__xludf.DUMMYFUNCTION("""COMPUTED_VALUE"""),"69086")</f>
        <v>69086</v>
      </c>
      <c r="H553" s="240" t="str">
        <f ca="1">IFERROR(__xludf.DUMMYFUNCTION("""COMPUTED_VALUE"""),"AEE")</f>
        <v>AEE</v>
      </c>
      <c r="I553" s="242">
        <f ca="1">IFERROR(__xludf.DUMMYFUNCTION("""COMPUTED_VALUE"""),273)</f>
        <v>273</v>
      </c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</row>
    <row r="554" spans="1:26" ht="21" customHeight="1">
      <c r="A554" s="240" t="str">
        <f ca="1">IFERROR(__xludf.DUMMYFUNCTION("""COMPUTED_VALUE"""),"Miracema")</f>
        <v>Miracema</v>
      </c>
      <c r="B554" s="240" t="str">
        <f ca="1">IFERROR(__xludf.DUMMYFUNCTION("""COMPUTED_VALUE"""),"Miracema do Tocantins")</f>
        <v>Miracema do Tocantins</v>
      </c>
      <c r="C554" s="240" t="str">
        <f ca="1">IFERROR(__xludf.DUMMYFUNCTION("""COMPUTED_VALUE"""),"SOCIEDADE EDUCADORA FEMININA/COLÉGIO TOCANTINS")</f>
        <v>SOCIEDADE EDUCADORA FEMININA/COLÉGIO TOCANTINS</v>
      </c>
      <c r="D554" s="241" t="str">
        <f ca="1">IFERROR(__xludf.DUMMYFUNCTION("""COMPUTED_VALUE"""),"61373585000694")</f>
        <v>61373585000694</v>
      </c>
      <c r="E554" s="241" t="str">
        <f ca="1">IFERROR(__xludf.DUMMYFUNCTION("""COMPUTED_VALUE"""),"001")</f>
        <v>001</v>
      </c>
      <c r="F554" s="241" t="str">
        <f ca="1">IFERROR(__xludf.DUMMYFUNCTION("""COMPUTED_VALUE"""),"0862")</f>
        <v>0862</v>
      </c>
      <c r="G554" s="240" t="str">
        <f ca="1">IFERROR(__xludf.DUMMYFUNCTION("""COMPUTED_VALUE"""),"69086")</f>
        <v>69086</v>
      </c>
      <c r="H554" s="240" t="str">
        <f ca="1">IFERROR(__xludf.DUMMYFUNCTION("""COMPUTED_VALUE"""),"ENS MEDIO PARCIAL")</f>
        <v>ENS MEDIO PARCIAL</v>
      </c>
      <c r="I554" s="242">
        <f ca="1">IFERROR(__xludf.DUMMYFUNCTION("""COMPUTED_VALUE"""),4914)</f>
        <v>4914</v>
      </c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</row>
    <row r="555" spans="1:26" ht="21" customHeight="1">
      <c r="A555" s="240" t="str">
        <f ca="1">IFERROR(__xludf.DUMMYFUNCTION("""COMPUTED_VALUE"""),"Miracema")</f>
        <v>Miracema</v>
      </c>
      <c r="B555" s="240" t="str">
        <f ca="1">IFERROR(__xludf.DUMMYFUNCTION("""COMPUTED_VALUE"""),"Miranorte")</f>
        <v>Miranorte</v>
      </c>
      <c r="C555" s="240" t="str">
        <f ca="1">IFERROR(__xludf.DUMMYFUNCTION("""COMPUTED_VALUE"""),"ASSOC. COM. DO COL. RUI BRASIL CAVALCANTE")</f>
        <v>ASSOC. COM. DO COL. RUI BRASIL CAVALCANTE</v>
      </c>
      <c r="D555" s="241" t="str">
        <f ca="1">IFERROR(__xludf.DUMMYFUNCTION("""COMPUTED_VALUE"""),"01112765000186")</f>
        <v>01112765000186</v>
      </c>
      <c r="E555" s="241" t="str">
        <f ca="1">IFERROR(__xludf.DUMMYFUNCTION("""COMPUTED_VALUE"""),"001")</f>
        <v>001</v>
      </c>
      <c r="F555" s="241" t="str">
        <f ca="1">IFERROR(__xludf.DUMMYFUNCTION("""COMPUTED_VALUE"""),"4560")</f>
        <v>4560</v>
      </c>
      <c r="G555" s="240" t="str">
        <f ca="1">IFERROR(__xludf.DUMMYFUNCTION("""COMPUTED_VALUE"""),"78905")</f>
        <v>78905</v>
      </c>
      <c r="H555" s="240" t="str">
        <f ca="1">IFERROR(__xludf.DUMMYFUNCTION("""COMPUTED_VALUE"""),"AEE")</f>
        <v>AEE</v>
      </c>
      <c r="I555" s="242">
        <f ca="1">IFERROR(__xludf.DUMMYFUNCTION("""COMPUTED_VALUE"""),357)</f>
        <v>357</v>
      </c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</row>
    <row r="556" spans="1:26" ht="21" customHeight="1">
      <c r="A556" s="240" t="str">
        <f ca="1">IFERROR(__xludf.DUMMYFUNCTION("""COMPUTED_VALUE"""),"Miracema")</f>
        <v>Miracema</v>
      </c>
      <c r="B556" s="240" t="str">
        <f ca="1">IFERROR(__xludf.DUMMYFUNCTION("""COMPUTED_VALUE"""),"Miranorte")</f>
        <v>Miranorte</v>
      </c>
      <c r="C556" s="240" t="str">
        <f ca="1">IFERROR(__xludf.DUMMYFUNCTION("""COMPUTED_VALUE"""),"ASSOC. COM. DO COL. RUI BRASIL CAVALCANTE")</f>
        <v>ASSOC. COM. DO COL. RUI BRASIL CAVALCANTE</v>
      </c>
      <c r="D556" s="241" t="str">
        <f ca="1">IFERROR(__xludf.DUMMYFUNCTION("""COMPUTED_VALUE"""),"01112765000186")</f>
        <v>01112765000186</v>
      </c>
      <c r="E556" s="241" t="str">
        <f ca="1">IFERROR(__xludf.DUMMYFUNCTION("""COMPUTED_VALUE"""),"001")</f>
        <v>001</v>
      </c>
      <c r="F556" s="241" t="str">
        <f ca="1">IFERROR(__xludf.DUMMYFUNCTION("""COMPUTED_VALUE"""),"4560")</f>
        <v>4560</v>
      </c>
      <c r="G556" s="240" t="str">
        <f ca="1">IFERROR(__xludf.DUMMYFUNCTION("""COMPUTED_VALUE"""),"78905")</f>
        <v>78905</v>
      </c>
      <c r="H556" s="240" t="str">
        <f ca="1">IFERROR(__xludf.DUMMYFUNCTION("""COMPUTED_VALUE"""),"ENS MEDIO PARCIAL")</f>
        <v>ENS MEDIO PARCIAL</v>
      </c>
      <c r="I556" s="242">
        <f ca="1">IFERROR(__xludf.DUMMYFUNCTION("""COMPUTED_VALUE"""),10962)</f>
        <v>10962</v>
      </c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</row>
    <row r="557" spans="1:26" ht="21" customHeight="1">
      <c r="A557" s="240" t="str">
        <f ca="1">IFERROR(__xludf.DUMMYFUNCTION("""COMPUTED_VALUE"""),"Miracema")</f>
        <v>Miracema</v>
      </c>
      <c r="B557" s="240" t="str">
        <f ca="1">IFERROR(__xludf.DUMMYFUNCTION("""COMPUTED_VALUE"""),"Miranorte")</f>
        <v>Miranorte</v>
      </c>
      <c r="C557" s="240" t="str">
        <f ca="1">IFERROR(__xludf.DUMMYFUNCTION("""COMPUTED_VALUE"""),"ASSOC. COM. DO COL. RUI BRASIL CAVALCANTE")</f>
        <v>ASSOC. COM. DO COL. RUI BRASIL CAVALCANTE</v>
      </c>
      <c r="D557" s="241" t="str">
        <f ca="1">IFERROR(__xludf.DUMMYFUNCTION("""COMPUTED_VALUE"""),"01112765000186")</f>
        <v>01112765000186</v>
      </c>
      <c r="E557" s="241" t="str">
        <f ca="1">IFERROR(__xludf.DUMMYFUNCTION("""COMPUTED_VALUE"""),"001")</f>
        <v>001</v>
      </c>
      <c r="F557" s="241" t="str">
        <f ca="1">IFERROR(__xludf.DUMMYFUNCTION("""COMPUTED_VALUE"""),"4560")</f>
        <v>4560</v>
      </c>
      <c r="G557" s="240" t="str">
        <f ca="1">IFERROR(__xludf.DUMMYFUNCTION("""COMPUTED_VALUE"""),"78905")</f>
        <v>78905</v>
      </c>
      <c r="H557" s="240" t="str">
        <f ca="1">IFERROR(__xludf.DUMMYFUNCTION("""COMPUTED_VALUE"""),"EJA")</f>
        <v>EJA</v>
      </c>
      <c r="I557" s="242">
        <f ca="1">IFERROR(__xludf.DUMMYFUNCTION("""COMPUTED_VALUE"""),1890)</f>
        <v>1890</v>
      </c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</row>
    <row r="558" spans="1:26" ht="21" customHeight="1">
      <c r="A558" s="240" t="str">
        <f ca="1">IFERROR(__xludf.DUMMYFUNCTION("""COMPUTED_VALUE"""),"Miracema")</f>
        <v>Miracema</v>
      </c>
      <c r="B558" s="240" t="str">
        <f ca="1">IFERROR(__xludf.DUMMYFUNCTION("""COMPUTED_VALUE"""),"Miranorte")</f>
        <v>Miranorte</v>
      </c>
      <c r="C558" s="240" t="str">
        <f ca="1">IFERROR(__xludf.DUMMYFUNCTION("""COMPUTED_VALUE"""),"A.A. C.E.NOSSA SENHORA DA PROVIDENCIA")</f>
        <v>A.A. C.E.NOSSA SENHORA DA PROVIDENCIA</v>
      </c>
      <c r="D558" s="241" t="str">
        <f ca="1">IFERROR(__xludf.DUMMYFUNCTION("""COMPUTED_VALUE"""),"01190186000151")</f>
        <v>01190186000151</v>
      </c>
      <c r="E558" s="241" t="str">
        <f ca="1">IFERROR(__xludf.DUMMYFUNCTION("""COMPUTED_VALUE"""),"001")</f>
        <v>001</v>
      </c>
      <c r="F558" s="241" t="str">
        <f ca="1">IFERROR(__xludf.DUMMYFUNCTION("""COMPUTED_VALUE"""),"4560")</f>
        <v>4560</v>
      </c>
      <c r="G558" s="240" t="str">
        <f ca="1">IFERROR(__xludf.DUMMYFUNCTION("""COMPUTED_VALUE"""),"7778X")</f>
        <v>7778X</v>
      </c>
      <c r="H558" s="240" t="str">
        <f ca="1">IFERROR(__xludf.DUMMYFUNCTION("""COMPUTED_VALUE"""),"E.F. PARCIAL")</f>
        <v>E.F. PARCIAL</v>
      </c>
      <c r="I558" s="242">
        <f ca="1">IFERROR(__xludf.DUMMYFUNCTION("""COMPUTED_VALUE"""),16275)</f>
        <v>16275</v>
      </c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</row>
    <row r="559" spans="1:26" ht="21" customHeight="1">
      <c r="A559" s="240" t="str">
        <f ca="1">IFERROR(__xludf.DUMMYFUNCTION("""COMPUTED_VALUE"""),"Miracema")</f>
        <v>Miracema</v>
      </c>
      <c r="B559" s="240" t="str">
        <f ca="1">IFERROR(__xludf.DUMMYFUNCTION("""COMPUTED_VALUE"""),"Miranorte")</f>
        <v>Miranorte</v>
      </c>
      <c r="C559" s="240" t="str">
        <f ca="1">IFERROR(__xludf.DUMMYFUNCTION("""COMPUTED_VALUE"""),"A.A. C.E.NOSSA SENHORA DA PROVIDENCIA")</f>
        <v>A.A. C.E.NOSSA SENHORA DA PROVIDENCIA</v>
      </c>
      <c r="D559" s="241" t="str">
        <f ca="1">IFERROR(__xludf.DUMMYFUNCTION("""COMPUTED_VALUE"""),"01190186000151")</f>
        <v>01190186000151</v>
      </c>
      <c r="E559" s="241" t="str">
        <f ca="1">IFERROR(__xludf.DUMMYFUNCTION("""COMPUTED_VALUE"""),"001")</f>
        <v>001</v>
      </c>
      <c r="F559" s="241" t="str">
        <f ca="1">IFERROR(__xludf.DUMMYFUNCTION("""COMPUTED_VALUE"""),"4560")</f>
        <v>4560</v>
      </c>
      <c r="G559" s="240" t="str">
        <f ca="1">IFERROR(__xludf.DUMMYFUNCTION("""COMPUTED_VALUE"""),"7778X")</f>
        <v>7778X</v>
      </c>
      <c r="H559" s="240" t="str">
        <f ca="1">IFERROR(__xludf.DUMMYFUNCTION("""COMPUTED_VALUE"""),"AEE")</f>
        <v>AEE</v>
      </c>
      <c r="I559" s="242">
        <f ca="1">IFERROR(__xludf.DUMMYFUNCTION("""COMPUTED_VALUE"""),252)</f>
        <v>252</v>
      </c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</row>
    <row r="560" spans="1:26" ht="21" customHeight="1">
      <c r="A560" s="240" t="str">
        <f ca="1">IFERROR(__xludf.DUMMYFUNCTION("""COMPUTED_VALUE"""),"Miracema")</f>
        <v>Miracema</v>
      </c>
      <c r="B560" s="240" t="str">
        <f ca="1">IFERROR(__xludf.DUMMYFUNCTION("""COMPUTED_VALUE"""),"Miranorte")</f>
        <v>Miranorte</v>
      </c>
      <c r="C560" s="240" t="str">
        <f ca="1">IFERROR(__xludf.DUMMYFUNCTION("""COMPUTED_VALUE"""),"A.A ESC. ESPECIAL CORAÇÃO DE MARIA")</f>
        <v>A.A ESC. ESPECIAL CORAÇÃO DE MARIA</v>
      </c>
      <c r="D560" s="241" t="str">
        <f ca="1">IFERROR(__xludf.DUMMYFUNCTION("""COMPUTED_VALUE"""),"07968866000130")</f>
        <v>07968866000130</v>
      </c>
      <c r="E560" s="241" t="str">
        <f ca="1">IFERROR(__xludf.DUMMYFUNCTION("""COMPUTED_VALUE"""),"001")</f>
        <v>001</v>
      </c>
      <c r="F560" s="241" t="str">
        <f ca="1">IFERROR(__xludf.DUMMYFUNCTION("""COMPUTED_VALUE"""),"0862")</f>
        <v>0862</v>
      </c>
      <c r="G560" s="240" t="str">
        <f ca="1">IFERROR(__xludf.DUMMYFUNCTION("""COMPUTED_VALUE"""),"265217")</f>
        <v>265217</v>
      </c>
      <c r="H560" s="240" t="str">
        <f ca="1">IFERROR(__xludf.DUMMYFUNCTION("""COMPUTED_VALUE"""),"PRÉ-ESCOLA")</f>
        <v>PRÉ-ESCOLA</v>
      </c>
      <c r="I560" s="242">
        <f ca="1">IFERROR(__xludf.DUMMYFUNCTION("""COMPUTED_VALUE"""),252)</f>
        <v>252</v>
      </c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</row>
    <row r="561" spans="1:26" ht="21" customHeight="1">
      <c r="A561" s="240" t="str">
        <f ca="1">IFERROR(__xludf.DUMMYFUNCTION("""COMPUTED_VALUE"""),"Miracema")</f>
        <v>Miracema</v>
      </c>
      <c r="B561" s="240" t="str">
        <f ca="1">IFERROR(__xludf.DUMMYFUNCTION("""COMPUTED_VALUE"""),"Miranorte")</f>
        <v>Miranorte</v>
      </c>
      <c r="C561" s="240" t="str">
        <f ca="1">IFERROR(__xludf.DUMMYFUNCTION("""COMPUTED_VALUE"""),"A.A ESC. ESPECIAL CORAÇÃO DE MARIA")</f>
        <v>A.A ESC. ESPECIAL CORAÇÃO DE MARIA</v>
      </c>
      <c r="D561" s="241" t="str">
        <f ca="1">IFERROR(__xludf.DUMMYFUNCTION("""COMPUTED_VALUE"""),"07968866000130")</f>
        <v>07968866000130</v>
      </c>
      <c r="E561" s="241" t="str">
        <f ca="1">IFERROR(__xludf.DUMMYFUNCTION("""COMPUTED_VALUE"""),"001")</f>
        <v>001</v>
      </c>
      <c r="F561" s="241" t="str">
        <f ca="1">IFERROR(__xludf.DUMMYFUNCTION("""COMPUTED_VALUE"""),"0862")</f>
        <v>0862</v>
      </c>
      <c r="G561" s="240" t="str">
        <f ca="1">IFERROR(__xludf.DUMMYFUNCTION("""COMPUTED_VALUE"""),"265217")</f>
        <v>265217</v>
      </c>
      <c r="H561" s="240" t="str">
        <f ca="1">IFERROR(__xludf.DUMMYFUNCTION("""COMPUTED_VALUE"""),"E.F. PARCIAL")</f>
        <v>E.F. PARCIAL</v>
      </c>
      <c r="I561" s="242">
        <f ca="1">IFERROR(__xludf.DUMMYFUNCTION("""COMPUTED_VALUE"""),168)</f>
        <v>168</v>
      </c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</row>
    <row r="562" spans="1:26" ht="21" customHeight="1">
      <c r="A562" s="240" t="str">
        <f ca="1">IFERROR(__xludf.DUMMYFUNCTION("""COMPUTED_VALUE"""),"Miracema")</f>
        <v>Miracema</v>
      </c>
      <c r="B562" s="240" t="str">
        <f ca="1">IFERROR(__xludf.DUMMYFUNCTION("""COMPUTED_VALUE"""),"Miranorte")</f>
        <v>Miranorte</v>
      </c>
      <c r="C562" s="240" t="str">
        <f ca="1">IFERROR(__xludf.DUMMYFUNCTION("""COMPUTED_VALUE"""),"A.A ESC. ESPECIAL CORAÇÃO DE MARIA")</f>
        <v>A.A ESC. ESPECIAL CORAÇÃO DE MARIA</v>
      </c>
      <c r="D562" s="241" t="str">
        <f ca="1">IFERROR(__xludf.DUMMYFUNCTION("""COMPUTED_VALUE"""),"07968866000130")</f>
        <v>07968866000130</v>
      </c>
      <c r="E562" s="241" t="str">
        <f ca="1">IFERROR(__xludf.DUMMYFUNCTION("""COMPUTED_VALUE"""),"001")</f>
        <v>001</v>
      </c>
      <c r="F562" s="241" t="str">
        <f ca="1">IFERROR(__xludf.DUMMYFUNCTION("""COMPUTED_VALUE"""),"0862")</f>
        <v>0862</v>
      </c>
      <c r="G562" s="240" t="str">
        <f ca="1">IFERROR(__xludf.DUMMYFUNCTION("""COMPUTED_VALUE"""),"265217")</f>
        <v>265217</v>
      </c>
      <c r="H562" s="240" t="str">
        <f ca="1">IFERROR(__xludf.DUMMYFUNCTION("""COMPUTED_VALUE"""),"AEE")</f>
        <v>AEE</v>
      </c>
      <c r="I562" s="242">
        <f ca="1">IFERROR(__xludf.DUMMYFUNCTION("""COMPUTED_VALUE"""),1344)</f>
        <v>1344</v>
      </c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</row>
    <row r="563" spans="1:26" ht="21" customHeight="1">
      <c r="A563" s="240" t="str">
        <f ca="1">IFERROR(__xludf.DUMMYFUNCTION("""COMPUTED_VALUE"""),"Miracema")</f>
        <v>Miracema</v>
      </c>
      <c r="B563" s="240" t="str">
        <f ca="1">IFERROR(__xludf.DUMMYFUNCTION("""COMPUTED_VALUE"""),"Miranorte")</f>
        <v>Miranorte</v>
      </c>
      <c r="C563" s="240" t="str">
        <f ca="1">IFERROR(__xludf.DUMMYFUNCTION("""COMPUTED_VALUE"""),"A.A ESC. ESPECIAL CORAÇÃO DE MARIA")</f>
        <v>A.A ESC. ESPECIAL CORAÇÃO DE MARIA</v>
      </c>
      <c r="D563" s="241" t="str">
        <f ca="1">IFERROR(__xludf.DUMMYFUNCTION("""COMPUTED_VALUE"""),"07968866000130")</f>
        <v>07968866000130</v>
      </c>
      <c r="E563" s="241" t="str">
        <f ca="1">IFERROR(__xludf.DUMMYFUNCTION("""COMPUTED_VALUE"""),"001")</f>
        <v>001</v>
      </c>
      <c r="F563" s="241" t="str">
        <f ca="1">IFERROR(__xludf.DUMMYFUNCTION("""COMPUTED_VALUE"""),"0862")</f>
        <v>0862</v>
      </c>
      <c r="G563" s="240" t="str">
        <f ca="1">IFERROR(__xludf.DUMMYFUNCTION("""COMPUTED_VALUE"""),"265217")</f>
        <v>265217</v>
      </c>
      <c r="H563" s="240" t="str">
        <f ca="1">IFERROR(__xludf.DUMMYFUNCTION("""COMPUTED_VALUE"""),"EJA")</f>
        <v>EJA</v>
      </c>
      <c r="I563" s="242">
        <f ca="1">IFERROR(__xludf.DUMMYFUNCTION("""COMPUTED_VALUE"""),1092)</f>
        <v>1092</v>
      </c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</row>
    <row r="564" spans="1:26" ht="21" customHeight="1">
      <c r="A564" s="240" t="str">
        <f ca="1">IFERROR(__xludf.DUMMYFUNCTION("""COMPUTED_VALUE"""),"Miracema")</f>
        <v>Miracema</v>
      </c>
      <c r="B564" s="240" t="str">
        <f ca="1">IFERROR(__xludf.DUMMYFUNCTION("""COMPUTED_VALUE"""),"Rio dos Bois")</f>
        <v>Rio dos Bois</v>
      </c>
      <c r="C564" s="240" t="str">
        <f ca="1">IFERROR(__xludf.DUMMYFUNCTION("""COMPUTED_VALUE"""),"A.A. ESC EST DR. VALDECY PINHEIRO")</f>
        <v>A.A. ESC EST DR. VALDECY PINHEIRO</v>
      </c>
      <c r="D564" s="241" t="str">
        <f ca="1">IFERROR(__xludf.DUMMYFUNCTION("""COMPUTED_VALUE"""),"01079937000167")</f>
        <v>01079937000167</v>
      </c>
      <c r="E564" s="241" t="str">
        <f ca="1">IFERROR(__xludf.DUMMYFUNCTION("""COMPUTED_VALUE"""),"001")</f>
        <v>001</v>
      </c>
      <c r="F564" s="241" t="str">
        <f ca="1">IFERROR(__xludf.DUMMYFUNCTION("""COMPUTED_VALUE"""),"0862")</f>
        <v>0862</v>
      </c>
      <c r="G564" s="240" t="str">
        <f ca="1">IFERROR(__xludf.DUMMYFUNCTION("""COMPUTED_VALUE"""),"69116")</f>
        <v>69116</v>
      </c>
      <c r="H564" s="240" t="str">
        <f ca="1">IFERROR(__xludf.DUMMYFUNCTION("""COMPUTED_VALUE"""),"E.F. PARCIAL")</f>
        <v>E.F. PARCIAL</v>
      </c>
      <c r="I564" s="242">
        <f ca="1">IFERROR(__xludf.DUMMYFUNCTION("""COMPUTED_VALUE"""),4326)</f>
        <v>4326</v>
      </c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</row>
    <row r="565" spans="1:26" ht="21" customHeight="1">
      <c r="A565" s="240" t="str">
        <f ca="1">IFERROR(__xludf.DUMMYFUNCTION("""COMPUTED_VALUE"""),"Miracema")</f>
        <v>Miracema</v>
      </c>
      <c r="B565" s="240" t="str">
        <f ca="1">IFERROR(__xludf.DUMMYFUNCTION("""COMPUTED_VALUE"""),"Rio dos Bois")</f>
        <v>Rio dos Bois</v>
      </c>
      <c r="C565" s="240" t="str">
        <f ca="1">IFERROR(__xludf.DUMMYFUNCTION("""COMPUTED_VALUE"""),"A.A. ESC EST DR. VALDECY PINHEIRO")</f>
        <v>A.A. ESC EST DR. VALDECY PINHEIRO</v>
      </c>
      <c r="D565" s="241" t="str">
        <f ca="1">IFERROR(__xludf.DUMMYFUNCTION("""COMPUTED_VALUE"""),"01079937000167")</f>
        <v>01079937000167</v>
      </c>
      <c r="E565" s="241" t="str">
        <f ca="1">IFERROR(__xludf.DUMMYFUNCTION("""COMPUTED_VALUE"""),"001")</f>
        <v>001</v>
      </c>
      <c r="F565" s="241" t="str">
        <f ca="1">IFERROR(__xludf.DUMMYFUNCTION("""COMPUTED_VALUE"""),"0862")</f>
        <v>0862</v>
      </c>
      <c r="G565" s="240" t="str">
        <f ca="1">IFERROR(__xludf.DUMMYFUNCTION("""COMPUTED_VALUE"""),"69116")</f>
        <v>69116</v>
      </c>
      <c r="H565" s="240" t="str">
        <f ca="1">IFERROR(__xludf.DUMMYFUNCTION("""COMPUTED_VALUE"""),"AEE")</f>
        <v>AEE</v>
      </c>
      <c r="I565" s="242">
        <f ca="1">IFERROR(__xludf.DUMMYFUNCTION("""COMPUTED_VALUE"""),252)</f>
        <v>252</v>
      </c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</row>
    <row r="566" spans="1:26" ht="21" customHeight="1">
      <c r="A566" s="240" t="str">
        <f ca="1">IFERROR(__xludf.DUMMYFUNCTION("""COMPUTED_VALUE"""),"Miracema")</f>
        <v>Miracema</v>
      </c>
      <c r="B566" s="240" t="str">
        <f ca="1">IFERROR(__xludf.DUMMYFUNCTION("""COMPUTED_VALUE"""),"Rio dos Bois")</f>
        <v>Rio dos Bois</v>
      </c>
      <c r="C566" s="240" t="str">
        <f ca="1">IFERROR(__xludf.DUMMYFUNCTION("""COMPUTED_VALUE"""),"A.A. ESC EST DR. VALDECY PINHEIRO")</f>
        <v>A.A. ESC EST DR. VALDECY PINHEIRO</v>
      </c>
      <c r="D566" s="241" t="str">
        <f ca="1">IFERROR(__xludf.DUMMYFUNCTION("""COMPUTED_VALUE"""),"01079937000167")</f>
        <v>01079937000167</v>
      </c>
      <c r="E566" s="241" t="str">
        <f ca="1">IFERROR(__xludf.DUMMYFUNCTION("""COMPUTED_VALUE"""),"001")</f>
        <v>001</v>
      </c>
      <c r="F566" s="241" t="str">
        <f ca="1">IFERROR(__xludf.DUMMYFUNCTION("""COMPUTED_VALUE"""),"0862")</f>
        <v>0862</v>
      </c>
      <c r="G566" s="240" t="str">
        <f ca="1">IFERROR(__xludf.DUMMYFUNCTION("""COMPUTED_VALUE"""),"69116")</f>
        <v>69116</v>
      </c>
      <c r="H566" s="240" t="str">
        <f ca="1">IFERROR(__xludf.DUMMYFUNCTION("""COMPUTED_VALUE"""),"ENS MEDIO PARCIAL")</f>
        <v>ENS MEDIO PARCIAL</v>
      </c>
      <c r="I566" s="242">
        <f ca="1">IFERROR(__xludf.DUMMYFUNCTION("""COMPUTED_VALUE"""),2100)</f>
        <v>2100</v>
      </c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</row>
    <row r="567" spans="1:26" ht="21" customHeight="1">
      <c r="A567" s="240" t="str">
        <f ca="1">IFERROR(__xludf.DUMMYFUNCTION("""COMPUTED_VALUE"""),"Miracema")</f>
        <v>Miracema</v>
      </c>
      <c r="B567" s="240" t="str">
        <f ca="1">IFERROR(__xludf.DUMMYFUNCTION("""COMPUTED_VALUE"""),"Rio dos Bois")</f>
        <v>Rio dos Bois</v>
      </c>
      <c r="C567" s="240" t="str">
        <f ca="1">IFERROR(__xludf.DUMMYFUNCTION("""COMPUTED_VALUE"""),"A.A. ESC EST DR. VALDECY PINHEIRO")</f>
        <v>A.A. ESC EST DR. VALDECY PINHEIRO</v>
      </c>
      <c r="D567" s="241" t="str">
        <f ca="1">IFERROR(__xludf.DUMMYFUNCTION("""COMPUTED_VALUE"""),"01079937000167")</f>
        <v>01079937000167</v>
      </c>
      <c r="E567" s="241" t="str">
        <f ca="1">IFERROR(__xludf.DUMMYFUNCTION("""COMPUTED_VALUE"""),"001")</f>
        <v>001</v>
      </c>
      <c r="F567" s="241" t="str">
        <f ca="1">IFERROR(__xludf.DUMMYFUNCTION("""COMPUTED_VALUE"""),"0862")</f>
        <v>0862</v>
      </c>
      <c r="G567" s="240" t="str">
        <f ca="1">IFERROR(__xludf.DUMMYFUNCTION("""COMPUTED_VALUE"""),"69116")</f>
        <v>69116</v>
      </c>
      <c r="H567" s="240" t="str">
        <f ca="1">IFERROR(__xludf.DUMMYFUNCTION("""COMPUTED_VALUE"""),"EJA")</f>
        <v>EJA</v>
      </c>
      <c r="I567" s="242">
        <f ca="1">IFERROR(__xludf.DUMMYFUNCTION("""COMPUTED_VALUE"""),462)</f>
        <v>462</v>
      </c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</row>
    <row r="568" spans="1:26" ht="21" customHeight="1">
      <c r="A568" s="240" t="str">
        <f ca="1">IFERROR(__xludf.DUMMYFUNCTION("""COMPUTED_VALUE"""),"Miracema")</f>
        <v>Miracema</v>
      </c>
      <c r="B568" s="240" t="str">
        <f ca="1">IFERROR(__xludf.DUMMYFUNCTION("""COMPUTED_VALUE"""),"Tocantinia")</f>
        <v>Tocantinia</v>
      </c>
      <c r="C568" s="240" t="str">
        <f ca="1">IFERROR(__xludf.DUMMYFUNCTION("""COMPUTED_VALUE"""),"A.COM.DO COLEGIO FREI ANTONIO CONVENIADO")</f>
        <v>A.COM.DO COLEGIO FREI ANTONIO CONVENIADO</v>
      </c>
      <c r="D568" s="241" t="str">
        <f ca="1">IFERROR(__xludf.DUMMYFUNCTION("""COMPUTED_VALUE"""),"01066427000155")</f>
        <v>01066427000155</v>
      </c>
      <c r="E568" s="241" t="str">
        <f ca="1">IFERROR(__xludf.DUMMYFUNCTION("""COMPUTED_VALUE"""),"001")</f>
        <v>001</v>
      </c>
      <c r="F568" s="241" t="str">
        <f ca="1">IFERROR(__xludf.DUMMYFUNCTION("""COMPUTED_VALUE"""),"0862")</f>
        <v>0862</v>
      </c>
      <c r="G568" s="240" t="str">
        <f ca="1">IFERROR(__xludf.DUMMYFUNCTION("""COMPUTED_VALUE"""),"68985")</f>
        <v>68985</v>
      </c>
      <c r="H568" s="240" t="str">
        <f ca="1">IFERROR(__xludf.DUMMYFUNCTION("""COMPUTED_VALUE"""),"AEE")</f>
        <v>AEE</v>
      </c>
      <c r="I568" s="242">
        <f ca="1">IFERROR(__xludf.DUMMYFUNCTION("""COMPUTED_VALUE"""),189)</f>
        <v>189</v>
      </c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</row>
    <row r="569" spans="1:26" ht="21" customHeight="1">
      <c r="A569" s="240" t="str">
        <f ca="1">IFERROR(__xludf.DUMMYFUNCTION("""COMPUTED_VALUE"""),"Miracema")</f>
        <v>Miracema</v>
      </c>
      <c r="B569" s="240" t="str">
        <f ca="1">IFERROR(__xludf.DUMMYFUNCTION("""COMPUTED_VALUE"""),"Tocantinia")</f>
        <v>Tocantinia</v>
      </c>
      <c r="C569" s="240" t="str">
        <f ca="1">IFERROR(__xludf.DUMMYFUNCTION("""COMPUTED_VALUE"""),"ASS. APOIO AO CEM XERENTE WARA")</f>
        <v>ASS. APOIO AO CEM XERENTE WARA</v>
      </c>
      <c r="D569" s="241" t="str">
        <f ca="1">IFERROR(__xludf.DUMMYFUNCTION("""COMPUTED_VALUE"""),"07674098000101")</f>
        <v>07674098000101</v>
      </c>
      <c r="E569" s="241" t="str">
        <f ca="1">IFERROR(__xludf.DUMMYFUNCTION("""COMPUTED_VALUE"""),"001")</f>
        <v>001</v>
      </c>
      <c r="F569" s="241" t="str">
        <f ca="1">IFERROR(__xludf.DUMMYFUNCTION("""COMPUTED_VALUE"""),"0862")</f>
        <v>0862</v>
      </c>
      <c r="G569" s="240" t="str">
        <f ca="1">IFERROR(__xludf.DUMMYFUNCTION("""COMPUTED_VALUE"""),"183407")</f>
        <v>183407</v>
      </c>
      <c r="H569" s="240" t="str">
        <f ca="1">IFERROR(__xludf.DUMMYFUNCTION("""COMPUTED_VALUE"""),"AEE")</f>
        <v>AEE</v>
      </c>
      <c r="I569" s="242">
        <f ca="1">IFERROR(__xludf.DUMMYFUNCTION("""COMPUTED_VALUE"""),441)</f>
        <v>441</v>
      </c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</row>
    <row r="570" spans="1:26" ht="21" customHeight="1">
      <c r="A570" s="240" t="str">
        <f ca="1">IFERROR(__xludf.DUMMYFUNCTION("""COMPUTED_VALUE"""),"Miracema")</f>
        <v>Miracema</v>
      </c>
      <c r="B570" s="240" t="str">
        <f ca="1">IFERROR(__xludf.DUMMYFUNCTION("""COMPUTED_VALUE"""),"Tocantinia")</f>
        <v>Tocantinia</v>
      </c>
      <c r="C570" s="240" t="str">
        <f ca="1">IFERROR(__xludf.DUMMYFUNCTION("""COMPUTED_VALUE"""),"ASSOC. DE PAIS E MEST. DO COL. EST. BATISTA PROFª BEATRIZ R. DA SILVA")</f>
        <v>ASSOC. DE PAIS E MEST. DO COL. EST. BATISTA PROFª BEATRIZ R. DA SILVA</v>
      </c>
      <c r="D570" s="241" t="str">
        <f ca="1">IFERROR(__xludf.DUMMYFUNCTION("""COMPUTED_VALUE"""),"15132209000186")</f>
        <v>15132209000186</v>
      </c>
      <c r="E570" s="241" t="str">
        <f ca="1">IFERROR(__xludf.DUMMYFUNCTION("""COMPUTED_VALUE"""),"001")</f>
        <v>001</v>
      </c>
      <c r="F570" s="241" t="str">
        <f ca="1">IFERROR(__xludf.DUMMYFUNCTION("""COMPUTED_VALUE"""),"0862")</f>
        <v>0862</v>
      </c>
      <c r="G570" s="240" t="str">
        <f ca="1">IFERROR(__xludf.DUMMYFUNCTION("""COMPUTED_VALUE"""),"277037")</f>
        <v>277037</v>
      </c>
      <c r="H570" s="240" t="str">
        <f ca="1">IFERROR(__xludf.DUMMYFUNCTION("""COMPUTED_VALUE"""),"ENS MEDIO PARCIAL")</f>
        <v>ENS MEDIO PARCIAL</v>
      </c>
      <c r="I570" s="242">
        <f ca="1">IFERROR(__xludf.DUMMYFUNCTION("""COMPUTED_VALUE"""),3864)</f>
        <v>3864</v>
      </c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</row>
    <row r="571" spans="1:26" ht="21" customHeight="1">
      <c r="A571" s="240" t="str">
        <f ca="1">IFERROR(__xludf.DUMMYFUNCTION("""COMPUTED_VALUE"""),"Miracema")</f>
        <v>Miracema</v>
      </c>
      <c r="B571" s="240" t="str">
        <f ca="1">IFERROR(__xludf.DUMMYFUNCTION("""COMPUTED_VALUE"""),"Tocantinia")</f>
        <v>Tocantinia</v>
      </c>
      <c r="C571" s="240" t="str">
        <f ca="1">IFERROR(__xludf.DUMMYFUNCTION("""COMPUTED_VALUE"""),"ASSOC. DE PAIS E MEST. DO COL. EST. BATISTA PROFª BEATRIZ R. DA SILVA")</f>
        <v>ASSOC. DE PAIS E MEST. DO COL. EST. BATISTA PROFª BEATRIZ R. DA SILVA</v>
      </c>
      <c r="D571" s="241" t="str">
        <f ca="1">IFERROR(__xludf.DUMMYFUNCTION("""COMPUTED_VALUE"""),"15132209000186")</f>
        <v>15132209000186</v>
      </c>
      <c r="E571" s="241" t="str">
        <f ca="1">IFERROR(__xludf.DUMMYFUNCTION("""COMPUTED_VALUE"""),"001")</f>
        <v>001</v>
      </c>
      <c r="F571" s="241" t="str">
        <f ca="1">IFERROR(__xludf.DUMMYFUNCTION("""COMPUTED_VALUE"""),"0862")</f>
        <v>0862</v>
      </c>
      <c r="G571" s="240" t="str">
        <f ca="1">IFERROR(__xludf.DUMMYFUNCTION("""COMPUTED_VALUE"""),"277037")</f>
        <v>277037</v>
      </c>
      <c r="H571" s="240" t="str">
        <f ca="1">IFERROR(__xludf.DUMMYFUNCTION("""COMPUTED_VALUE"""),"EJA")</f>
        <v>EJA</v>
      </c>
      <c r="I571" s="242">
        <f ca="1">IFERROR(__xludf.DUMMYFUNCTION("""COMPUTED_VALUE"""),672)</f>
        <v>672</v>
      </c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</row>
    <row r="572" spans="1:26" ht="21" customHeight="1">
      <c r="A572" s="240" t="str">
        <f ca="1">IFERROR(__xludf.DUMMYFUNCTION("""COMPUTED_VALUE"""),"Palmas")</f>
        <v>Palmas</v>
      </c>
      <c r="B572" s="240" t="str">
        <f ca="1">IFERROR(__xludf.DUMMYFUNCTION("""COMPUTED_VALUE"""),"Aparecida do Rio Negro")</f>
        <v>Aparecida do Rio Negro</v>
      </c>
      <c r="C572" s="240" t="str">
        <f ca="1">IFERROR(__xludf.DUMMYFUNCTION("""COMPUTED_VALUE"""),"ASS. DE AP. DO COL. EST. MEIRA MATOS")</f>
        <v>ASS. DE AP. DO COL. EST. MEIRA MATOS</v>
      </c>
      <c r="D572" s="241" t="str">
        <f ca="1">IFERROR(__xludf.DUMMYFUNCTION("""COMPUTED_VALUE"""),"01186452000172")</f>
        <v>01186452000172</v>
      </c>
      <c r="E572" s="241" t="str">
        <f ca="1">IFERROR(__xludf.DUMMYFUNCTION("""COMPUTED_VALUE"""),"001")</f>
        <v>001</v>
      </c>
      <c r="F572" s="241" t="str">
        <f ca="1">IFERROR(__xludf.DUMMYFUNCTION("""COMPUTED_VALUE"""),"1505")</f>
        <v>1505</v>
      </c>
      <c r="G572" s="240" t="str">
        <f ca="1">IFERROR(__xludf.DUMMYFUNCTION("""COMPUTED_VALUE"""),"327972")</f>
        <v>327972</v>
      </c>
      <c r="H572" s="240" t="str">
        <f ca="1">IFERROR(__xludf.DUMMYFUNCTION("""COMPUTED_VALUE"""),"E.F. PARCIAL")</f>
        <v>E.F. PARCIAL</v>
      </c>
      <c r="I572" s="242">
        <f ca="1">IFERROR(__xludf.DUMMYFUNCTION("""COMPUTED_VALUE"""),3129)</f>
        <v>3129</v>
      </c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</row>
    <row r="573" spans="1:26" ht="21" customHeight="1">
      <c r="A573" s="240" t="str">
        <f ca="1">IFERROR(__xludf.DUMMYFUNCTION("""COMPUTED_VALUE"""),"Palmas")</f>
        <v>Palmas</v>
      </c>
      <c r="B573" s="240" t="str">
        <f ca="1">IFERROR(__xludf.DUMMYFUNCTION("""COMPUTED_VALUE"""),"Aparecida do Rio Negro")</f>
        <v>Aparecida do Rio Negro</v>
      </c>
      <c r="C573" s="240" t="str">
        <f ca="1">IFERROR(__xludf.DUMMYFUNCTION("""COMPUTED_VALUE"""),"ASS. DE AP. DO COL. EST. MEIRA MATOS")</f>
        <v>ASS. DE AP. DO COL. EST. MEIRA MATOS</v>
      </c>
      <c r="D573" s="241" t="str">
        <f ca="1">IFERROR(__xludf.DUMMYFUNCTION("""COMPUTED_VALUE"""),"01186452000172")</f>
        <v>01186452000172</v>
      </c>
      <c r="E573" s="241" t="str">
        <f ca="1">IFERROR(__xludf.DUMMYFUNCTION("""COMPUTED_VALUE"""),"001")</f>
        <v>001</v>
      </c>
      <c r="F573" s="241" t="str">
        <f ca="1">IFERROR(__xludf.DUMMYFUNCTION("""COMPUTED_VALUE"""),"1505")</f>
        <v>1505</v>
      </c>
      <c r="G573" s="240" t="str">
        <f ca="1">IFERROR(__xludf.DUMMYFUNCTION("""COMPUTED_VALUE"""),"327972")</f>
        <v>327972</v>
      </c>
      <c r="H573" s="240" t="str">
        <f ca="1">IFERROR(__xludf.DUMMYFUNCTION("""COMPUTED_VALUE"""),"AEE")</f>
        <v>AEE</v>
      </c>
      <c r="I573" s="242">
        <f ca="1">IFERROR(__xludf.DUMMYFUNCTION("""COMPUTED_VALUE"""),252)</f>
        <v>252</v>
      </c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</row>
    <row r="574" spans="1:26" ht="21" customHeight="1">
      <c r="A574" s="240" t="str">
        <f ca="1">IFERROR(__xludf.DUMMYFUNCTION("""COMPUTED_VALUE"""),"Palmas")</f>
        <v>Palmas</v>
      </c>
      <c r="B574" s="240" t="str">
        <f ca="1">IFERROR(__xludf.DUMMYFUNCTION("""COMPUTED_VALUE"""),"Aparecida do Rio Negro")</f>
        <v>Aparecida do Rio Negro</v>
      </c>
      <c r="C574" s="240" t="str">
        <f ca="1">IFERROR(__xludf.DUMMYFUNCTION("""COMPUTED_VALUE"""),"ASS. DE AP. DO COL. EST. MEIRA MATOS")</f>
        <v>ASS. DE AP. DO COL. EST. MEIRA MATOS</v>
      </c>
      <c r="D574" s="241" t="str">
        <f ca="1">IFERROR(__xludf.DUMMYFUNCTION("""COMPUTED_VALUE"""),"01186452000172")</f>
        <v>01186452000172</v>
      </c>
      <c r="E574" s="241" t="str">
        <f ca="1">IFERROR(__xludf.DUMMYFUNCTION("""COMPUTED_VALUE"""),"001")</f>
        <v>001</v>
      </c>
      <c r="F574" s="241" t="str">
        <f ca="1">IFERROR(__xludf.DUMMYFUNCTION("""COMPUTED_VALUE"""),"1505")</f>
        <v>1505</v>
      </c>
      <c r="G574" s="240" t="str">
        <f ca="1">IFERROR(__xludf.DUMMYFUNCTION("""COMPUTED_VALUE"""),"327972")</f>
        <v>327972</v>
      </c>
      <c r="H574" s="240" t="str">
        <f ca="1">IFERROR(__xludf.DUMMYFUNCTION("""COMPUTED_VALUE"""),"ENS MEDIO PARCIAL")</f>
        <v>ENS MEDIO PARCIAL</v>
      </c>
      <c r="I574" s="242">
        <f ca="1">IFERROR(__xludf.DUMMYFUNCTION("""COMPUTED_VALUE"""),4788)</f>
        <v>4788</v>
      </c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</row>
    <row r="575" spans="1:26" ht="21" customHeight="1">
      <c r="A575" s="240" t="str">
        <f ca="1">IFERROR(__xludf.DUMMYFUNCTION("""COMPUTED_VALUE"""),"Palmas")</f>
        <v>Palmas</v>
      </c>
      <c r="B575" s="240" t="str">
        <f ca="1">IFERROR(__xludf.DUMMYFUNCTION("""COMPUTED_VALUE"""),"Lagoa do Tocantins")</f>
        <v>Lagoa do Tocantins</v>
      </c>
      <c r="C575" s="240" t="str">
        <f ca="1">IFERROR(__xludf.DUMMYFUNCTION("""COMPUTED_VALUE"""),"ASS. DE AP. DA ESC. EST. SALMON DO A.BRITO")</f>
        <v>ASS. DE AP. DA ESC. EST. SALMON DO A.BRITO</v>
      </c>
      <c r="D575" s="241" t="str">
        <f ca="1">IFERROR(__xludf.DUMMYFUNCTION("""COMPUTED_VALUE"""),"01440941000109")</f>
        <v>01440941000109</v>
      </c>
      <c r="E575" s="241" t="str">
        <f ca="1">IFERROR(__xludf.DUMMYFUNCTION("""COMPUTED_VALUE"""),"001")</f>
        <v>001</v>
      </c>
      <c r="F575" s="241" t="str">
        <f ca="1">IFERROR(__xludf.DUMMYFUNCTION("""COMPUTED_VALUE"""),"1505")</f>
        <v>1505</v>
      </c>
      <c r="G575" s="240" t="str">
        <f ca="1">IFERROR(__xludf.DUMMYFUNCTION("""COMPUTED_VALUE"""),"465410")</f>
        <v>465410</v>
      </c>
      <c r="H575" s="240" t="str">
        <f ca="1">IFERROR(__xludf.DUMMYFUNCTION("""COMPUTED_VALUE"""),"E.F. PARCIAL")</f>
        <v>E.F. PARCIAL</v>
      </c>
      <c r="I575" s="242">
        <f ca="1">IFERROR(__xludf.DUMMYFUNCTION("""COMPUTED_VALUE"""),4998)</f>
        <v>4998</v>
      </c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</row>
    <row r="576" spans="1:26" ht="21" customHeight="1">
      <c r="A576" s="240" t="str">
        <f ca="1">IFERROR(__xludf.DUMMYFUNCTION("""COMPUTED_VALUE"""),"Palmas")</f>
        <v>Palmas</v>
      </c>
      <c r="B576" s="240" t="str">
        <f ca="1">IFERROR(__xludf.DUMMYFUNCTION("""COMPUTED_VALUE"""),"Lagoa do Tocantins")</f>
        <v>Lagoa do Tocantins</v>
      </c>
      <c r="C576" s="240" t="str">
        <f ca="1">IFERROR(__xludf.DUMMYFUNCTION("""COMPUTED_VALUE"""),"ASS. DE AP. DA ESC. EST. SALMON DO A.BRITO")</f>
        <v>ASS. DE AP. DA ESC. EST. SALMON DO A.BRITO</v>
      </c>
      <c r="D576" s="241" t="str">
        <f ca="1">IFERROR(__xludf.DUMMYFUNCTION("""COMPUTED_VALUE"""),"01440941000109")</f>
        <v>01440941000109</v>
      </c>
      <c r="E576" s="241" t="str">
        <f ca="1">IFERROR(__xludf.DUMMYFUNCTION("""COMPUTED_VALUE"""),"001")</f>
        <v>001</v>
      </c>
      <c r="F576" s="241" t="str">
        <f ca="1">IFERROR(__xludf.DUMMYFUNCTION("""COMPUTED_VALUE"""),"1505")</f>
        <v>1505</v>
      </c>
      <c r="G576" s="240" t="str">
        <f ca="1">IFERROR(__xludf.DUMMYFUNCTION("""COMPUTED_VALUE"""),"465410")</f>
        <v>465410</v>
      </c>
      <c r="H576" s="240" t="str">
        <f ca="1">IFERROR(__xludf.DUMMYFUNCTION("""COMPUTED_VALUE"""),"ENS MEDIO PARCIAL")</f>
        <v>ENS MEDIO PARCIAL</v>
      </c>
      <c r="I576" s="242">
        <f ca="1">IFERROR(__xludf.DUMMYFUNCTION("""COMPUTED_VALUE"""),5481)</f>
        <v>5481</v>
      </c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</row>
    <row r="577" spans="1:26" ht="21" customHeight="1">
      <c r="A577" s="240" t="str">
        <f ca="1">IFERROR(__xludf.DUMMYFUNCTION("""COMPUTED_VALUE"""),"Palmas")</f>
        <v>Palmas</v>
      </c>
      <c r="B577" s="240" t="str">
        <f ca="1">IFERROR(__xludf.DUMMYFUNCTION("""COMPUTED_VALUE"""),"Lajeado")</f>
        <v>Lajeado</v>
      </c>
      <c r="C577" s="240" t="str">
        <f ca="1">IFERROR(__xludf.DUMMYFUNCTION("""COMPUTED_VALUE"""),"A.A. COM. E. E.N.SRA.DA PROVIDENCIA")</f>
        <v>A.A. COM. E. E.N.SRA.DA PROVIDENCIA</v>
      </c>
      <c r="D577" s="241" t="str">
        <f ca="1">IFERROR(__xludf.DUMMYFUNCTION("""COMPUTED_VALUE"""),"01138324000153")</f>
        <v>01138324000153</v>
      </c>
      <c r="E577" s="241" t="str">
        <f ca="1">IFERROR(__xludf.DUMMYFUNCTION("""COMPUTED_VALUE"""),"001")</f>
        <v>001</v>
      </c>
      <c r="F577" s="241" t="str">
        <f ca="1">IFERROR(__xludf.DUMMYFUNCTION("""COMPUTED_VALUE"""),"0862")</f>
        <v>0862</v>
      </c>
      <c r="G577" s="240" t="str">
        <f ca="1">IFERROR(__xludf.DUMMYFUNCTION("""COMPUTED_VALUE"""),"69132")</f>
        <v>69132</v>
      </c>
      <c r="H577" s="240" t="str">
        <f ca="1">IFERROR(__xludf.DUMMYFUNCTION("""COMPUTED_VALUE"""),"E.F. PARCIAL")</f>
        <v>E.F. PARCIAL</v>
      </c>
      <c r="I577" s="242">
        <f ca="1">IFERROR(__xludf.DUMMYFUNCTION("""COMPUTED_VALUE"""),588)</f>
        <v>588</v>
      </c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</row>
    <row r="578" spans="1:26" ht="21" customHeight="1">
      <c r="A578" s="240" t="str">
        <f ca="1">IFERROR(__xludf.DUMMYFUNCTION("""COMPUTED_VALUE"""),"Palmas")</f>
        <v>Palmas</v>
      </c>
      <c r="B578" s="240" t="str">
        <f ca="1">IFERROR(__xludf.DUMMYFUNCTION("""COMPUTED_VALUE"""),"Lajeado")</f>
        <v>Lajeado</v>
      </c>
      <c r="C578" s="240" t="str">
        <f ca="1">IFERROR(__xludf.DUMMYFUNCTION("""COMPUTED_VALUE"""),"A.A. COM. E. E.N.SRA.DA PROVIDENCIA")</f>
        <v>A.A. COM. E. E.N.SRA.DA PROVIDENCIA</v>
      </c>
      <c r="D578" s="241" t="str">
        <f ca="1">IFERROR(__xludf.DUMMYFUNCTION("""COMPUTED_VALUE"""),"01138324000153")</f>
        <v>01138324000153</v>
      </c>
      <c r="E578" s="241" t="str">
        <f ca="1">IFERROR(__xludf.DUMMYFUNCTION("""COMPUTED_VALUE"""),"001")</f>
        <v>001</v>
      </c>
      <c r="F578" s="241" t="str">
        <f ca="1">IFERROR(__xludf.DUMMYFUNCTION("""COMPUTED_VALUE"""),"0862")</f>
        <v>0862</v>
      </c>
      <c r="G578" s="240" t="str">
        <f ca="1">IFERROR(__xludf.DUMMYFUNCTION("""COMPUTED_VALUE"""),"69132")</f>
        <v>69132</v>
      </c>
      <c r="H578" s="240" t="str">
        <f ca="1">IFERROR(__xludf.DUMMYFUNCTION("""COMPUTED_VALUE"""),"AEE")</f>
        <v>AEE</v>
      </c>
      <c r="I578" s="242">
        <f ca="1">IFERROR(__xludf.DUMMYFUNCTION("""COMPUTED_VALUE"""),147)</f>
        <v>147</v>
      </c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</row>
    <row r="579" spans="1:26" ht="21" customHeight="1">
      <c r="A579" s="240" t="str">
        <f ca="1">IFERROR(__xludf.DUMMYFUNCTION("""COMPUTED_VALUE"""),"Palmas")</f>
        <v>Palmas</v>
      </c>
      <c r="B579" s="240" t="str">
        <f ca="1">IFERROR(__xludf.DUMMYFUNCTION("""COMPUTED_VALUE"""),"Lajeado")</f>
        <v>Lajeado</v>
      </c>
      <c r="C579" s="240" t="str">
        <f ca="1">IFERROR(__xludf.DUMMYFUNCTION("""COMPUTED_VALUE"""),"A.A. COM. E. E.N.SRA.DA PROVIDENCIA")</f>
        <v>A.A. COM. E. E.N.SRA.DA PROVIDENCIA</v>
      </c>
      <c r="D579" s="241" t="str">
        <f ca="1">IFERROR(__xludf.DUMMYFUNCTION("""COMPUTED_VALUE"""),"01138324000153")</f>
        <v>01138324000153</v>
      </c>
      <c r="E579" s="241" t="str">
        <f ca="1">IFERROR(__xludf.DUMMYFUNCTION("""COMPUTED_VALUE"""),"001")</f>
        <v>001</v>
      </c>
      <c r="F579" s="241" t="str">
        <f ca="1">IFERROR(__xludf.DUMMYFUNCTION("""COMPUTED_VALUE"""),"0862")</f>
        <v>0862</v>
      </c>
      <c r="G579" s="240" t="str">
        <f ca="1">IFERROR(__xludf.DUMMYFUNCTION("""COMPUTED_VALUE"""),"69132")</f>
        <v>69132</v>
      </c>
      <c r="H579" s="240" t="str">
        <f ca="1">IFERROR(__xludf.DUMMYFUNCTION("""COMPUTED_VALUE"""),"ENS MEDIO PARCIAL")</f>
        <v>ENS MEDIO PARCIAL</v>
      </c>
      <c r="I579" s="242">
        <f ca="1">IFERROR(__xludf.DUMMYFUNCTION("""COMPUTED_VALUE"""),2667)</f>
        <v>2667</v>
      </c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</row>
    <row r="580" spans="1:26" ht="21" customHeight="1">
      <c r="A580" s="240" t="str">
        <f ca="1">IFERROR(__xludf.DUMMYFUNCTION("""COMPUTED_VALUE"""),"Palmas")</f>
        <v>Palmas</v>
      </c>
      <c r="B580" s="240" t="str">
        <f ca="1">IFERROR(__xludf.DUMMYFUNCTION("""COMPUTED_VALUE"""),"Lajeado")</f>
        <v>Lajeado</v>
      </c>
      <c r="C580" s="240" t="str">
        <f ca="1">IFERROR(__xludf.DUMMYFUNCTION("""COMPUTED_VALUE"""),"A.A. COM. E. E.N.SRA.DA PROVIDENCIA")</f>
        <v>A.A. COM. E. E.N.SRA.DA PROVIDENCIA</v>
      </c>
      <c r="D580" s="241" t="str">
        <f ca="1">IFERROR(__xludf.DUMMYFUNCTION("""COMPUTED_VALUE"""),"01138324000153")</f>
        <v>01138324000153</v>
      </c>
      <c r="E580" s="241" t="str">
        <f ca="1">IFERROR(__xludf.DUMMYFUNCTION("""COMPUTED_VALUE"""),"001")</f>
        <v>001</v>
      </c>
      <c r="F580" s="241" t="str">
        <f ca="1">IFERROR(__xludf.DUMMYFUNCTION("""COMPUTED_VALUE"""),"0862")</f>
        <v>0862</v>
      </c>
      <c r="G580" s="240" t="str">
        <f ca="1">IFERROR(__xludf.DUMMYFUNCTION("""COMPUTED_VALUE"""),"69132")</f>
        <v>69132</v>
      </c>
      <c r="H580" s="240" t="str">
        <f ca="1">IFERROR(__xludf.DUMMYFUNCTION("""COMPUTED_VALUE"""),"EJA")</f>
        <v>EJA</v>
      </c>
      <c r="I580" s="242">
        <f ca="1">IFERROR(__xludf.DUMMYFUNCTION("""COMPUTED_VALUE"""),189)</f>
        <v>189</v>
      </c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</row>
    <row r="581" spans="1:26" ht="21" customHeight="1">
      <c r="A581" s="240" t="str">
        <f ca="1">IFERROR(__xludf.DUMMYFUNCTION("""COMPUTED_VALUE"""),"Palmas")</f>
        <v>Palmas</v>
      </c>
      <c r="B581" s="240" t="str">
        <f ca="1">IFERROR(__xludf.DUMMYFUNCTION("""COMPUTED_VALUE"""),"Mateiros")</f>
        <v>Mateiros</v>
      </c>
      <c r="C581" s="240" t="str">
        <f ca="1">IFERROR(__xludf.DUMMYFUNCTION("""COMPUTED_VALUE"""),"ASS. A. ESC. EST.ESTEFANIO TELES DAS CHAGAS")</f>
        <v>ASS. A. ESC. EST.ESTEFANIO TELES DAS CHAGAS</v>
      </c>
      <c r="D581" s="241" t="str">
        <f ca="1">IFERROR(__xludf.DUMMYFUNCTION("""COMPUTED_VALUE"""),"01206219000104")</f>
        <v>01206219000104</v>
      </c>
      <c r="E581" s="241" t="str">
        <f ca="1">IFERROR(__xludf.DUMMYFUNCTION("""COMPUTED_VALUE"""),"001")</f>
        <v>001</v>
      </c>
      <c r="F581" s="241" t="str">
        <f ca="1">IFERROR(__xludf.DUMMYFUNCTION("""COMPUTED_VALUE"""),"3962")</f>
        <v>3962</v>
      </c>
      <c r="G581" s="240" t="str">
        <f ca="1">IFERROR(__xludf.DUMMYFUNCTION("""COMPUTED_VALUE"""),"127795")</f>
        <v>127795</v>
      </c>
      <c r="H581" s="240" t="str">
        <f ca="1">IFERROR(__xludf.DUMMYFUNCTION("""COMPUTED_VALUE"""),"E.F. PARCIAL")</f>
        <v>E.F. PARCIAL</v>
      </c>
      <c r="I581" s="242">
        <f ca="1">IFERROR(__xludf.DUMMYFUNCTION("""COMPUTED_VALUE"""),4137)</f>
        <v>4137</v>
      </c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</row>
    <row r="582" spans="1:26" ht="21" customHeight="1">
      <c r="A582" s="240" t="str">
        <f ca="1">IFERROR(__xludf.DUMMYFUNCTION("""COMPUTED_VALUE"""),"Palmas")</f>
        <v>Palmas</v>
      </c>
      <c r="B582" s="240" t="str">
        <f ca="1">IFERROR(__xludf.DUMMYFUNCTION("""COMPUTED_VALUE"""),"Mateiros")</f>
        <v>Mateiros</v>
      </c>
      <c r="C582" s="240" t="str">
        <f ca="1">IFERROR(__xludf.DUMMYFUNCTION("""COMPUTED_VALUE"""),"ASS. A. ESC. EST.ESTEFANIO TELES DAS CHAGAS")</f>
        <v>ASS. A. ESC. EST.ESTEFANIO TELES DAS CHAGAS</v>
      </c>
      <c r="D582" s="241" t="str">
        <f ca="1">IFERROR(__xludf.DUMMYFUNCTION("""COMPUTED_VALUE"""),"01206219000104")</f>
        <v>01206219000104</v>
      </c>
      <c r="E582" s="241" t="str">
        <f ca="1">IFERROR(__xludf.DUMMYFUNCTION("""COMPUTED_VALUE"""),"001")</f>
        <v>001</v>
      </c>
      <c r="F582" s="241" t="str">
        <f ca="1">IFERROR(__xludf.DUMMYFUNCTION("""COMPUTED_VALUE"""),"3962")</f>
        <v>3962</v>
      </c>
      <c r="G582" s="240" t="str">
        <f ca="1">IFERROR(__xludf.DUMMYFUNCTION("""COMPUTED_VALUE"""),"127795")</f>
        <v>127795</v>
      </c>
      <c r="H582" s="240" t="str">
        <f ca="1">IFERROR(__xludf.DUMMYFUNCTION("""COMPUTED_VALUE"""),"ENS MEDIO PARCIAL")</f>
        <v>ENS MEDIO PARCIAL</v>
      </c>
      <c r="I582" s="242">
        <f ca="1">IFERROR(__xludf.DUMMYFUNCTION("""COMPUTED_VALUE"""),2730)</f>
        <v>2730</v>
      </c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</row>
    <row r="583" spans="1:26" ht="21" customHeight="1">
      <c r="A583" s="240" t="str">
        <f ca="1">IFERROR(__xludf.DUMMYFUNCTION("""COMPUTED_VALUE"""),"Palmas")</f>
        <v>Palmas</v>
      </c>
      <c r="B583" s="240" t="str">
        <f ca="1">IFERROR(__xludf.DUMMYFUNCTION("""COMPUTED_VALUE"""),"Mateiros")</f>
        <v>Mateiros</v>
      </c>
      <c r="C583" s="240" t="str">
        <f ca="1">IFERROR(__xludf.DUMMYFUNCTION("""COMPUTED_VALUE"""),"ASSOC. DE APOIO A ESC. EST. SILVERIO RIBEIRO MATOS")</f>
        <v>ASSOC. DE APOIO A ESC. EST. SILVERIO RIBEIRO MATOS</v>
      </c>
      <c r="D583" s="241" t="str">
        <f ca="1">IFERROR(__xludf.DUMMYFUNCTION("""COMPUTED_VALUE"""),"13439520000147")</f>
        <v>13439520000147</v>
      </c>
      <c r="E583" s="241" t="str">
        <f ca="1">IFERROR(__xludf.DUMMYFUNCTION("""COMPUTED_VALUE"""),"001")</f>
        <v>001</v>
      </c>
      <c r="F583" s="241" t="str">
        <f ca="1">IFERROR(__xludf.DUMMYFUNCTION("""COMPUTED_VALUE"""),"3962")</f>
        <v>3962</v>
      </c>
      <c r="G583" s="240" t="str">
        <f ca="1">IFERROR(__xludf.DUMMYFUNCTION("""COMPUTED_VALUE"""),"261882")</f>
        <v>261882</v>
      </c>
      <c r="H583" s="240" t="str">
        <f ca="1">IFERROR(__xludf.DUMMYFUNCTION("""COMPUTED_VALUE"""),"QUILOMBOLA")</f>
        <v>QUILOMBOLA</v>
      </c>
      <c r="I583" s="242">
        <f ca="1">IFERROR(__xludf.DUMMYFUNCTION("""COMPUTED_VALUE"""),1470)</f>
        <v>1470</v>
      </c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</row>
    <row r="584" spans="1:26" ht="21" customHeight="1">
      <c r="A584" s="240" t="str">
        <f ca="1">IFERROR(__xludf.DUMMYFUNCTION("""COMPUTED_VALUE"""),"Palmas")</f>
        <v>Palmas</v>
      </c>
      <c r="B584" s="240" t="str">
        <f ca="1">IFERROR(__xludf.DUMMYFUNCTION("""COMPUTED_VALUE"""),"Novo Acordo")</f>
        <v>Novo Acordo</v>
      </c>
      <c r="C584" s="240" t="str">
        <f ca="1">IFERROR(__xludf.DUMMYFUNCTION("""COMPUTED_VALUE"""),"ASS. A. AO COL. EST. D. PEDRO I/N.ACORDO")</f>
        <v>ASS. A. AO COL. EST. D. PEDRO I/N.ACORDO</v>
      </c>
      <c r="D584" s="241" t="str">
        <f ca="1">IFERROR(__xludf.DUMMYFUNCTION("""COMPUTED_VALUE"""),"01133690000110")</f>
        <v>01133690000110</v>
      </c>
      <c r="E584" s="241" t="str">
        <f ca="1">IFERROR(__xludf.DUMMYFUNCTION("""COMPUTED_VALUE"""),"001")</f>
        <v>001</v>
      </c>
      <c r="F584" s="241" t="str">
        <f ca="1">IFERROR(__xludf.DUMMYFUNCTION("""COMPUTED_VALUE"""),"1505")</f>
        <v>1505</v>
      </c>
      <c r="G584" s="240" t="str">
        <f ca="1">IFERROR(__xludf.DUMMYFUNCTION("""COMPUTED_VALUE"""),"157856")</f>
        <v>157856</v>
      </c>
      <c r="H584" s="240" t="str">
        <f ca="1">IFERROR(__xludf.DUMMYFUNCTION("""COMPUTED_VALUE"""),"E.F. PARCIAL")</f>
        <v>E.F. PARCIAL</v>
      </c>
      <c r="I584" s="242">
        <f ca="1">IFERROR(__xludf.DUMMYFUNCTION("""COMPUTED_VALUE"""),4935)</f>
        <v>4935</v>
      </c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</row>
    <row r="585" spans="1:26" ht="21" customHeight="1">
      <c r="A585" s="240" t="str">
        <f ca="1">IFERROR(__xludf.DUMMYFUNCTION("""COMPUTED_VALUE"""),"Palmas")</f>
        <v>Palmas</v>
      </c>
      <c r="B585" s="240" t="str">
        <f ca="1">IFERROR(__xludf.DUMMYFUNCTION("""COMPUTED_VALUE"""),"Novo Acordo")</f>
        <v>Novo Acordo</v>
      </c>
      <c r="C585" s="240" t="str">
        <f ca="1">IFERROR(__xludf.DUMMYFUNCTION("""COMPUTED_VALUE"""),"ASS. A. AO COL. EST. D. PEDRO I/N.ACORDO")</f>
        <v>ASS. A. AO COL. EST. D. PEDRO I/N.ACORDO</v>
      </c>
      <c r="D585" s="241" t="str">
        <f ca="1">IFERROR(__xludf.DUMMYFUNCTION("""COMPUTED_VALUE"""),"01133690000110")</f>
        <v>01133690000110</v>
      </c>
      <c r="E585" s="241" t="str">
        <f ca="1">IFERROR(__xludf.DUMMYFUNCTION("""COMPUTED_VALUE"""),"001")</f>
        <v>001</v>
      </c>
      <c r="F585" s="241" t="str">
        <f ca="1">IFERROR(__xludf.DUMMYFUNCTION("""COMPUTED_VALUE"""),"1505")</f>
        <v>1505</v>
      </c>
      <c r="G585" s="240" t="str">
        <f ca="1">IFERROR(__xludf.DUMMYFUNCTION("""COMPUTED_VALUE"""),"157856")</f>
        <v>157856</v>
      </c>
      <c r="H585" s="240" t="str">
        <f ca="1">IFERROR(__xludf.DUMMYFUNCTION("""COMPUTED_VALUE"""),"AEE")</f>
        <v>AEE</v>
      </c>
      <c r="I585" s="242">
        <f ca="1">IFERROR(__xludf.DUMMYFUNCTION("""COMPUTED_VALUE"""),735)</f>
        <v>735</v>
      </c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</row>
    <row r="586" spans="1:26" ht="21" customHeight="1">
      <c r="A586" s="240" t="str">
        <f ca="1">IFERROR(__xludf.DUMMYFUNCTION("""COMPUTED_VALUE"""),"Palmas")</f>
        <v>Palmas</v>
      </c>
      <c r="B586" s="240" t="str">
        <f ca="1">IFERROR(__xludf.DUMMYFUNCTION("""COMPUTED_VALUE"""),"Novo Acordo")</f>
        <v>Novo Acordo</v>
      </c>
      <c r="C586" s="240" t="str">
        <f ca="1">IFERROR(__xludf.DUMMYFUNCTION("""COMPUTED_VALUE"""),"ASS. A. AO COL. EST. D. PEDRO I/N.ACORDO")</f>
        <v>ASS. A. AO COL. EST. D. PEDRO I/N.ACORDO</v>
      </c>
      <c r="D586" s="241" t="str">
        <f ca="1">IFERROR(__xludf.DUMMYFUNCTION("""COMPUTED_VALUE"""),"01133690000110")</f>
        <v>01133690000110</v>
      </c>
      <c r="E586" s="241" t="str">
        <f ca="1">IFERROR(__xludf.DUMMYFUNCTION("""COMPUTED_VALUE"""),"001")</f>
        <v>001</v>
      </c>
      <c r="F586" s="241" t="str">
        <f ca="1">IFERROR(__xludf.DUMMYFUNCTION("""COMPUTED_VALUE"""),"1505")</f>
        <v>1505</v>
      </c>
      <c r="G586" s="240" t="str">
        <f ca="1">IFERROR(__xludf.DUMMYFUNCTION("""COMPUTED_VALUE"""),"157856")</f>
        <v>157856</v>
      </c>
      <c r="H586" s="240" t="str">
        <f ca="1">IFERROR(__xludf.DUMMYFUNCTION("""COMPUTED_VALUE"""),"ENS MEDIO PARCIAL")</f>
        <v>ENS MEDIO PARCIAL</v>
      </c>
      <c r="I586" s="242">
        <f ca="1">IFERROR(__xludf.DUMMYFUNCTION("""COMPUTED_VALUE"""),4494)</f>
        <v>4494</v>
      </c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</row>
    <row r="587" spans="1:26" ht="21" customHeight="1">
      <c r="A587" s="240" t="str">
        <f ca="1">IFERROR(__xludf.DUMMYFUNCTION("""COMPUTED_VALUE"""),"Palmas")</f>
        <v>Palmas</v>
      </c>
      <c r="B587" s="240" t="str">
        <f ca="1">IFERROR(__xludf.DUMMYFUNCTION("""COMPUTED_VALUE"""),"Novo Acordo")</f>
        <v>Novo Acordo</v>
      </c>
      <c r="C587" s="240" t="str">
        <f ca="1">IFERROR(__xludf.DUMMYFUNCTION("""COMPUTED_VALUE"""),"A.A. DA ESC. EST.PEDRO MACEDO / N.ACORDO")</f>
        <v>A.A. DA ESC. EST.PEDRO MACEDO / N.ACORDO</v>
      </c>
      <c r="D587" s="241" t="str">
        <f ca="1">IFERROR(__xludf.DUMMYFUNCTION("""COMPUTED_VALUE"""),"01136004000164")</f>
        <v>01136004000164</v>
      </c>
      <c r="E587" s="241" t="str">
        <f ca="1">IFERROR(__xludf.DUMMYFUNCTION("""COMPUTED_VALUE"""),"001")</f>
        <v>001</v>
      </c>
      <c r="F587" s="241" t="str">
        <f ca="1">IFERROR(__xludf.DUMMYFUNCTION("""COMPUTED_VALUE"""),"1505")</f>
        <v>1505</v>
      </c>
      <c r="G587" s="240" t="str">
        <f ca="1">IFERROR(__xludf.DUMMYFUNCTION("""COMPUTED_VALUE"""),"171166")</f>
        <v>171166</v>
      </c>
      <c r="H587" s="240" t="str">
        <f ca="1">IFERROR(__xludf.DUMMYFUNCTION("""COMPUTED_VALUE"""),"E.F. PARCIAL")</f>
        <v>E.F. PARCIAL</v>
      </c>
      <c r="I587" s="242">
        <f ca="1">IFERROR(__xludf.DUMMYFUNCTION("""COMPUTED_VALUE"""),1659)</f>
        <v>1659</v>
      </c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</row>
    <row r="588" spans="1:26" ht="21" customHeight="1">
      <c r="A588" s="240" t="str">
        <f ca="1">IFERROR(__xludf.DUMMYFUNCTION("""COMPUTED_VALUE"""),"Palmas")</f>
        <v>Palmas</v>
      </c>
      <c r="B588" s="240" t="str">
        <f ca="1">IFERROR(__xludf.DUMMYFUNCTION("""COMPUTED_VALUE"""),"Novo Acordo")</f>
        <v>Novo Acordo</v>
      </c>
      <c r="C588" s="240" t="str">
        <f ca="1">IFERROR(__xludf.DUMMYFUNCTION("""COMPUTED_VALUE"""),"A.A. DA ESC. EST.PEDRO MACEDO / N.ACORDO")</f>
        <v>A.A. DA ESC. EST.PEDRO MACEDO / N.ACORDO</v>
      </c>
      <c r="D588" s="241" t="str">
        <f ca="1">IFERROR(__xludf.DUMMYFUNCTION("""COMPUTED_VALUE"""),"01136004000164")</f>
        <v>01136004000164</v>
      </c>
      <c r="E588" s="241" t="str">
        <f ca="1">IFERROR(__xludf.DUMMYFUNCTION("""COMPUTED_VALUE"""),"001")</f>
        <v>001</v>
      </c>
      <c r="F588" s="241" t="str">
        <f ca="1">IFERROR(__xludf.DUMMYFUNCTION("""COMPUTED_VALUE"""),"1505")</f>
        <v>1505</v>
      </c>
      <c r="G588" s="240" t="str">
        <f ca="1">IFERROR(__xludf.DUMMYFUNCTION("""COMPUTED_VALUE"""),"171166")</f>
        <v>171166</v>
      </c>
      <c r="H588" s="240" t="str">
        <f ca="1">IFERROR(__xludf.DUMMYFUNCTION("""COMPUTED_VALUE"""),"AEE")</f>
        <v>AEE</v>
      </c>
      <c r="I588" s="242">
        <f ca="1">IFERROR(__xludf.DUMMYFUNCTION("""COMPUTED_VALUE"""),336)</f>
        <v>336</v>
      </c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</row>
    <row r="589" spans="1:26" ht="21" customHeight="1">
      <c r="A589" s="240" t="str">
        <f ca="1">IFERROR(__xludf.DUMMYFUNCTION("""COMPUTED_VALUE"""),"Palmas")</f>
        <v>Palmas</v>
      </c>
      <c r="B589" s="240" t="str">
        <f ca="1">IFERROR(__xludf.DUMMYFUNCTION("""COMPUTED_VALUE"""),"Palmas")</f>
        <v>Palmas</v>
      </c>
      <c r="C589" s="240" t="str">
        <f ca="1">IFERROR(__xludf.DUMMYFUNCTION("""COMPUTED_VALUE"""),"ASSOC. COMUN.ESCOLAR DA ESC. EST. TIRADENTES")</f>
        <v>ASSOC. COMUN.ESCOLAR DA ESC. EST. TIRADENTES</v>
      </c>
      <c r="D589" s="241" t="str">
        <f ca="1">IFERROR(__xludf.DUMMYFUNCTION("""COMPUTED_VALUE"""),"00862122000197")</f>
        <v>00862122000197</v>
      </c>
      <c r="E589" s="241" t="str">
        <f ca="1">IFERROR(__xludf.DUMMYFUNCTION("""COMPUTED_VALUE"""),"001")</f>
        <v>001</v>
      </c>
      <c r="F589" s="241" t="str">
        <f ca="1">IFERROR(__xludf.DUMMYFUNCTION("""COMPUTED_VALUE"""),"1505")</f>
        <v>1505</v>
      </c>
      <c r="G589" s="240" t="str">
        <f ca="1">IFERROR(__xludf.DUMMYFUNCTION("""COMPUTED_VALUE"""),"250562")</f>
        <v>250562</v>
      </c>
      <c r="H589" s="240" t="str">
        <f ca="1">IFERROR(__xludf.DUMMYFUNCTION("""COMPUTED_VALUE"""),"ENS MEDIO PARCIAL")</f>
        <v>ENS MEDIO PARCIAL</v>
      </c>
      <c r="I589" s="242">
        <f ca="1">IFERROR(__xludf.DUMMYFUNCTION("""COMPUTED_VALUE"""),26922)</f>
        <v>26922</v>
      </c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</row>
    <row r="590" spans="1:26" ht="21" customHeight="1">
      <c r="A590" s="240" t="str">
        <f ca="1">IFERROR(__xludf.DUMMYFUNCTION("""COMPUTED_VALUE"""),"Palmas")</f>
        <v>Palmas</v>
      </c>
      <c r="B590" s="240" t="str">
        <f ca="1">IFERROR(__xludf.DUMMYFUNCTION("""COMPUTED_VALUE"""),"Palmas")</f>
        <v>Palmas</v>
      </c>
      <c r="C590" s="240" t="str">
        <f ca="1">IFERROR(__xludf.DUMMYFUNCTION("""COMPUTED_VALUE"""),"A.P.E M. DA ESC. EST. MADRE BELEM")</f>
        <v>A.P.E M. DA ESC. EST. MADRE BELEM</v>
      </c>
      <c r="D590" s="241" t="str">
        <f ca="1">IFERROR(__xludf.DUMMYFUNCTION("""COMPUTED_VALUE"""),"01034134000196")</f>
        <v>01034134000196</v>
      </c>
      <c r="E590" s="241" t="str">
        <f ca="1">IFERROR(__xludf.DUMMYFUNCTION("""COMPUTED_VALUE"""),"001")</f>
        <v>001</v>
      </c>
      <c r="F590" s="241" t="str">
        <f ca="1">IFERROR(__xludf.DUMMYFUNCTION("""COMPUTED_VALUE"""),"1886")</f>
        <v>1886</v>
      </c>
      <c r="G590" s="240" t="str">
        <f ca="1">IFERROR(__xludf.DUMMYFUNCTION("""COMPUTED_VALUE"""),"519855")</f>
        <v>519855</v>
      </c>
      <c r="H590" s="240" t="str">
        <f ca="1">IFERROR(__xludf.DUMMYFUNCTION("""COMPUTED_VALUE"""),"AEE")</f>
        <v>AEE</v>
      </c>
      <c r="I590" s="242">
        <f ca="1">IFERROR(__xludf.DUMMYFUNCTION("""COMPUTED_VALUE"""),252)</f>
        <v>252</v>
      </c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</row>
    <row r="591" spans="1:26" ht="21" customHeight="1">
      <c r="A591" s="240" t="str">
        <f ca="1">IFERROR(__xludf.DUMMYFUNCTION("""COMPUTED_VALUE"""),"Palmas")</f>
        <v>Palmas</v>
      </c>
      <c r="B591" s="240" t="str">
        <f ca="1">IFERROR(__xludf.DUMMYFUNCTION("""COMPUTED_VALUE"""),"Palmas")</f>
        <v>Palmas</v>
      </c>
      <c r="C591" s="240" t="str">
        <f ca="1">IFERROR(__xludf.DUMMYFUNCTION("""COMPUTED_VALUE"""),"A.COM. DA ESC. EST. NOVO HORIZONTE")</f>
        <v>A.COM. DA ESC. EST. NOVO HORIZONTE</v>
      </c>
      <c r="D591" s="241" t="str">
        <f ca="1">IFERROR(__xludf.DUMMYFUNCTION("""COMPUTED_VALUE"""),"01221539000133")</f>
        <v>01221539000133</v>
      </c>
      <c r="E591" s="241" t="str">
        <f ca="1">IFERROR(__xludf.DUMMYFUNCTION("""COMPUTED_VALUE"""),"001")</f>
        <v>001</v>
      </c>
      <c r="F591" s="241" t="str">
        <f ca="1">IFERROR(__xludf.DUMMYFUNCTION("""COMPUTED_VALUE"""),"1505")</f>
        <v>1505</v>
      </c>
      <c r="G591" s="240" t="str">
        <f ca="1">IFERROR(__xludf.DUMMYFUNCTION("""COMPUTED_VALUE"""),"351687")</f>
        <v>351687</v>
      </c>
      <c r="H591" s="240" t="str">
        <f ca="1">IFERROR(__xludf.DUMMYFUNCTION("""COMPUTED_VALUE"""),"E.F. PARCIAL")</f>
        <v>E.F. PARCIAL</v>
      </c>
      <c r="I591" s="242">
        <f ca="1">IFERROR(__xludf.DUMMYFUNCTION("""COMPUTED_VALUE"""),6951)</f>
        <v>6951</v>
      </c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</row>
    <row r="592" spans="1:26" ht="21" customHeight="1">
      <c r="A592" s="240" t="str">
        <f ca="1">IFERROR(__xludf.DUMMYFUNCTION("""COMPUTED_VALUE"""),"Palmas")</f>
        <v>Palmas</v>
      </c>
      <c r="B592" s="240" t="str">
        <f ca="1">IFERROR(__xludf.DUMMYFUNCTION("""COMPUTED_VALUE"""),"Palmas")</f>
        <v>Palmas</v>
      </c>
      <c r="C592" s="240" t="str">
        <f ca="1">IFERROR(__xludf.DUMMYFUNCTION("""COMPUTED_VALUE"""),"A.COM. DA ESC. EST. NOVO HORIZONTE")</f>
        <v>A.COM. DA ESC. EST. NOVO HORIZONTE</v>
      </c>
      <c r="D592" s="241" t="str">
        <f ca="1">IFERROR(__xludf.DUMMYFUNCTION("""COMPUTED_VALUE"""),"01221539000133")</f>
        <v>01221539000133</v>
      </c>
      <c r="E592" s="241" t="str">
        <f ca="1">IFERROR(__xludf.DUMMYFUNCTION("""COMPUTED_VALUE"""),"001")</f>
        <v>001</v>
      </c>
      <c r="F592" s="241" t="str">
        <f ca="1">IFERROR(__xludf.DUMMYFUNCTION("""COMPUTED_VALUE"""),"1505")</f>
        <v>1505</v>
      </c>
      <c r="G592" s="240" t="str">
        <f ca="1">IFERROR(__xludf.DUMMYFUNCTION("""COMPUTED_VALUE"""),"351687")</f>
        <v>351687</v>
      </c>
      <c r="H592" s="240" t="str">
        <f ca="1">IFERROR(__xludf.DUMMYFUNCTION("""COMPUTED_VALUE"""),"AEE")</f>
        <v>AEE</v>
      </c>
      <c r="I592" s="242">
        <f ca="1">IFERROR(__xludf.DUMMYFUNCTION("""COMPUTED_VALUE"""),693)</f>
        <v>693</v>
      </c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</row>
    <row r="593" spans="1:26" ht="21" customHeight="1">
      <c r="A593" s="240" t="str">
        <f ca="1">IFERROR(__xludf.DUMMYFUNCTION("""COMPUTED_VALUE"""),"Palmas")</f>
        <v>Palmas</v>
      </c>
      <c r="B593" s="240" t="str">
        <f ca="1">IFERROR(__xludf.DUMMYFUNCTION("""COMPUTED_VALUE"""),"Palmas")</f>
        <v>Palmas</v>
      </c>
      <c r="C593" s="240" t="str">
        <f ca="1">IFERROR(__xludf.DUMMYFUNCTION("""COMPUTED_VALUE"""),"A.COM. DA ESC. EST. NOVO HORIZONTE")</f>
        <v>A.COM. DA ESC. EST. NOVO HORIZONTE</v>
      </c>
      <c r="D593" s="241" t="str">
        <f ca="1">IFERROR(__xludf.DUMMYFUNCTION("""COMPUTED_VALUE"""),"01221539000133")</f>
        <v>01221539000133</v>
      </c>
      <c r="E593" s="241" t="str">
        <f ca="1">IFERROR(__xludf.DUMMYFUNCTION("""COMPUTED_VALUE"""),"001")</f>
        <v>001</v>
      </c>
      <c r="F593" s="241" t="str">
        <f ca="1">IFERROR(__xludf.DUMMYFUNCTION("""COMPUTED_VALUE"""),"1505")</f>
        <v>1505</v>
      </c>
      <c r="G593" s="240" t="str">
        <f ca="1">IFERROR(__xludf.DUMMYFUNCTION("""COMPUTED_VALUE"""),"351687")</f>
        <v>351687</v>
      </c>
      <c r="H593" s="240" t="str">
        <f ca="1">IFERROR(__xludf.DUMMYFUNCTION("""COMPUTED_VALUE"""),"ENS MEDIO PARCIAL")</f>
        <v>ENS MEDIO PARCIAL</v>
      </c>
      <c r="I593" s="242">
        <f ca="1">IFERROR(__xludf.DUMMYFUNCTION("""COMPUTED_VALUE"""),8988)</f>
        <v>8988</v>
      </c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</row>
    <row r="594" spans="1:26" ht="21" customHeight="1">
      <c r="A594" s="240" t="str">
        <f ca="1">IFERROR(__xludf.DUMMYFUNCTION("""COMPUTED_VALUE"""),"Palmas")</f>
        <v>Palmas</v>
      </c>
      <c r="B594" s="240" t="str">
        <f ca="1">IFERROR(__xludf.DUMMYFUNCTION("""COMPUTED_VALUE"""),"Palmas")</f>
        <v>Palmas</v>
      </c>
      <c r="C594" s="240" t="str">
        <f ca="1">IFERROR(__xludf.DUMMYFUNCTION("""COMPUTED_VALUE"""),"A.COM. DA ESC. EST. NOVO HORIZONTE")</f>
        <v>A.COM. DA ESC. EST. NOVO HORIZONTE</v>
      </c>
      <c r="D594" s="241" t="str">
        <f ca="1">IFERROR(__xludf.DUMMYFUNCTION("""COMPUTED_VALUE"""),"01221539000133")</f>
        <v>01221539000133</v>
      </c>
      <c r="E594" s="241" t="str">
        <f ca="1">IFERROR(__xludf.DUMMYFUNCTION("""COMPUTED_VALUE"""),"001")</f>
        <v>001</v>
      </c>
      <c r="F594" s="241" t="str">
        <f ca="1">IFERROR(__xludf.DUMMYFUNCTION("""COMPUTED_VALUE"""),"1505")</f>
        <v>1505</v>
      </c>
      <c r="G594" s="240" t="str">
        <f ca="1">IFERROR(__xludf.DUMMYFUNCTION("""COMPUTED_VALUE"""),"351687")</f>
        <v>351687</v>
      </c>
      <c r="H594" s="240" t="str">
        <f ca="1">IFERROR(__xludf.DUMMYFUNCTION("""COMPUTED_VALUE"""),"EJA")</f>
        <v>EJA</v>
      </c>
      <c r="I594" s="242">
        <f ca="1">IFERROR(__xludf.DUMMYFUNCTION("""COMPUTED_VALUE"""),840)</f>
        <v>840</v>
      </c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</row>
    <row r="595" spans="1:26" ht="21" customHeight="1">
      <c r="A595" s="240" t="str">
        <f ca="1">IFERROR(__xludf.DUMMYFUNCTION("""COMPUTED_VALUE"""),"Palmas")</f>
        <v>Palmas</v>
      </c>
      <c r="B595" s="240" t="str">
        <f ca="1">IFERROR(__xludf.DUMMYFUNCTION("""COMPUTED_VALUE"""),"Palmas")</f>
        <v>Palmas</v>
      </c>
      <c r="C595" s="240" t="str">
        <f ca="1">IFERROR(__xludf.DUMMYFUNCTION("""COMPUTED_VALUE"""),"A. COM. E-E. E. DOM ALANO MARIE DU NODAY")</f>
        <v>A. COM. E-E. E. DOM ALANO MARIE DU NODAY</v>
      </c>
      <c r="D595" s="241" t="str">
        <f ca="1">IFERROR(__xludf.DUMMYFUNCTION("""COMPUTED_VALUE"""),"01343125000187")</f>
        <v>01343125000187</v>
      </c>
      <c r="E595" s="241" t="str">
        <f ca="1">IFERROR(__xludf.DUMMYFUNCTION("""COMPUTED_VALUE"""),"001")</f>
        <v>001</v>
      </c>
      <c r="F595" s="241" t="str">
        <f ca="1">IFERROR(__xludf.DUMMYFUNCTION("""COMPUTED_VALUE"""),"1505")</f>
        <v>1505</v>
      </c>
      <c r="G595" s="240" t="str">
        <f ca="1">IFERROR(__xludf.DUMMYFUNCTION("""COMPUTED_VALUE"""),"265810")</f>
        <v>265810</v>
      </c>
      <c r="H595" s="240" t="str">
        <f ca="1">IFERROR(__xludf.DUMMYFUNCTION("""COMPUTED_VALUE"""),"E.F. PARCIAL")</f>
        <v>E.F. PARCIAL</v>
      </c>
      <c r="I595" s="242">
        <f ca="1">IFERROR(__xludf.DUMMYFUNCTION("""COMPUTED_VALUE"""),1659)</f>
        <v>1659</v>
      </c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</row>
    <row r="596" spans="1:26" ht="21" customHeight="1">
      <c r="A596" s="240" t="str">
        <f ca="1">IFERROR(__xludf.DUMMYFUNCTION("""COMPUTED_VALUE"""),"Palmas")</f>
        <v>Palmas</v>
      </c>
      <c r="B596" s="240" t="str">
        <f ca="1">IFERROR(__xludf.DUMMYFUNCTION("""COMPUTED_VALUE"""),"Palmas")</f>
        <v>Palmas</v>
      </c>
      <c r="C596" s="240" t="str">
        <f ca="1">IFERROR(__xludf.DUMMYFUNCTION("""COMPUTED_VALUE"""),"A. COM. E-E. E. DOM ALANO MARIE DU NODAY")</f>
        <v>A. COM. E-E. E. DOM ALANO MARIE DU NODAY</v>
      </c>
      <c r="D596" s="241" t="str">
        <f ca="1">IFERROR(__xludf.DUMMYFUNCTION("""COMPUTED_VALUE"""),"01343125000187")</f>
        <v>01343125000187</v>
      </c>
      <c r="E596" s="241" t="str">
        <f ca="1">IFERROR(__xludf.DUMMYFUNCTION("""COMPUTED_VALUE"""),"001")</f>
        <v>001</v>
      </c>
      <c r="F596" s="241" t="str">
        <f ca="1">IFERROR(__xludf.DUMMYFUNCTION("""COMPUTED_VALUE"""),"1505")</f>
        <v>1505</v>
      </c>
      <c r="G596" s="240" t="str">
        <f ca="1">IFERROR(__xludf.DUMMYFUNCTION("""COMPUTED_VALUE"""),"265810")</f>
        <v>265810</v>
      </c>
      <c r="H596" s="240" t="str">
        <f ca="1">IFERROR(__xludf.DUMMYFUNCTION("""COMPUTED_VALUE"""),"ENS MEDIO PARCIAL")</f>
        <v>ENS MEDIO PARCIAL</v>
      </c>
      <c r="I596" s="242">
        <f ca="1">IFERROR(__xludf.DUMMYFUNCTION("""COMPUTED_VALUE"""),17304)</f>
        <v>17304</v>
      </c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</row>
    <row r="597" spans="1:26" ht="21" customHeight="1">
      <c r="A597" s="240" t="str">
        <f ca="1">IFERROR(__xludf.DUMMYFUNCTION("""COMPUTED_VALUE"""),"Palmas")</f>
        <v>Palmas</v>
      </c>
      <c r="B597" s="240" t="str">
        <f ca="1">IFERROR(__xludf.DUMMYFUNCTION("""COMPUTED_VALUE"""),"Palmas")</f>
        <v>Palmas</v>
      </c>
      <c r="C597" s="240" t="str">
        <f ca="1">IFERROR(__xludf.DUMMYFUNCTION("""COMPUTED_VALUE"""),"A. COM. E-E. E. DOM ALANO MARIE DU NODAY")</f>
        <v>A. COM. E-E. E. DOM ALANO MARIE DU NODAY</v>
      </c>
      <c r="D597" s="241" t="str">
        <f ca="1">IFERROR(__xludf.DUMMYFUNCTION("""COMPUTED_VALUE"""),"01343125000187")</f>
        <v>01343125000187</v>
      </c>
      <c r="E597" s="241" t="str">
        <f ca="1">IFERROR(__xludf.DUMMYFUNCTION("""COMPUTED_VALUE"""),"001")</f>
        <v>001</v>
      </c>
      <c r="F597" s="241" t="str">
        <f ca="1">IFERROR(__xludf.DUMMYFUNCTION("""COMPUTED_VALUE"""),"1505")</f>
        <v>1505</v>
      </c>
      <c r="G597" s="240" t="str">
        <f ca="1">IFERROR(__xludf.DUMMYFUNCTION("""COMPUTED_VALUE"""),"265810")</f>
        <v>265810</v>
      </c>
      <c r="H597" s="240" t="str">
        <f ca="1">IFERROR(__xludf.DUMMYFUNCTION("""COMPUTED_VALUE"""),"EJA")</f>
        <v>EJA</v>
      </c>
      <c r="I597" s="242">
        <f ca="1">IFERROR(__xludf.DUMMYFUNCTION("""COMPUTED_VALUE"""),2268)</f>
        <v>2268</v>
      </c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</row>
    <row r="598" spans="1:26" ht="21" customHeight="1">
      <c r="A598" s="240" t="str">
        <f ca="1">IFERROR(__xludf.DUMMYFUNCTION("""COMPUTED_VALUE"""),"Palmas")</f>
        <v>Palmas</v>
      </c>
      <c r="B598" s="240" t="str">
        <f ca="1">IFERROR(__xludf.DUMMYFUNCTION("""COMPUTED_VALUE"""),"Palmas")</f>
        <v>Palmas</v>
      </c>
      <c r="C598" s="240" t="str">
        <f ca="1">IFERROR(__xludf.DUMMYFUNCTION("""COMPUTED_VALUE"""),"ACE COL. EST. DUQUE DE CAXIAS")</f>
        <v>ACE COL. EST. DUQUE DE CAXIAS</v>
      </c>
      <c r="D598" s="241" t="str">
        <f ca="1">IFERROR(__xludf.DUMMYFUNCTION("""COMPUTED_VALUE"""),"01588669000109")</f>
        <v>01588669000109</v>
      </c>
      <c r="E598" s="241" t="str">
        <f ca="1">IFERROR(__xludf.DUMMYFUNCTION("""COMPUTED_VALUE"""),"001")</f>
        <v>001</v>
      </c>
      <c r="F598" s="241" t="str">
        <f ca="1">IFERROR(__xludf.DUMMYFUNCTION("""COMPUTED_VALUE"""),"1505")</f>
        <v>1505</v>
      </c>
      <c r="G598" s="240" t="str">
        <f ca="1">IFERROR(__xludf.DUMMYFUNCTION("""COMPUTED_VALUE"""),"254002")</f>
        <v>254002</v>
      </c>
      <c r="H598" s="240" t="str">
        <f ca="1">IFERROR(__xludf.DUMMYFUNCTION("""COMPUTED_VALUE"""),"E.F. PARCIAL")</f>
        <v>E.F. PARCIAL</v>
      </c>
      <c r="I598" s="242">
        <f ca="1">IFERROR(__xludf.DUMMYFUNCTION("""COMPUTED_VALUE"""),4137)</f>
        <v>4137</v>
      </c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</row>
    <row r="599" spans="1:26" ht="21" customHeight="1">
      <c r="A599" s="240" t="str">
        <f ca="1">IFERROR(__xludf.DUMMYFUNCTION("""COMPUTED_VALUE"""),"Palmas")</f>
        <v>Palmas</v>
      </c>
      <c r="B599" s="240" t="str">
        <f ca="1">IFERROR(__xludf.DUMMYFUNCTION("""COMPUTED_VALUE"""),"Palmas")</f>
        <v>Palmas</v>
      </c>
      <c r="C599" s="240" t="str">
        <f ca="1">IFERROR(__xludf.DUMMYFUNCTION("""COMPUTED_VALUE"""),"ACE COL. EST. DUQUE DE CAXIAS")</f>
        <v>ACE COL. EST. DUQUE DE CAXIAS</v>
      </c>
      <c r="D599" s="241" t="str">
        <f ca="1">IFERROR(__xludf.DUMMYFUNCTION("""COMPUTED_VALUE"""),"01588669000109")</f>
        <v>01588669000109</v>
      </c>
      <c r="E599" s="241" t="str">
        <f ca="1">IFERROR(__xludf.DUMMYFUNCTION("""COMPUTED_VALUE"""),"001")</f>
        <v>001</v>
      </c>
      <c r="F599" s="241" t="str">
        <f ca="1">IFERROR(__xludf.DUMMYFUNCTION("""COMPUTED_VALUE"""),"1505")</f>
        <v>1505</v>
      </c>
      <c r="G599" s="240" t="str">
        <f ca="1">IFERROR(__xludf.DUMMYFUNCTION("""COMPUTED_VALUE"""),"254002")</f>
        <v>254002</v>
      </c>
      <c r="H599" s="240" t="str">
        <f ca="1">IFERROR(__xludf.DUMMYFUNCTION("""COMPUTED_VALUE"""),"AEE")</f>
        <v>AEE</v>
      </c>
      <c r="I599" s="242">
        <f ca="1">IFERROR(__xludf.DUMMYFUNCTION("""COMPUTED_VALUE"""),378)</f>
        <v>378</v>
      </c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</row>
    <row r="600" spans="1:26" ht="21" customHeight="1">
      <c r="A600" s="240" t="str">
        <f ca="1">IFERROR(__xludf.DUMMYFUNCTION("""COMPUTED_VALUE"""),"Palmas")</f>
        <v>Palmas</v>
      </c>
      <c r="B600" s="240" t="str">
        <f ca="1">IFERROR(__xludf.DUMMYFUNCTION("""COMPUTED_VALUE"""),"Palmas")</f>
        <v>Palmas</v>
      </c>
      <c r="C600" s="240" t="str">
        <f ca="1">IFERROR(__xludf.DUMMYFUNCTION("""COMPUTED_VALUE"""),"ACE COL. EST. DUQUE DE CAXIAS")</f>
        <v>ACE COL. EST. DUQUE DE CAXIAS</v>
      </c>
      <c r="D600" s="241" t="str">
        <f ca="1">IFERROR(__xludf.DUMMYFUNCTION("""COMPUTED_VALUE"""),"01588669000109")</f>
        <v>01588669000109</v>
      </c>
      <c r="E600" s="241" t="str">
        <f ca="1">IFERROR(__xludf.DUMMYFUNCTION("""COMPUTED_VALUE"""),"001")</f>
        <v>001</v>
      </c>
      <c r="F600" s="241" t="str">
        <f ca="1">IFERROR(__xludf.DUMMYFUNCTION("""COMPUTED_VALUE"""),"1505")</f>
        <v>1505</v>
      </c>
      <c r="G600" s="240" t="str">
        <f ca="1">IFERROR(__xludf.DUMMYFUNCTION("""COMPUTED_VALUE"""),"254002")</f>
        <v>254002</v>
      </c>
      <c r="H600" s="240" t="str">
        <f ca="1">IFERROR(__xludf.DUMMYFUNCTION("""COMPUTED_VALUE"""),"ENS MEDIO PARCIAL")</f>
        <v>ENS MEDIO PARCIAL</v>
      </c>
      <c r="I600" s="242">
        <f ca="1">IFERROR(__xludf.DUMMYFUNCTION("""COMPUTED_VALUE"""),6216)</f>
        <v>6216</v>
      </c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  <c r="Y600" s="235"/>
      <c r="Z600" s="235"/>
    </row>
    <row r="601" spans="1:26" ht="21" customHeight="1">
      <c r="A601" s="240" t="str">
        <f ca="1">IFERROR(__xludf.DUMMYFUNCTION("""COMPUTED_VALUE"""),"Palmas")</f>
        <v>Palmas</v>
      </c>
      <c r="B601" s="240" t="str">
        <f ca="1">IFERROR(__xludf.DUMMYFUNCTION("""COMPUTED_VALUE"""),"Palmas")</f>
        <v>Palmas</v>
      </c>
      <c r="C601" s="240" t="str">
        <f ca="1">IFERROR(__xludf.DUMMYFUNCTION("""COMPUTED_VALUE"""),"A.COM. ESC. E. E.BEIRA RIO/PORTO NACIONAL")</f>
        <v>A.COM. ESC. E. E.BEIRA RIO/PORTO NACIONAL</v>
      </c>
      <c r="D601" s="241" t="str">
        <f ca="1">IFERROR(__xludf.DUMMYFUNCTION("""COMPUTED_VALUE"""),"01797298000175")</f>
        <v>01797298000175</v>
      </c>
      <c r="E601" s="241" t="str">
        <f ca="1">IFERROR(__xludf.DUMMYFUNCTION("""COMPUTED_VALUE"""),"001")</f>
        <v>001</v>
      </c>
      <c r="F601" s="241" t="str">
        <f ca="1">IFERROR(__xludf.DUMMYFUNCTION("""COMPUTED_VALUE"""),"1505")</f>
        <v>1505</v>
      </c>
      <c r="G601" s="240" t="str">
        <f ca="1">IFERROR(__xludf.DUMMYFUNCTION("""COMPUTED_VALUE"""),"209929")</f>
        <v>209929</v>
      </c>
      <c r="H601" s="240" t="str">
        <f ca="1">IFERROR(__xludf.DUMMYFUNCTION("""COMPUTED_VALUE"""),"E.F. PARCIAL")</f>
        <v>E.F. PARCIAL</v>
      </c>
      <c r="I601" s="242">
        <f ca="1">IFERROR(__xludf.DUMMYFUNCTION("""COMPUTED_VALUE"""),16086)</f>
        <v>16086</v>
      </c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</row>
    <row r="602" spans="1:26" ht="21" customHeight="1">
      <c r="A602" s="240" t="str">
        <f ca="1">IFERROR(__xludf.DUMMYFUNCTION("""COMPUTED_VALUE"""),"Palmas")</f>
        <v>Palmas</v>
      </c>
      <c r="B602" s="240" t="str">
        <f ca="1">IFERROR(__xludf.DUMMYFUNCTION("""COMPUTED_VALUE"""),"Palmas")</f>
        <v>Palmas</v>
      </c>
      <c r="C602" s="240" t="str">
        <f ca="1">IFERROR(__xludf.DUMMYFUNCTION("""COMPUTED_VALUE"""),"A.COM. ESC. E. E.BEIRA RIO/PORTO NACIONAL")</f>
        <v>A.COM. ESC. E. E.BEIRA RIO/PORTO NACIONAL</v>
      </c>
      <c r="D602" s="241" t="str">
        <f ca="1">IFERROR(__xludf.DUMMYFUNCTION("""COMPUTED_VALUE"""),"01797298000175")</f>
        <v>01797298000175</v>
      </c>
      <c r="E602" s="241" t="str">
        <f ca="1">IFERROR(__xludf.DUMMYFUNCTION("""COMPUTED_VALUE"""),"001")</f>
        <v>001</v>
      </c>
      <c r="F602" s="241" t="str">
        <f ca="1">IFERROR(__xludf.DUMMYFUNCTION("""COMPUTED_VALUE"""),"1505")</f>
        <v>1505</v>
      </c>
      <c r="G602" s="240" t="str">
        <f ca="1">IFERROR(__xludf.DUMMYFUNCTION("""COMPUTED_VALUE"""),"209929")</f>
        <v>209929</v>
      </c>
      <c r="H602" s="240" t="str">
        <f ca="1">IFERROR(__xludf.DUMMYFUNCTION("""COMPUTED_VALUE"""),"ENS MEDIO PARCIAL")</f>
        <v>ENS MEDIO PARCIAL</v>
      </c>
      <c r="I602" s="242">
        <f ca="1">IFERROR(__xludf.DUMMYFUNCTION("""COMPUTED_VALUE"""),10941)</f>
        <v>10941</v>
      </c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</row>
    <row r="603" spans="1:26" ht="21" customHeight="1">
      <c r="A603" s="240" t="str">
        <f ca="1">IFERROR(__xludf.DUMMYFUNCTION("""COMPUTED_VALUE"""),"Palmas")</f>
        <v>Palmas</v>
      </c>
      <c r="B603" s="240" t="str">
        <f ca="1">IFERROR(__xludf.DUMMYFUNCTION("""COMPUTED_VALUE"""),"Palmas")</f>
        <v>Palmas</v>
      </c>
      <c r="C603" s="240" t="str">
        <f ca="1">IFERROR(__xludf.DUMMYFUNCTION("""COMPUTED_VALUE"""),"A.COM. ESC. E. E.BEIRA RIO/PORTO NACIONAL")</f>
        <v>A.COM. ESC. E. E.BEIRA RIO/PORTO NACIONAL</v>
      </c>
      <c r="D603" s="241" t="str">
        <f ca="1">IFERROR(__xludf.DUMMYFUNCTION("""COMPUTED_VALUE"""),"01797298000175")</f>
        <v>01797298000175</v>
      </c>
      <c r="E603" s="241" t="str">
        <f ca="1">IFERROR(__xludf.DUMMYFUNCTION("""COMPUTED_VALUE"""),"001")</f>
        <v>001</v>
      </c>
      <c r="F603" s="241" t="str">
        <f ca="1">IFERROR(__xludf.DUMMYFUNCTION("""COMPUTED_VALUE"""),"1505")</f>
        <v>1505</v>
      </c>
      <c r="G603" s="240" t="str">
        <f ca="1">IFERROR(__xludf.DUMMYFUNCTION("""COMPUTED_VALUE"""),"209929")</f>
        <v>209929</v>
      </c>
      <c r="H603" s="240" t="str">
        <f ca="1">IFERROR(__xludf.DUMMYFUNCTION("""COMPUTED_VALUE"""),"EJA")</f>
        <v>EJA</v>
      </c>
      <c r="I603" s="242">
        <f ca="1">IFERROR(__xludf.DUMMYFUNCTION("""COMPUTED_VALUE"""),1722)</f>
        <v>1722</v>
      </c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</row>
    <row r="604" spans="1:26" ht="21" customHeight="1">
      <c r="A604" s="240" t="str">
        <f ca="1">IFERROR(__xludf.DUMMYFUNCTION("""COMPUTED_VALUE"""),"Palmas")</f>
        <v>Palmas</v>
      </c>
      <c r="B604" s="240" t="str">
        <f ca="1">IFERROR(__xludf.DUMMYFUNCTION("""COMPUTED_VALUE"""),"Palmas")</f>
        <v>Palmas</v>
      </c>
      <c r="C604" s="240" t="str">
        <f ca="1">IFERROR(__xludf.DUMMYFUNCTION("""COMPUTED_VALUE"""),"ACE UN.ESC. FREDEDERICO J. PEDRERA NETO")</f>
        <v>ACE UN.ESC. FREDEDERICO J. PEDRERA NETO</v>
      </c>
      <c r="D604" s="241" t="str">
        <f ca="1">IFERROR(__xludf.DUMMYFUNCTION("""COMPUTED_VALUE"""),"01862534000190")</f>
        <v>01862534000190</v>
      </c>
      <c r="E604" s="241" t="str">
        <f ca="1">IFERROR(__xludf.DUMMYFUNCTION("""COMPUTED_VALUE"""),"001")</f>
        <v>001</v>
      </c>
      <c r="F604" s="241" t="str">
        <f ca="1">IFERROR(__xludf.DUMMYFUNCTION("""COMPUTED_VALUE"""),"1867")</f>
        <v>1867</v>
      </c>
      <c r="G604" s="240" t="str">
        <f ca="1">IFERROR(__xludf.DUMMYFUNCTION("""COMPUTED_VALUE"""),"1079972")</f>
        <v>1079972</v>
      </c>
      <c r="H604" s="240" t="str">
        <f ca="1">IFERROR(__xludf.DUMMYFUNCTION("""COMPUTED_VALUE"""),"AEE")</f>
        <v>AEE</v>
      </c>
      <c r="I604" s="242">
        <f ca="1">IFERROR(__xludf.DUMMYFUNCTION("""COMPUTED_VALUE"""),336)</f>
        <v>336</v>
      </c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</row>
    <row r="605" spans="1:26" ht="21" customHeight="1">
      <c r="A605" s="240" t="str">
        <f ca="1">IFERROR(__xludf.DUMMYFUNCTION("""COMPUTED_VALUE"""),"Palmas")</f>
        <v>Palmas</v>
      </c>
      <c r="B605" s="240" t="str">
        <f ca="1">IFERROR(__xludf.DUMMYFUNCTION("""COMPUTED_VALUE"""),"Palmas")</f>
        <v>Palmas</v>
      </c>
      <c r="C605" s="240" t="str">
        <f ca="1">IFERROR(__xludf.DUMMYFUNCTION("""COMPUTED_VALUE"""),"ACE UN.ESC. FREDEDERICO J. PEDRERA NETO")</f>
        <v>ACE UN.ESC. FREDEDERICO J. PEDRERA NETO</v>
      </c>
      <c r="D605" s="241" t="str">
        <f ca="1">IFERROR(__xludf.DUMMYFUNCTION("""COMPUTED_VALUE"""),"01862534000190")</f>
        <v>01862534000190</v>
      </c>
      <c r="E605" s="241" t="str">
        <f ca="1">IFERROR(__xludf.DUMMYFUNCTION("""COMPUTED_VALUE"""),"001")</f>
        <v>001</v>
      </c>
      <c r="F605" s="241" t="str">
        <f ca="1">IFERROR(__xludf.DUMMYFUNCTION("""COMPUTED_VALUE"""),"1867")</f>
        <v>1867</v>
      </c>
      <c r="G605" s="240" t="str">
        <f ca="1">IFERROR(__xludf.DUMMYFUNCTION("""COMPUTED_VALUE"""),"1079972")</f>
        <v>1079972</v>
      </c>
      <c r="H605" s="240" t="str">
        <f ca="1">IFERROR(__xludf.DUMMYFUNCTION("""COMPUTED_VALUE"""),"ENS MEDIO PARCIAL")</f>
        <v>ENS MEDIO PARCIAL</v>
      </c>
      <c r="I605" s="242">
        <f ca="1">IFERROR(__xludf.DUMMYFUNCTION("""COMPUTED_VALUE"""),17745)</f>
        <v>17745</v>
      </c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</row>
    <row r="606" spans="1:26" ht="21" customHeight="1">
      <c r="A606" s="240" t="str">
        <f ca="1">IFERROR(__xludf.DUMMYFUNCTION("""COMPUTED_VALUE"""),"Palmas")</f>
        <v>Palmas</v>
      </c>
      <c r="B606" s="240" t="str">
        <f ca="1">IFERROR(__xludf.DUMMYFUNCTION("""COMPUTED_VALUE"""),"Palmas")</f>
        <v>Palmas</v>
      </c>
      <c r="C606" s="240" t="str">
        <f ca="1">IFERROR(__xludf.DUMMYFUNCTION("""COMPUTED_VALUE"""),"ACE UN.ESC. FREDEDERICO J. PEDRERA NETO")</f>
        <v>ACE UN.ESC. FREDEDERICO J. PEDRERA NETO</v>
      </c>
      <c r="D606" s="241" t="str">
        <f ca="1">IFERROR(__xludf.DUMMYFUNCTION("""COMPUTED_VALUE"""),"01862534000190")</f>
        <v>01862534000190</v>
      </c>
      <c r="E606" s="241" t="str">
        <f ca="1">IFERROR(__xludf.DUMMYFUNCTION("""COMPUTED_VALUE"""),"001")</f>
        <v>001</v>
      </c>
      <c r="F606" s="241" t="str">
        <f ca="1">IFERROR(__xludf.DUMMYFUNCTION("""COMPUTED_VALUE"""),"1867")</f>
        <v>1867</v>
      </c>
      <c r="G606" s="240" t="str">
        <f ca="1">IFERROR(__xludf.DUMMYFUNCTION("""COMPUTED_VALUE"""),"1079972")</f>
        <v>1079972</v>
      </c>
      <c r="H606" s="240" t="str">
        <f ca="1">IFERROR(__xludf.DUMMYFUNCTION("""COMPUTED_VALUE"""),"EJA")</f>
        <v>EJA</v>
      </c>
      <c r="I606" s="242">
        <f ca="1">IFERROR(__xludf.DUMMYFUNCTION("""COMPUTED_VALUE"""),2709)</f>
        <v>2709</v>
      </c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  <c r="Y606" s="235"/>
      <c r="Z606" s="235"/>
    </row>
    <row r="607" spans="1:26" ht="21" customHeight="1">
      <c r="A607" s="240" t="str">
        <f ca="1">IFERROR(__xludf.DUMMYFUNCTION("""COMPUTED_VALUE"""),"Palmas")</f>
        <v>Palmas</v>
      </c>
      <c r="B607" s="240" t="str">
        <f ca="1">IFERROR(__xludf.DUMMYFUNCTION("""COMPUTED_VALUE"""),"Palmas")</f>
        <v>Palmas</v>
      </c>
      <c r="C607" s="240" t="str">
        <f ca="1">IFERROR(__xludf.DUMMYFUNCTION("""COMPUTED_VALUE"""),"A.COMUNIDADE ESCOLA/E. EST. VALE DO SOL")</f>
        <v>A.COMUNIDADE ESCOLA/E. EST. VALE DO SOL</v>
      </c>
      <c r="D607" s="241" t="str">
        <f ca="1">IFERROR(__xludf.DUMMYFUNCTION("""COMPUTED_VALUE"""),"01873442000105")</f>
        <v>01873442000105</v>
      </c>
      <c r="E607" s="241" t="str">
        <f ca="1">IFERROR(__xludf.DUMMYFUNCTION("""COMPUTED_VALUE"""),"001")</f>
        <v>001</v>
      </c>
      <c r="F607" s="241" t="str">
        <f ca="1">IFERROR(__xludf.DUMMYFUNCTION("""COMPUTED_VALUE"""),"1505")</f>
        <v>1505</v>
      </c>
      <c r="G607" s="240" t="str">
        <f ca="1">IFERROR(__xludf.DUMMYFUNCTION("""COMPUTED_VALUE"""),"256404")</f>
        <v>256404</v>
      </c>
      <c r="H607" s="240" t="str">
        <f ca="1">IFERROR(__xludf.DUMMYFUNCTION("""COMPUTED_VALUE"""),"E.F. PARCIAL")</f>
        <v>E.F. PARCIAL</v>
      </c>
      <c r="I607" s="242">
        <f ca="1">IFERROR(__xludf.DUMMYFUNCTION("""COMPUTED_VALUE"""),3108)</f>
        <v>3108</v>
      </c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</row>
    <row r="608" spans="1:26" ht="21" customHeight="1">
      <c r="A608" s="240" t="str">
        <f ca="1">IFERROR(__xludf.DUMMYFUNCTION("""COMPUTED_VALUE"""),"Palmas")</f>
        <v>Palmas</v>
      </c>
      <c r="B608" s="240" t="str">
        <f ca="1">IFERROR(__xludf.DUMMYFUNCTION("""COMPUTED_VALUE"""),"Palmas")</f>
        <v>Palmas</v>
      </c>
      <c r="C608" s="240" t="str">
        <f ca="1">IFERROR(__xludf.DUMMYFUNCTION("""COMPUTED_VALUE"""),"A.COMUNIDADE ESCOLA/E. EST. VALE DO SOL")</f>
        <v>A.COMUNIDADE ESCOLA/E. EST. VALE DO SOL</v>
      </c>
      <c r="D608" s="241" t="str">
        <f ca="1">IFERROR(__xludf.DUMMYFUNCTION("""COMPUTED_VALUE"""),"01873442000105")</f>
        <v>01873442000105</v>
      </c>
      <c r="E608" s="241" t="str">
        <f ca="1">IFERROR(__xludf.DUMMYFUNCTION("""COMPUTED_VALUE"""),"001")</f>
        <v>001</v>
      </c>
      <c r="F608" s="241" t="str">
        <f ca="1">IFERROR(__xludf.DUMMYFUNCTION("""COMPUTED_VALUE"""),"1505")</f>
        <v>1505</v>
      </c>
      <c r="G608" s="240" t="str">
        <f ca="1">IFERROR(__xludf.DUMMYFUNCTION("""COMPUTED_VALUE"""),"256404")</f>
        <v>256404</v>
      </c>
      <c r="H608" s="240" t="str">
        <f ca="1">IFERROR(__xludf.DUMMYFUNCTION("""COMPUTED_VALUE"""),"AEE")</f>
        <v>AEE</v>
      </c>
      <c r="I608" s="242">
        <f ca="1">IFERROR(__xludf.DUMMYFUNCTION("""COMPUTED_VALUE"""),210)</f>
        <v>210</v>
      </c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</row>
    <row r="609" spans="1:26" ht="21" customHeight="1">
      <c r="A609" s="240" t="str">
        <f ca="1">IFERROR(__xludf.DUMMYFUNCTION("""COMPUTED_VALUE"""),"Palmas")</f>
        <v>Palmas</v>
      </c>
      <c r="B609" s="240" t="str">
        <f ca="1">IFERROR(__xludf.DUMMYFUNCTION("""COMPUTED_VALUE"""),"Palmas")</f>
        <v>Palmas</v>
      </c>
      <c r="C609" s="240" t="str">
        <f ca="1">IFERROR(__xludf.DUMMYFUNCTION("""COMPUTED_VALUE"""),"A.COMUNIDADE ESCOLA/E. EST. VALE DO SOL")</f>
        <v>A.COMUNIDADE ESCOLA/E. EST. VALE DO SOL</v>
      </c>
      <c r="D609" s="241" t="str">
        <f ca="1">IFERROR(__xludf.DUMMYFUNCTION("""COMPUTED_VALUE"""),"01873442000105")</f>
        <v>01873442000105</v>
      </c>
      <c r="E609" s="241" t="str">
        <f ca="1">IFERROR(__xludf.DUMMYFUNCTION("""COMPUTED_VALUE"""),"001")</f>
        <v>001</v>
      </c>
      <c r="F609" s="241" t="str">
        <f ca="1">IFERROR(__xludf.DUMMYFUNCTION("""COMPUTED_VALUE"""),"1505")</f>
        <v>1505</v>
      </c>
      <c r="G609" s="240" t="str">
        <f ca="1">IFERROR(__xludf.DUMMYFUNCTION("""COMPUTED_VALUE"""),"256404")</f>
        <v>256404</v>
      </c>
      <c r="H609" s="240" t="str">
        <f ca="1">IFERROR(__xludf.DUMMYFUNCTION("""COMPUTED_VALUE"""),"ENS MEDIO PARCIAL")</f>
        <v>ENS MEDIO PARCIAL</v>
      </c>
      <c r="I609" s="242">
        <f ca="1">IFERROR(__xludf.DUMMYFUNCTION("""COMPUTED_VALUE"""),7623)</f>
        <v>7623</v>
      </c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</row>
    <row r="610" spans="1:26" ht="21" customHeight="1">
      <c r="A610" s="240" t="str">
        <f ca="1">IFERROR(__xludf.DUMMYFUNCTION("""COMPUTED_VALUE"""),"Palmas")</f>
        <v>Palmas</v>
      </c>
      <c r="B610" s="240" t="str">
        <f ca="1">IFERROR(__xludf.DUMMYFUNCTION("""COMPUTED_VALUE"""),"Palmas")</f>
        <v>Palmas</v>
      </c>
      <c r="C610" s="240" t="str">
        <f ca="1">IFERROR(__xludf.DUMMYFUNCTION("""COMPUTED_VALUE"""),"A.A. AO COLEGIO ESTADUAL SAO JOSE")</f>
        <v>A.A. AO COLEGIO ESTADUAL SAO JOSE</v>
      </c>
      <c r="D610" s="241" t="str">
        <f ca="1">IFERROR(__xludf.DUMMYFUNCTION("""COMPUTED_VALUE"""),"01913809000177")</f>
        <v>01913809000177</v>
      </c>
      <c r="E610" s="241" t="str">
        <f ca="1">IFERROR(__xludf.DUMMYFUNCTION("""COMPUTED_VALUE"""),"001")</f>
        <v>001</v>
      </c>
      <c r="F610" s="241" t="str">
        <f ca="1">IFERROR(__xludf.DUMMYFUNCTION("""COMPUTED_VALUE"""),"1886")</f>
        <v>1886</v>
      </c>
      <c r="G610" s="240" t="str">
        <f ca="1">IFERROR(__xludf.DUMMYFUNCTION("""COMPUTED_VALUE"""),"325252")</f>
        <v>325252</v>
      </c>
      <c r="H610" s="240" t="str">
        <f ca="1">IFERROR(__xludf.DUMMYFUNCTION("""COMPUTED_VALUE"""),"AEE")</f>
        <v>AEE</v>
      </c>
      <c r="I610" s="242">
        <f ca="1">IFERROR(__xludf.DUMMYFUNCTION("""COMPUTED_VALUE"""),504)</f>
        <v>504</v>
      </c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</row>
    <row r="611" spans="1:26" ht="21" customHeight="1">
      <c r="A611" s="240" t="str">
        <f ca="1">IFERROR(__xludf.DUMMYFUNCTION("""COMPUTED_VALUE"""),"Palmas")</f>
        <v>Palmas</v>
      </c>
      <c r="B611" s="240" t="str">
        <f ca="1">IFERROR(__xludf.DUMMYFUNCTION("""COMPUTED_VALUE"""),"Palmas")</f>
        <v>Palmas</v>
      </c>
      <c r="C611" s="240" t="str">
        <f ca="1">IFERROR(__xludf.DUMMYFUNCTION("""COMPUTED_VALUE"""),"A.A. AO COLEGIO ESTADUAL SAO JOSE")</f>
        <v>A.A. AO COLEGIO ESTADUAL SAO JOSE</v>
      </c>
      <c r="D611" s="241" t="str">
        <f ca="1">IFERROR(__xludf.DUMMYFUNCTION("""COMPUTED_VALUE"""),"01913809000177")</f>
        <v>01913809000177</v>
      </c>
      <c r="E611" s="241" t="str">
        <f ca="1">IFERROR(__xludf.DUMMYFUNCTION("""COMPUTED_VALUE"""),"001")</f>
        <v>001</v>
      </c>
      <c r="F611" s="241" t="str">
        <f ca="1">IFERROR(__xludf.DUMMYFUNCTION("""COMPUTED_VALUE"""),"1886")</f>
        <v>1886</v>
      </c>
      <c r="G611" s="240" t="str">
        <f ca="1">IFERROR(__xludf.DUMMYFUNCTION("""COMPUTED_VALUE"""),"325252")</f>
        <v>325252</v>
      </c>
      <c r="H611" s="240" t="str">
        <f ca="1">IFERROR(__xludf.DUMMYFUNCTION("""COMPUTED_VALUE"""),"EJA")</f>
        <v>EJA</v>
      </c>
      <c r="I611" s="242">
        <f ca="1">IFERROR(__xludf.DUMMYFUNCTION("""COMPUTED_VALUE"""),2856)</f>
        <v>2856</v>
      </c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</row>
    <row r="612" spans="1:26" ht="21" customHeight="1">
      <c r="A612" s="240" t="str">
        <f ca="1">IFERROR(__xludf.DUMMYFUNCTION("""COMPUTED_VALUE"""),"Palmas")</f>
        <v>Palmas</v>
      </c>
      <c r="B612" s="240" t="str">
        <f ca="1">IFERROR(__xludf.DUMMYFUNCTION("""COMPUTED_VALUE"""),"Palmas")</f>
        <v>Palmas</v>
      </c>
      <c r="C612" s="240" t="str">
        <f ca="1">IFERROR(__xludf.DUMMYFUNCTION("""COMPUTED_VALUE"""),"A.C.ESC.M.FUT. C.E. CRIANCA ESPERANCA")</f>
        <v>A.C.ESC.M.FUT. C.E. CRIANCA ESPERANCA</v>
      </c>
      <c r="D612" s="241" t="str">
        <f ca="1">IFERROR(__xludf.DUMMYFUNCTION("""COMPUTED_VALUE"""),"01920781000103")</f>
        <v>01920781000103</v>
      </c>
      <c r="E612" s="241" t="str">
        <f ca="1">IFERROR(__xludf.DUMMYFUNCTION("""COMPUTED_VALUE"""),"001")</f>
        <v>001</v>
      </c>
      <c r="F612" s="241" t="str">
        <f ca="1">IFERROR(__xludf.DUMMYFUNCTION("""COMPUTED_VALUE"""),"1505")</f>
        <v>1505</v>
      </c>
      <c r="G612" s="240" t="str">
        <f ca="1">IFERROR(__xludf.DUMMYFUNCTION("""COMPUTED_VALUE"""),"455369")</f>
        <v>455369</v>
      </c>
      <c r="H612" s="240" t="str">
        <f ca="1">IFERROR(__xludf.DUMMYFUNCTION("""COMPUTED_VALUE"""),"ENS MEDIO PARCIAL")</f>
        <v>ENS MEDIO PARCIAL</v>
      </c>
      <c r="I612" s="242">
        <f ca="1">IFERROR(__xludf.DUMMYFUNCTION("""COMPUTED_VALUE"""),5292)</f>
        <v>5292</v>
      </c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</row>
    <row r="613" spans="1:26" ht="21" customHeight="1">
      <c r="A613" s="240" t="str">
        <f ca="1">IFERROR(__xludf.DUMMYFUNCTION("""COMPUTED_VALUE"""),"Palmas")</f>
        <v>Palmas</v>
      </c>
      <c r="B613" s="240" t="str">
        <f ca="1">IFERROR(__xludf.DUMMYFUNCTION("""COMPUTED_VALUE"""),"Palmas")</f>
        <v>Palmas</v>
      </c>
      <c r="C613" s="240" t="str">
        <f ca="1">IFERROR(__xludf.DUMMYFUNCTION("""COMPUTED_VALUE"""),"A.C.ESC.M.FUT. C.E. CRIANCA ESPERANCA")</f>
        <v>A.C.ESC.M.FUT. C.E. CRIANCA ESPERANCA</v>
      </c>
      <c r="D613" s="241" t="str">
        <f ca="1">IFERROR(__xludf.DUMMYFUNCTION("""COMPUTED_VALUE"""),"01920781000103")</f>
        <v>01920781000103</v>
      </c>
      <c r="E613" s="241" t="str">
        <f ca="1">IFERROR(__xludf.DUMMYFUNCTION("""COMPUTED_VALUE"""),"001")</f>
        <v>001</v>
      </c>
      <c r="F613" s="241" t="str">
        <f ca="1">IFERROR(__xludf.DUMMYFUNCTION("""COMPUTED_VALUE"""),"1505")</f>
        <v>1505</v>
      </c>
      <c r="G613" s="240" t="str">
        <f ca="1">IFERROR(__xludf.DUMMYFUNCTION("""COMPUTED_VALUE"""),"455369")</f>
        <v>455369</v>
      </c>
      <c r="H613" s="240" t="str">
        <f ca="1">IFERROR(__xludf.DUMMYFUNCTION("""COMPUTED_VALUE"""),"EJA")</f>
        <v>EJA</v>
      </c>
      <c r="I613" s="242">
        <f ca="1">IFERROR(__xludf.DUMMYFUNCTION("""COMPUTED_VALUE"""),1869)</f>
        <v>1869</v>
      </c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</row>
    <row r="614" spans="1:26" ht="21" customHeight="1">
      <c r="A614" s="240" t="str">
        <f ca="1">IFERROR(__xludf.DUMMYFUNCTION("""COMPUTED_VALUE"""),"Palmas")</f>
        <v>Palmas</v>
      </c>
      <c r="B614" s="240" t="str">
        <f ca="1">IFERROR(__xludf.DUMMYFUNCTION("""COMPUTED_VALUE"""),"Palmas")</f>
        <v>Palmas</v>
      </c>
      <c r="C614" s="240" t="str">
        <f ca="1">IFERROR(__xludf.DUMMYFUNCTION("""COMPUTED_VALUE"""),"A.COMUN.ESCOLA-DA ESC. EST. SETOR SUL")</f>
        <v>A.COMUN.ESCOLA-DA ESC. EST. SETOR SUL</v>
      </c>
      <c r="D614" s="241" t="str">
        <f ca="1">IFERROR(__xludf.DUMMYFUNCTION("""COMPUTED_VALUE"""),"01926545000196")</f>
        <v>01926545000196</v>
      </c>
      <c r="E614" s="241" t="str">
        <f ca="1">IFERROR(__xludf.DUMMYFUNCTION("""COMPUTED_VALUE"""),"001")</f>
        <v>001</v>
      </c>
      <c r="F614" s="241" t="str">
        <f ca="1">IFERROR(__xludf.DUMMYFUNCTION("""COMPUTED_VALUE"""),"1505")</f>
        <v>1505</v>
      </c>
      <c r="G614" s="240" t="str">
        <f ca="1">IFERROR(__xludf.DUMMYFUNCTION("""COMPUTED_VALUE"""),"258105")</f>
        <v>258105</v>
      </c>
      <c r="H614" s="240" t="str">
        <f ca="1">IFERROR(__xludf.DUMMYFUNCTION("""COMPUTED_VALUE"""),"E.F. PARCIAL")</f>
        <v>E.F. PARCIAL</v>
      </c>
      <c r="I614" s="242">
        <f ca="1">IFERROR(__xludf.DUMMYFUNCTION("""COMPUTED_VALUE"""),5355)</f>
        <v>5355</v>
      </c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</row>
    <row r="615" spans="1:26" ht="21" customHeight="1">
      <c r="A615" s="240" t="str">
        <f ca="1">IFERROR(__xludf.DUMMYFUNCTION("""COMPUTED_VALUE"""),"Palmas")</f>
        <v>Palmas</v>
      </c>
      <c r="B615" s="240" t="str">
        <f ca="1">IFERROR(__xludf.DUMMYFUNCTION("""COMPUTED_VALUE"""),"Palmas")</f>
        <v>Palmas</v>
      </c>
      <c r="C615" s="240" t="str">
        <f ca="1">IFERROR(__xludf.DUMMYFUNCTION("""COMPUTED_VALUE"""),"A.COMUN.ESCOLA-DA ESC. EST. SETOR SUL")</f>
        <v>A.COMUN.ESCOLA-DA ESC. EST. SETOR SUL</v>
      </c>
      <c r="D615" s="241" t="str">
        <f ca="1">IFERROR(__xludf.DUMMYFUNCTION("""COMPUTED_VALUE"""),"01926545000196")</f>
        <v>01926545000196</v>
      </c>
      <c r="E615" s="241" t="str">
        <f ca="1">IFERROR(__xludf.DUMMYFUNCTION("""COMPUTED_VALUE"""),"001")</f>
        <v>001</v>
      </c>
      <c r="F615" s="241" t="str">
        <f ca="1">IFERROR(__xludf.DUMMYFUNCTION("""COMPUTED_VALUE"""),"1505")</f>
        <v>1505</v>
      </c>
      <c r="G615" s="240" t="str">
        <f ca="1">IFERROR(__xludf.DUMMYFUNCTION("""COMPUTED_VALUE"""),"258105")</f>
        <v>258105</v>
      </c>
      <c r="H615" s="240" t="str">
        <f ca="1">IFERROR(__xludf.DUMMYFUNCTION("""COMPUTED_VALUE"""),"AEE")</f>
        <v>AEE</v>
      </c>
      <c r="I615" s="242">
        <f ca="1">IFERROR(__xludf.DUMMYFUNCTION("""COMPUTED_VALUE"""),252)</f>
        <v>252</v>
      </c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</row>
    <row r="616" spans="1:26" ht="21" customHeight="1">
      <c r="A616" s="240" t="str">
        <f ca="1">IFERROR(__xludf.DUMMYFUNCTION("""COMPUTED_VALUE"""),"Palmas")</f>
        <v>Palmas</v>
      </c>
      <c r="B616" s="240" t="str">
        <f ca="1">IFERROR(__xludf.DUMMYFUNCTION("""COMPUTED_VALUE"""),"Palmas")</f>
        <v>Palmas</v>
      </c>
      <c r="C616" s="240" t="str">
        <f ca="1">IFERROR(__xludf.DUMMYFUNCTION("""COMPUTED_VALUE"""),"A.COMUN.ESCOLA-DA ESC. EST. SETOR SUL")</f>
        <v>A.COMUN.ESCOLA-DA ESC. EST. SETOR SUL</v>
      </c>
      <c r="D616" s="241" t="str">
        <f ca="1">IFERROR(__xludf.DUMMYFUNCTION("""COMPUTED_VALUE"""),"01926545000196")</f>
        <v>01926545000196</v>
      </c>
      <c r="E616" s="241" t="str">
        <f ca="1">IFERROR(__xludf.DUMMYFUNCTION("""COMPUTED_VALUE"""),"001")</f>
        <v>001</v>
      </c>
      <c r="F616" s="241" t="str">
        <f ca="1">IFERROR(__xludf.DUMMYFUNCTION("""COMPUTED_VALUE"""),"1505")</f>
        <v>1505</v>
      </c>
      <c r="G616" s="240" t="str">
        <f ca="1">IFERROR(__xludf.DUMMYFUNCTION("""COMPUTED_VALUE"""),"258105")</f>
        <v>258105</v>
      </c>
      <c r="H616" s="240" t="str">
        <f ca="1">IFERROR(__xludf.DUMMYFUNCTION("""COMPUTED_VALUE"""),"ENS MEDIO PARCIAL")</f>
        <v>ENS MEDIO PARCIAL</v>
      </c>
      <c r="I616" s="242">
        <f ca="1">IFERROR(__xludf.DUMMYFUNCTION("""COMPUTED_VALUE"""),7182)</f>
        <v>7182</v>
      </c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</row>
    <row r="617" spans="1:26" ht="21" customHeight="1">
      <c r="A617" s="240" t="str">
        <f ca="1">IFERROR(__xludf.DUMMYFUNCTION("""COMPUTED_VALUE"""),"Palmas")</f>
        <v>Palmas</v>
      </c>
      <c r="B617" s="240" t="str">
        <f ca="1">IFERROR(__xludf.DUMMYFUNCTION("""COMPUTED_VALUE"""),"Palmas")</f>
        <v>Palmas</v>
      </c>
      <c r="C617" s="240" t="str">
        <f ca="1">IFERROR(__xludf.DUMMYFUNCTION("""COMPUTED_VALUE"""),"A.COMUN.ESCOLA-DA ESC. EST. SETOR SUL")</f>
        <v>A.COMUN.ESCOLA-DA ESC. EST. SETOR SUL</v>
      </c>
      <c r="D617" s="241" t="str">
        <f ca="1">IFERROR(__xludf.DUMMYFUNCTION("""COMPUTED_VALUE"""),"01926545000196")</f>
        <v>01926545000196</v>
      </c>
      <c r="E617" s="241" t="str">
        <f ca="1">IFERROR(__xludf.DUMMYFUNCTION("""COMPUTED_VALUE"""),"001")</f>
        <v>001</v>
      </c>
      <c r="F617" s="241" t="str">
        <f ca="1">IFERROR(__xludf.DUMMYFUNCTION("""COMPUTED_VALUE"""),"1505")</f>
        <v>1505</v>
      </c>
      <c r="G617" s="240" t="str">
        <f ca="1">IFERROR(__xludf.DUMMYFUNCTION("""COMPUTED_VALUE"""),"258105")</f>
        <v>258105</v>
      </c>
      <c r="H617" s="240" t="str">
        <f ca="1">IFERROR(__xludf.DUMMYFUNCTION("""COMPUTED_VALUE"""),"EJA")</f>
        <v>EJA</v>
      </c>
      <c r="I617" s="242">
        <f ca="1">IFERROR(__xludf.DUMMYFUNCTION("""COMPUTED_VALUE"""),189)</f>
        <v>189</v>
      </c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</row>
    <row r="618" spans="1:26" ht="21" customHeight="1">
      <c r="A618" s="240" t="str">
        <f ca="1">IFERROR(__xludf.DUMMYFUNCTION("""COMPUTED_VALUE"""),"Palmas")</f>
        <v>Palmas</v>
      </c>
      <c r="B618" s="240" t="str">
        <f ca="1">IFERROR(__xludf.DUMMYFUNCTION("""COMPUTED_VALUE"""),"Palmas")</f>
        <v>Palmas</v>
      </c>
      <c r="C618" s="240" t="str">
        <f ca="1">IFERROR(__xludf.DUMMYFUNCTION("""COMPUTED_VALUE"""),"A.P.M.DA ESC. EST. DE I GRAU VILA UNIAO")</f>
        <v>A.P.M.DA ESC. EST. DE I GRAU VILA UNIAO</v>
      </c>
      <c r="D618" s="241" t="str">
        <f ca="1">IFERROR(__xludf.DUMMYFUNCTION("""COMPUTED_VALUE"""),"01926551000143")</f>
        <v>01926551000143</v>
      </c>
      <c r="E618" s="241" t="str">
        <f ca="1">IFERROR(__xludf.DUMMYFUNCTION("""COMPUTED_VALUE"""),"001")</f>
        <v>001</v>
      </c>
      <c r="F618" s="241" t="str">
        <f ca="1">IFERROR(__xludf.DUMMYFUNCTION("""COMPUTED_VALUE"""),"1505")</f>
        <v>1505</v>
      </c>
      <c r="G618" s="240" t="str">
        <f ca="1">IFERROR(__xludf.DUMMYFUNCTION("""COMPUTED_VALUE"""),"255734")</f>
        <v>255734</v>
      </c>
      <c r="H618" s="240" t="str">
        <f ca="1">IFERROR(__xludf.DUMMYFUNCTION("""COMPUTED_VALUE"""),"E.F. PARCIAL")</f>
        <v>E.F. PARCIAL</v>
      </c>
      <c r="I618" s="242">
        <f ca="1">IFERROR(__xludf.DUMMYFUNCTION("""COMPUTED_VALUE"""),6447)</f>
        <v>6447</v>
      </c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</row>
    <row r="619" spans="1:26" ht="21" customHeight="1">
      <c r="A619" s="240" t="str">
        <f ca="1">IFERROR(__xludf.DUMMYFUNCTION("""COMPUTED_VALUE"""),"Palmas")</f>
        <v>Palmas</v>
      </c>
      <c r="B619" s="240" t="str">
        <f ca="1">IFERROR(__xludf.DUMMYFUNCTION("""COMPUTED_VALUE"""),"Palmas")</f>
        <v>Palmas</v>
      </c>
      <c r="C619" s="240" t="str">
        <f ca="1">IFERROR(__xludf.DUMMYFUNCTION("""COMPUTED_VALUE"""),"A.P.M.DA ESC. EST. DE I GRAU VILA UNIAO")</f>
        <v>A.P.M.DA ESC. EST. DE I GRAU VILA UNIAO</v>
      </c>
      <c r="D619" s="241" t="str">
        <f ca="1">IFERROR(__xludf.DUMMYFUNCTION("""COMPUTED_VALUE"""),"01926551000143")</f>
        <v>01926551000143</v>
      </c>
      <c r="E619" s="241" t="str">
        <f ca="1">IFERROR(__xludf.DUMMYFUNCTION("""COMPUTED_VALUE"""),"001")</f>
        <v>001</v>
      </c>
      <c r="F619" s="241" t="str">
        <f ca="1">IFERROR(__xludf.DUMMYFUNCTION("""COMPUTED_VALUE"""),"1505")</f>
        <v>1505</v>
      </c>
      <c r="G619" s="240" t="str">
        <f ca="1">IFERROR(__xludf.DUMMYFUNCTION("""COMPUTED_VALUE"""),"255734")</f>
        <v>255734</v>
      </c>
      <c r="H619" s="240" t="str">
        <f ca="1">IFERROR(__xludf.DUMMYFUNCTION("""COMPUTED_VALUE"""),"AEE")</f>
        <v>AEE</v>
      </c>
      <c r="I619" s="242">
        <f ca="1">IFERROR(__xludf.DUMMYFUNCTION("""COMPUTED_VALUE"""),315)</f>
        <v>315</v>
      </c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</row>
    <row r="620" spans="1:26" ht="21" customHeight="1">
      <c r="A620" s="240" t="str">
        <f ca="1">IFERROR(__xludf.DUMMYFUNCTION("""COMPUTED_VALUE"""),"Palmas")</f>
        <v>Palmas</v>
      </c>
      <c r="B620" s="240" t="str">
        <f ca="1">IFERROR(__xludf.DUMMYFUNCTION("""COMPUTED_VALUE"""),"Palmas")</f>
        <v>Palmas</v>
      </c>
      <c r="C620" s="240" t="str">
        <f ca="1">IFERROR(__xludf.DUMMYFUNCTION("""COMPUTED_VALUE"""),"A.P.M.DA ESC. EST. DE I GRAU VILA UNIAO")</f>
        <v>A.P.M.DA ESC. EST. DE I GRAU VILA UNIAO</v>
      </c>
      <c r="D620" s="241" t="str">
        <f ca="1">IFERROR(__xludf.DUMMYFUNCTION("""COMPUTED_VALUE"""),"01926551000143")</f>
        <v>01926551000143</v>
      </c>
      <c r="E620" s="241" t="str">
        <f ca="1">IFERROR(__xludf.DUMMYFUNCTION("""COMPUTED_VALUE"""),"001")</f>
        <v>001</v>
      </c>
      <c r="F620" s="241" t="str">
        <f ca="1">IFERROR(__xludf.DUMMYFUNCTION("""COMPUTED_VALUE"""),"1505")</f>
        <v>1505</v>
      </c>
      <c r="G620" s="240" t="str">
        <f ca="1">IFERROR(__xludf.DUMMYFUNCTION("""COMPUTED_VALUE"""),"255734")</f>
        <v>255734</v>
      </c>
      <c r="H620" s="240" t="str">
        <f ca="1">IFERROR(__xludf.DUMMYFUNCTION("""COMPUTED_VALUE"""),"ENS MEDIO PARCIAL")</f>
        <v>ENS MEDIO PARCIAL</v>
      </c>
      <c r="I620" s="242">
        <f ca="1">IFERROR(__xludf.DUMMYFUNCTION("""COMPUTED_VALUE"""),3213)</f>
        <v>3213</v>
      </c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</row>
    <row r="621" spans="1:26" ht="21" customHeight="1">
      <c r="A621" s="240" t="str">
        <f ca="1">IFERROR(__xludf.DUMMYFUNCTION("""COMPUTED_VALUE"""),"Palmas")</f>
        <v>Palmas</v>
      </c>
      <c r="B621" s="240" t="str">
        <f ca="1">IFERROR(__xludf.DUMMYFUNCTION("""COMPUTED_VALUE"""),"Palmas")</f>
        <v>Palmas</v>
      </c>
      <c r="C621" s="240" t="str">
        <f ca="1">IFERROR(__xludf.DUMMYFUNCTION("""COMPUTED_VALUE"""),"A.CONS.ESCOLAR E. EST.I GRAU LIBERDADE")</f>
        <v>A.CONS.ESCOLAR E. EST.I GRAU LIBERDADE</v>
      </c>
      <c r="D621" s="241" t="str">
        <f ca="1">IFERROR(__xludf.DUMMYFUNCTION("""COMPUTED_VALUE"""),"01936355000150")</f>
        <v>01936355000150</v>
      </c>
      <c r="E621" s="241" t="str">
        <f ca="1">IFERROR(__xludf.DUMMYFUNCTION("""COMPUTED_VALUE"""),"001")</f>
        <v>001</v>
      </c>
      <c r="F621" s="241" t="str">
        <f ca="1">IFERROR(__xludf.DUMMYFUNCTION("""COMPUTED_VALUE"""),"1505")</f>
        <v>1505</v>
      </c>
      <c r="G621" s="240" t="str">
        <f ca="1">IFERROR(__xludf.DUMMYFUNCTION("""COMPUTED_VALUE"""),"257028")</f>
        <v>257028</v>
      </c>
      <c r="H621" s="240" t="str">
        <f ca="1">IFERROR(__xludf.DUMMYFUNCTION("""COMPUTED_VALUE"""),"E.F. PARCIAL")</f>
        <v>E.F. PARCIAL</v>
      </c>
      <c r="I621" s="242">
        <f ca="1">IFERROR(__xludf.DUMMYFUNCTION("""COMPUTED_VALUE"""),5166)</f>
        <v>5166</v>
      </c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</row>
    <row r="622" spans="1:26" ht="21" customHeight="1">
      <c r="A622" s="240" t="str">
        <f ca="1">IFERROR(__xludf.DUMMYFUNCTION("""COMPUTED_VALUE"""),"Palmas")</f>
        <v>Palmas</v>
      </c>
      <c r="B622" s="240" t="str">
        <f ca="1">IFERROR(__xludf.DUMMYFUNCTION("""COMPUTED_VALUE"""),"Palmas")</f>
        <v>Palmas</v>
      </c>
      <c r="C622" s="240" t="str">
        <f ca="1">IFERROR(__xludf.DUMMYFUNCTION("""COMPUTED_VALUE"""),"A.CONS.ESCOLAR E. EST.I GRAU LIBERDADE")</f>
        <v>A.CONS.ESCOLAR E. EST.I GRAU LIBERDADE</v>
      </c>
      <c r="D622" s="241" t="str">
        <f ca="1">IFERROR(__xludf.DUMMYFUNCTION("""COMPUTED_VALUE"""),"01936355000150")</f>
        <v>01936355000150</v>
      </c>
      <c r="E622" s="241" t="str">
        <f ca="1">IFERROR(__xludf.DUMMYFUNCTION("""COMPUTED_VALUE"""),"001")</f>
        <v>001</v>
      </c>
      <c r="F622" s="241" t="str">
        <f ca="1">IFERROR(__xludf.DUMMYFUNCTION("""COMPUTED_VALUE"""),"1505")</f>
        <v>1505</v>
      </c>
      <c r="G622" s="240" t="str">
        <f ca="1">IFERROR(__xludf.DUMMYFUNCTION("""COMPUTED_VALUE"""),"257028")</f>
        <v>257028</v>
      </c>
      <c r="H622" s="240" t="str">
        <f ca="1">IFERROR(__xludf.DUMMYFUNCTION("""COMPUTED_VALUE"""),"AEE")</f>
        <v>AEE</v>
      </c>
      <c r="I622" s="242">
        <f ca="1">IFERROR(__xludf.DUMMYFUNCTION("""COMPUTED_VALUE"""),462)</f>
        <v>462</v>
      </c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</row>
    <row r="623" spans="1:26" ht="21" customHeight="1">
      <c r="A623" s="240" t="str">
        <f ca="1">IFERROR(__xludf.DUMMYFUNCTION("""COMPUTED_VALUE"""),"Palmas")</f>
        <v>Palmas</v>
      </c>
      <c r="B623" s="240" t="str">
        <f ca="1">IFERROR(__xludf.DUMMYFUNCTION("""COMPUTED_VALUE"""),"Palmas")</f>
        <v>Palmas</v>
      </c>
      <c r="C623" s="240" t="str">
        <f ca="1">IFERROR(__xludf.DUMMYFUNCTION("""COMPUTED_VALUE"""),"A.CONS.ESCOLAR E. EST.I GRAU LIBERDADE")</f>
        <v>A.CONS.ESCOLAR E. EST.I GRAU LIBERDADE</v>
      </c>
      <c r="D623" s="241" t="str">
        <f ca="1">IFERROR(__xludf.DUMMYFUNCTION("""COMPUTED_VALUE"""),"01936355000150")</f>
        <v>01936355000150</v>
      </c>
      <c r="E623" s="241" t="str">
        <f ca="1">IFERROR(__xludf.DUMMYFUNCTION("""COMPUTED_VALUE"""),"001")</f>
        <v>001</v>
      </c>
      <c r="F623" s="241" t="str">
        <f ca="1">IFERROR(__xludf.DUMMYFUNCTION("""COMPUTED_VALUE"""),"1505")</f>
        <v>1505</v>
      </c>
      <c r="G623" s="240" t="str">
        <f ca="1">IFERROR(__xludf.DUMMYFUNCTION("""COMPUTED_VALUE"""),"257028")</f>
        <v>257028</v>
      </c>
      <c r="H623" s="240" t="str">
        <f ca="1">IFERROR(__xludf.DUMMYFUNCTION("""COMPUTED_VALUE"""),"ENS MEDIO PARCIAL")</f>
        <v>ENS MEDIO PARCIAL</v>
      </c>
      <c r="I623" s="242">
        <f ca="1">IFERROR(__xludf.DUMMYFUNCTION("""COMPUTED_VALUE"""),9828)</f>
        <v>9828</v>
      </c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</row>
    <row r="624" spans="1:26" ht="21" customHeight="1">
      <c r="A624" s="240" t="str">
        <f ca="1">IFERROR(__xludf.DUMMYFUNCTION("""COMPUTED_VALUE"""),"Palmas")</f>
        <v>Palmas</v>
      </c>
      <c r="B624" s="240" t="str">
        <f ca="1">IFERROR(__xludf.DUMMYFUNCTION("""COMPUTED_VALUE"""),"Palmas")</f>
        <v>Palmas</v>
      </c>
      <c r="C624" s="240" t="str">
        <f ca="1">IFERROR(__xludf.DUMMYFUNCTION("""COMPUTED_VALUE"""),"A.CONS.ESCOLAR E. EST.I GRAU LIBERDADE")</f>
        <v>A.CONS.ESCOLAR E. EST.I GRAU LIBERDADE</v>
      </c>
      <c r="D624" s="241" t="str">
        <f ca="1">IFERROR(__xludf.DUMMYFUNCTION("""COMPUTED_VALUE"""),"01936355000150")</f>
        <v>01936355000150</v>
      </c>
      <c r="E624" s="241" t="str">
        <f ca="1">IFERROR(__xludf.DUMMYFUNCTION("""COMPUTED_VALUE"""),"001")</f>
        <v>001</v>
      </c>
      <c r="F624" s="241" t="str">
        <f ca="1">IFERROR(__xludf.DUMMYFUNCTION("""COMPUTED_VALUE"""),"1505")</f>
        <v>1505</v>
      </c>
      <c r="G624" s="240" t="str">
        <f ca="1">IFERROR(__xludf.DUMMYFUNCTION("""COMPUTED_VALUE"""),"257028")</f>
        <v>257028</v>
      </c>
      <c r="H624" s="240" t="str">
        <f ca="1">IFERROR(__xludf.DUMMYFUNCTION("""COMPUTED_VALUE"""),"EJA")</f>
        <v>EJA</v>
      </c>
      <c r="I624" s="242">
        <f ca="1">IFERROR(__xludf.DUMMYFUNCTION("""COMPUTED_VALUE"""),1743)</f>
        <v>1743</v>
      </c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</row>
    <row r="625" spans="1:26" ht="21" customHeight="1">
      <c r="A625" s="240" t="str">
        <f ca="1">IFERROR(__xludf.DUMMYFUNCTION("""COMPUTED_VALUE"""),"Palmas")</f>
        <v>Palmas</v>
      </c>
      <c r="B625" s="240" t="str">
        <f ca="1">IFERROR(__xludf.DUMMYFUNCTION("""COMPUTED_VALUE"""),"Palmas")</f>
        <v>Palmas</v>
      </c>
      <c r="C625" s="240" t="str">
        <f ca="1">IFERROR(__xludf.DUMMYFUNCTION("""COMPUTED_VALUE"""),"A.AP. DO COL. EST. SANTA RITA DE CASSIA")</f>
        <v>A.AP. DO COL. EST. SANTA RITA DE CASSIA</v>
      </c>
      <c r="D625" s="241" t="str">
        <f ca="1">IFERROR(__xludf.DUMMYFUNCTION("""COMPUTED_VALUE"""),"01955414000137")</f>
        <v>01955414000137</v>
      </c>
      <c r="E625" s="241" t="str">
        <f ca="1">IFERROR(__xludf.DUMMYFUNCTION("""COMPUTED_VALUE"""),"001")</f>
        <v>001</v>
      </c>
      <c r="F625" s="241" t="str">
        <f ca="1">IFERROR(__xludf.DUMMYFUNCTION("""COMPUTED_VALUE"""),"1505")</f>
        <v>1505</v>
      </c>
      <c r="G625" s="240" t="str">
        <f ca="1">IFERROR(__xludf.DUMMYFUNCTION("""COMPUTED_VALUE"""),"256579")</f>
        <v>256579</v>
      </c>
      <c r="H625" s="240" t="str">
        <f ca="1">IFERROR(__xludf.DUMMYFUNCTION("""COMPUTED_VALUE"""),"AEE")</f>
        <v>AEE</v>
      </c>
      <c r="I625" s="242">
        <f ca="1">IFERROR(__xludf.DUMMYFUNCTION("""COMPUTED_VALUE"""),189)</f>
        <v>189</v>
      </c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</row>
    <row r="626" spans="1:26" ht="21" customHeight="1">
      <c r="A626" s="240" t="str">
        <f ca="1">IFERROR(__xludf.DUMMYFUNCTION("""COMPUTED_VALUE"""),"Palmas")</f>
        <v>Palmas</v>
      </c>
      <c r="B626" s="240" t="str">
        <f ca="1">IFERROR(__xludf.DUMMYFUNCTION("""COMPUTED_VALUE"""),"Palmas")</f>
        <v>Palmas</v>
      </c>
      <c r="C626" s="240" t="str">
        <f ca="1">IFERROR(__xludf.DUMMYFUNCTION("""COMPUTED_VALUE"""),"AÇÃO SOCIAL JESUS DE NAZARÉ/ESC JOÃO PAULO II")</f>
        <v>AÇÃO SOCIAL JESUS DE NAZARÉ/ESC JOÃO PAULO II</v>
      </c>
      <c r="D626" s="241" t="str">
        <f ca="1">IFERROR(__xludf.DUMMYFUNCTION("""COMPUTED_VALUE"""),"03005522000174")</f>
        <v>03005522000174</v>
      </c>
      <c r="E626" s="241" t="str">
        <f ca="1">IFERROR(__xludf.DUMMYFUNCTION("""COMPUTED_VALUE"""),"001")</f>
        <v>001</v>
      </c>
      <c r="F626" s="241" t="str">
        <f ca="1">IFERROR(__xludf.DUMMYFUNCTION("""COMPUTED_VALUE"""),"1505")</f>
        <v>1505</v>
      </c>
      <c r="G626" s="240" t="str">
        <f ca="1">IFERROR(__xludf.DUMMYFUNCTION("""COMPUTED_VALUE"""),"423475")</f>
        <v>423475</v>
      </c>
      <c r="H626" s="240" t="str">
        <f ca="1">IFERROR(__xludf.DUMMYFUNCTION("""COMPUTED_VALUE"""),"E.F. PARCIAL")</f>
        <v>E.F. PARCIAL</v>
      </c>
      <c r="I626" s="242">
        <f ca="1">IFERROR(__xludf.DUMMYFUNCTION("""COMPUTED_VALUE"""),2415)</f>
        <v>2415</v>
      </c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</row>
    <row r="627" spans="1:26" ht="21" customHeight="1">
      <c r="A627" s="240" t="str">
        <f ca="1">IFERROR(__xludf.DUMMYFUNCTION("""COMPUTED_VALUE"""),"Palmas")</f>
        <v>Palmas</v>
      </c>
      <c r="B627" s="240" t="str">
        <f ca="1">IFERROR(__xludf.DUMMYFUNCTION("""COMPUTED_VALUE"""),"Palmas")</f>
        <v>Palmas</v>
      </c>
      <c r="C627" s="240" t="str">
        <f ca="1">IFERROR(__xludf.DUMMYFUNCTION("""COMPUTED_VALUE"""),"ASSOC. DE APOIO COL. EST. DE TAQUARALTO")</f>
        <v>ASSOC. DE APOIO COL. EST. DE TAQUARALTO</v>
      </c>
      <c r="D627" s="241" t="str">
        <f ca="1">IFERROR(__xludf.DUMMYFUNCTION("""COMPUTED_VALUE"""),"03233677000168")</f>
        <v>03233677000168</v>
      </c>
      <c r="E627" s="241" t="str">
        <f ca="1">IFERROR(__xludf.DUMMYFUNCTION("""COMPUTED_VALUE"""),"001")</f>
        <v>001</v>
      </c>
      <c r="F627" s="241" t="str">
        <f ca="1">IFERROR(__xludf.DUMMYFUNCTION("""COMPUTED_VALUE"""),"1505")</f>
        <v>1505</v>
      </c>
      <c r="G627" s="240" t="str">
        <f ca="1">IFERROR(__xludf.DUMMYFUNCTION("""COMPUTED_VALUE"""),"455059")</f>
        <v>455059</v>
      </c>
      <c r="H627" s="240" t="str">
        <f ca="1">IFERROR(__xludf.DUMMYFUNCTION("""COMPUTED_VALUE"""),"AEE")</f>
        <v>AEE</v>
      </c>
      <c r="I627" s="242">
        <f ca="1">IFERROR(__xludf.DUMMYFUNCTION("""COMPUTED_VALUE"""),315)</f>
        <v>315</v>
      </c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</row>
    <row r="628" spans="1:26" ht="21" customHeight="1">
      <c r="A628" s="240" t="str">
        <f ca="1">IFERROR(__xludf.DUMMYFUNCTION("""COMPUTED_VALUE"""),"Palmas")</f>
        <v>Palmas</v>
      </c>
      <c r="B628" s="240" t="str">
        <f ca="1">IFERROR(__xludf.DUMMYFUNCTION("""COMPUTED_VALUE"""),"Palmas")</f>
        <v>Palmas</v>
      </c>
      <c r="C628" s="240" t="str">
        <f ca="1">IFERROR(__xludf.DUMMYFUNCTION("""COMPUTED_VALUE"""),"ASSOC. DE APOIO COL. EST. DE TAQUARALTO")</f>
        <v>ASSOC. DE APOIO COL. EST. DE TAQUARALTO</v>
      </c>
      <c r="D628" s="241" t="str">
        <f ca="1">IFERROR(__xludf.DUMMYFUNCTION("""COMPUTED_VALUE"""),"03233677000168")</f>
        <v>03233677000168</v>
      </c>
      <c r="E628" s="241" t="str">
        <f ca="1">IFERROR(__xludf.DUMMYFUNCTION("""COMPUTED_VALUE"""),"001")</f>
        <v>001</v>
      </c>
      <c r="F628" s="241" t="str">
        <f ca="1">IFERROR(__xludf.DUMMYFUNCTION("""COMPUTED_VALUE"""),"1505")</f>
        <v>1505</v>
      </c>
      <c r="G628" s="240" t="str">
        <f ca="1">IFERROR(__xludf.DUMMYFUNCTION("""COMPUTED_VALUE"""),"455059")</f>
        <v>455059</v>
      </c>
      <c r="H628" s="240" t="str">
        <f ca="1">IFERROR(__xludf.DUMMYFUNCTION("""COMPUTED_VALUE"""),"ENS MEDIO PARCIAL")</f>
        <v>ENS MEDIO PARCIAL</v>
      </c>
      <c r="I628" s="242">
        <f ca="1">IFERROR(__xludf.DUMMYFUNCTION("""COMPUTED_VALUE"""),31563)</f>
        <v>31563</v>
      </c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</row>
    <row r="629" spans="1:26" ht="21" customHeight="1">
      <c r="A629" s="240" t="str">
        <f ca="1">IFERROR(__xludf.DUMMYFUNCTION("""COMPUTED_VALUE"""),"Palmas")</f>
        <v>Palmas</v>
      </c>
      <c r="B629" s="240" t="str">
        <f ca="1">IFERROR(__xludf.DUMMYFUNCTION("""COMPUTED_VALUE"""),"Palmas")</f>
        <v>Palmas</v>
      </c>
      <c r="C629" s="240" t="str">
        <f ca="1">IFERROR(__xludf.DUMMYFUNCTION("""COMPUTED_VALUE"""),"ASSOC. DE APOIO COL. EST. DE TAQUARALTO")</f>
        <v>ASSOC. DE APOIO COL. EST. DE TAQUARALTO</v>
      </c>
      <c r="D629" s="241" t="str">
        <f ca="1">IFERROR(__xludf.DUMMYFUNCTION("""COMPUTED_VALUE"""),"03233677000168")</f>
        <v>03233677000168</v>
      </c>
      <c r="E629" s="241" t="str">
        <f ca="1">IFERROR(__xludf.DUMMYFUNCTION("""COMPUTED_VALUE"""),"001")</f>
        <v>001</v>
      </c>
      <c r="F629" s="241" t="str">
        <f ca="1">IFERROR(__xludf.DUMMYFUNCTION("""COMPUTED_VALUE"""),"1505")</f>
        <v>1505</v>
      </c>
      <c r="G629" s="240" t="str">
        <f ca="1">IFERROR(__xludf.DUMMYFUNCTION("""COMPUTED_VALUE"""),"455059")</f>
        <v>455059</v>
      </c>
      <c r="H629" s="240" t="str">
        <f ca="1">IFERROR(__xludf.DUMMYFUNCTION("""COMPUTED_VALUE"""),"EJA")</f>
        <v>EJA</v>
      </c>
      <c r="I629" s="242">
        <f ca="1">IFERROR(__xludf.DUMMYFUNCTION("""COMPUTED_VALUE"""),3318)</f>
        <v>3318</v>
      </c>
      <c r="J629" s="235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  <c r="Y629" s="235"/>
      <c r="Z629" s="235"/>
    </row>
    <row r="630" spans="1:26" ht="21" customHeight="1">
      <c r="A630" s="240" t="str">
        <f ca="1">IFERROR(__xludf.DUMMYFUNCTION("""COMPUTED_VALUE"""),"Palmas")</f>
        <v>Palmas</v>
      </c>
      <c r="B630" s="240" t="str">
        <f ca="1">IFERROR(__xludf.DUMMYFUNCTION("""COMPUTED_VALUE"""),"Palmas")</f>
        <v>Palmas</v>
      </c>
      <c r="C630" s="240" t="str">
        <f ca="1">IFERROR(__xludf.DUMMYFUNCTION("""COMPUTED_VALUE"""),"A. DE CONSELHO ESCOLAR DO CEM 305 NORTE")</f>
        <v>A. DE CONSELHO ESCOLAR DO CEM 305 NORTE</v>
      </c>
      <c r="D630" s="241" t="str">
        <f ca="1">IFERROR(__xludf.DUMMYFUNCTION("""COMPUTED_VALUE"""),"04701394000166")</f>
        <v>04701394000166</v>
      </c>
      <c r="E630" s="241" t="str">
        <f ca="1">IFERROR(__xludf.DUMMYFUNCTION("""COMPUTED_VALUE"""),"001")</f>
        <v>001</v>
      </c>
      <c r="F630" s="241" t="str">
        <f ca="1">IFERROR(__xludf.DUMMYFUNCTION("""COMPUTED_VALUE"""),"1505")</f>
        <v>1505</v>
      </c>
      <c r="G630" s="240" t="str">
        <f ca="1">IFERROR(__xludf.DUMMYFUNCTION("""COMPUTED_VALUE"""),"455261")</f>
        <v>455261</v>
      </c>
      <c r="H630" s="240" t="str">
        <f ca="1">IFERROR(__xludf.DUMMYFUNCTION("""COMPUTED_VALUE"""),"AEE")</f>
        <v>AEE</v>
      </c>
      <c r="I630" s="242">
        <f ca="1">IFERROR(__xludf.DUMMYFUNCTION("""COMPUTED_VALUE"""),63)</f>
        <v>63</v>
      </c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</row>
    <row r="631" spans="1:26" ht="21" customHeight="1">
      <c r="A631" s="240" t="str">
        <f ca="1">IFERROR(__xludf.DUMMYFUNCTION("""COMPUTED_VALUE"""),"Palmas")</f>
        <v>Palmas</v>
      </c>
      <c r="B631" s="240" t="str">
        <f ca="1">IFERROR(__xludf.DUMMYFUNCTION("""COMPUTED_VALUE"""),"Palmas")</f>
        <v>Palmas</v>
      </c>
      <c r="C631" s="240" t="str">
        <f ca="1">IFERROR(__xludf.DUMMYFUNCTION("""COMPUTED_VALUE"""),"A. DE CONSELHO ESCOLAR DO CEM 305 NORTE")</f>
        <v>A. DE CONSELHO ESCOLAR DO CEM 305 NORTE</v>
      </c>
      <c r="D631" s="241" t="str">
        <f ca="1">IFERROR(__xludf.DUMMYFUNCTION("""COMPUTED_VALUE"""),"04701394000166")</f>
        <v>04701394000166</v>
      </c>
      <c r="E631" s="241" t="str">
        <f ca="1">IFERROR(__xludf.DUMMYFUNCTION("""COMPUTED_VALUE"""),"001")</f>
        <v>001</v>
      </c>
      <c r="F631" s="241" t="str">
        <f ca="1">IFERROR(__xludf.DUMMYFUNCTION("""COMPUTED_VALUE"""),"1505")</f>
        <v>1505</v>
      </c>
      <c r="G631" s="240" t="str">
        <f ca="1">IFERROR(__xludf.DUMMYFUNCTION("""COMPUTED_VALUE"""),"455261")</f>
        <v>455261</v>
      </c>
      <c r="H631" s="240" t="str">
        <f ca="1">IFERROR(__xludf.DUMMYFUNCTION("""COMPUTED_VALUE"""),"ENS MEDIO PARCIAL")</f>
        <v>ENS MEDIO PARCIAL</v>
      </c>
      <c r="I631" s="242">
        <f ca="1">IFERROR(__xludf.DUMMYFUNCTION("""COMPUTED_VALUE"""),12327)</f>
        <v>12327</v>
      </c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</row>
    <row r="632" spans="1:26" ht="21" customHeight="1">
      <c r="A632" s="240" t="str">
        <f ca="1">IFERROR(__xludf.DUMMYFUNCTION("""COMPUTED_VALUE"""),"Palmas")</f>
        <v>Palmas</v>
      </c>
      <c r="B632" s="240" t="str">
        <f ca="1">IFERROR(__xludf.DUMMYFUNCTION("""COMPUTED_VALUE"""),"Palmas")</f>
        <v>Palmas</v>
      </c>
      <c r="C632" s="240" t="str">
        <f ca="1">IFERROR(__xludf.DUMMYFUNCTION("""COMPUTED_VALUE"""),"A.A. DO INST.PRESB.EDUC.SOC.REV.ROBERT CA")</f>
        <v>A.A. DO INST.PRESB.EDUC.SOC.REV.ROBERT CA</v>
      </c>
      <c r="D632" s="241" t="str">
        <f ca="1">IFERROR(__xludf.DUMMYFUNCTION("""COMPUTED_VALUE"""),"05470057000178")</f>
        <v>05470057000178</v>
      </c>
      <c r="E632" s="241" t="str">
        <f ca="1">IFERROR(__xludf.DUMMYFUNCTION("""COMPUTED_VALUE"""),"001")</f>
        <v>001</v>
      </c>
      <c r="F632" s="241" t="str">
        <f ca="1">IFERROR(__xludf.DUMMYFUNCTION("""COMPUTED_VALUE"""),"1505")</f>
        <v>1505</v>
      </c>
      <c r="G632" s="240" t="str">
        <f ca="1">IFERROR(__xludf.DUMMYFUNCTION("""COMPUTED_VALUE"""),"45110X")</f>
        <v>45110X</v>
      </c>
      <c r="H632" s="240" t="str">
        <f ca="1">IFERROR(__xludf.DUMMYFUNCTION("""COMPUTED_VALUE"""),"E.F. PARCIAL")</f>
        <v>E.F. PARCIAL</v>
      </c>
      <c r="I632" s="242">
        <f ca="1">IFERROR(__xludf.DUMMYFUNCTION("""COMPUTED_VALUE"""),9534)</f>
        <v>9534</v>
      </c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</row>
    <row r="633" spans="1:26" ht="21" customHeight="1">
      <c r="A633" s="240" t="str">
        <f ca="1">IFERROR(__xludf.DUMMYFUNCTION("""COMPUTED_VALUE"""),"Palmas")</f>
        <v>Palmas</v>
      </c>
      <c r="B633" s="240" t="str">
        <f ca="1">IFERROR(__xludf.DUMMYFUNCTION("""COMPUTED_VALUE"""),"Palmas")</f>
        <v>Palmas</v>
      </c>
      <c r="C633" s="240" t="str">
        <f ca="1">IFERROR(__xludf.DUMMYFUNCTION("""COMPUTED_VALUE"""),"ASSOCIAÇÃO DE APOIO DA ESCOLA ESPECIAL INTEGRAÇÃO DE PALMAS")</f>
        <v>ASSOCIAÇÃO DE APOIO DA ESCOLA ESPECIAL INTEGRAÇÃO DE PALMAS</v>
      </c>
      <c r="D633" s="241" t="str">
        <f ca="1">IFERROR(__xludf.DUMMYFUNCTION("""COMPUTED_VALUE"""),"07958777000102")</f>
        <v>07958777000102</v>
      </c>
      <c r="E633" s="241" t="str">
        <f ca="1">IFERROR(__xludf.DUMMYFUNCTION("""COMPUTED_VALUE"""),"001")</f>
        <v>001</v>
      </c>
      <c r="F633" s="241" t="str">
        <f ca="1">IFERROR(__xludf.DUMMYFUNCTION("""COMPUTED_VALUE"""),"1505")</f>
        <v>1505</v>
      </c>
      <c r="G633" s="240" t="str">
        <f ca="1">IFERROR(__xludf.DUMMYFUNCTION("""COMPUTED_VALUE"""),"385328")</f>
        <v>385328</v>
      </c>
      <c r="H633" s="240" t="str">
        <f ca="1">IFERROR(__xludf.DUMMYFUNCTION("""COMPUTED_VALUE"""),"PRÉ-ESCOLA")</f>
        <v>PRÉ-ESCOLA</v>
      </c>
      <c r="I633" s="242">
        <f ca="1">IFERROR(__xludf.DUMMYFUNCTION("""COMPUTED_VALUE"""),588)</f>
        <v>588</v>
      </c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</row>
    <row r="634" spans="1:26" ht="21" customHeight="1">
      <c r="A634" s="240" t="str">
        <f ca="1">IFERROR(__xludf.DUMMYFUNCTION("""COMPUTED_VALUE"""),"Palmas")</f>
        <v>Palmas</v>
      </c>
      <c r="B634" s="240" t="str">
        <f ca="1">IFERROR(__xludf.DUMMYFUNCTION("""COMPUTED_VALUE"""),"Palmas")</f>
        <v>Palmas</v>
      </c>
      <c r="C634" s="240" t="str">
        <f ca="1">IFERROR(__xludf.DUMMYFUNCTION("""COMPUTED_VALUE"""),"ASSOCIAÇÃO DE APOIO DA ESCOLA ESPECIAL INTEGRAÇÃO DE PALMAS")</f>
        <v>ASSOCIAÇÃO DE APOIO DA ESCOLA ESPECIAL INTEGRAÇÃO DE PALMAS</v>
      </c>
      <c r="D634" s="241" t="str">
        <f ca="1">IFERROR(__xludf.DUMMYFUNCTION("""COMPUTED_VALUE"""),"07958777000102")</f>
        <v>07958777000102</v>
      </c>
      <c r="E634" s="241" t="str">
        <f ca="1">IFERROR(__xludf.DUMMYFUNCTION("""COMPUTED_VALUE"""),"001")</f>
        <v>001</v>
      </c>
      <c r="F634" s="241" t="str">
        <f ca="1">IFERROR(__xludf.DUMMYFUNCTION("""COMPUTED_VALUE"""),"1505")</f>
        <v>1505</v>
      </c>
      <c r="G634" s="240" t="str">
        <f ca="1">IFERROR(__xludf.DUMMYFUNCTION("""COMPUTED_VALUE"""),"385328")</f>
        <v>385328</v>
      </c>
      <c r="H634" s="240" t="str">
        <f ca="1">IFERROR(__xludf.DUMMYFUNCTION("""COMPUTED_VALUE"""),"E.F. PARCIAL")</f>
        <v>E.F. PARCIAL</v>
      </c>
      <c r="I634" s="242">
        <f ca="1">IFERROR(__xludf.DUMMYFUNCTION("""COMPUTED_VALUE"""),1113)</f>
        <v>1113</v>
      </c>
      <c r="J634" s="235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  <c r="Y634" s="235"/>
      <c r="Z634" s="235"/>
    </row>
    <row r="635" spans="1:26" ht="21" customHeight="1">
      <c r="A635" s="240" t="str">
        <f ca="1">IFERROR(__xludf.DUMMYFUNCTION("""COMPUTED_VALUE"""),"Palmas")</f>
        <v>Palmas</v>
      </c>
      <c r="B635" s="240" t="str">
        <f ca="1">IFERROR(__xludf.DUMMYFUNCTION("""COMPUTED_VALUE"""),"Palmas")</f>
        <v>Palmas</v>
      </c>
      <c r="C635" s="240" t="str">
        <f ca="1">IFERROR(__xludf.DUMMYFUNCTION("""COMPUTED_VALUE"""),"ASSOCIAÇÃO DE APOIO DA ESCOLA ESPECIAL INTEGRAÇÃO DE PALMAS")</f>
        <v>ASSOCIAÇÃO DE APOIO DA ESCOLA ESPECIAL INTEGRAÇÃO DE PALMAS</v>
      </c>
      <c r="D635" s="241" t="str">
        <f ca="1">IFERROR(__xludf.DUMMYFUNCTION("""COMPUTED_VALUE"""),"07958777000102")</f>
        <v>07958777000102</v>
      </c>
      <c r="E635" s="241" t="str">
        <f ca="1">IFERROR(__xludf.DUMMYFUNCTION("""COMPUTED_VALUE"""),"001")</f>
        <v>001</v>
      </c>
      <c r="F635" s="241" t="str">
        <f ca="1">IFERROR(__xludf.DUMMYFUNCTION("""COMPUTED_VALUE"""),"1505")</f>
        <v>1505</v>
      </c>
      <c r="G635" s="240" t="str">
        <f ca="1">IFERROR(__xludf.DUMMYFUNCTION("""COMPUTED_VALUE"""),"385328")</f>
        <v>385328</v>
      </c>
      <c r="H635" s="240" t="str">
        <f ca="1">IFERROR(__xludf.DUMMYFUNCTION("""COMPUTED_VALUE"""),"AEE")</f>
        <v>AEE</v>
      </c>
      <c r="I635" s="242">
        <f ca="1">IFERROR(__xludf.DUMMYFUNCTION("""COMPUTED_VALUE"""),504)</f>
        <v>504</v>
      </c>
      <c r="J635" s="235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</row>
    <row r="636" spans="1:26" ht="21" customHeight="1">
      <c r="A636" s="240" t="str">
        <f ca="1">IFERROR(__xludf.DUMMYFUNCTION("""COMPUTED_VALUE"""),"Palmas")</f>
        <v>Palmas</v>
      </c>
      <c r="B636" s="240" t="str">
        <f ca="1">IFERROR(__xludf.DUMMYFUNCTION("""COMPUTED_VALUE"""),"Palmas")</f>
        <v>Palmas</v>
      </c>
      <c r="C636" s="240" t="str">
        <f ca="1">IFERROR(__xludf.DUMMYFUNCTION("""COMPUTED_VALUE"""),"ASSOCIAÇÃO DE APOIO DA ESCOLA ESPECIAL INTEGRAÇÃO DE PALMAS")</f>
        <v>ASSOCIAÇÃO DE APOIO DA ESCOLA ESPECIAL INTEGRAÇÃO DE PALMAS</v>
      </c>
      <c r="D636" s="241" t="str">
        <f ca="1">IFERROR(__xludf.DUMMYFUNCTION("""COMPUTED_VALUE"""),"07958777000102")</f>
        <v>07958777000102</v>
      </c>
      <c r="E636" s="241" t="str">
        <f ca="1">IFERROR(__xludf.DUMMYFUNCTION("""COMPUTED_VALUE"""),"001")</f>
        <v>001</v>
      </c>
      <c r="F636" s="241" t="str">
        <f ca="1">IFERROR(__xludf.DUMMYFUNCTION("""COMPUTED_VALUE"""),"1505")</f>
        <v>1505</v>
      </c>
      <c r="G636" s="240" t="str">
        <f ca="1">IFERROR(__xludf.DUMMYFUNCTION("""COMPUTED_VALUE"""),"385328")</f>
        <v>385328</v>
      </c>
      <c r="H636" s="240" t="str">
        <f ca="1">IFERROR(__xludf.DUMMYFUNCTION("""COMPUTED_VALUE"""),"EJA")</f>
        <v>EJA</v>
      </c>
      <c r="I636" s="242">
        <f ca="1">IFERROR(__xludf.DUMMYFUNCTION("""COMPUTED_VALUE"""),2289)</f>
        <v>2289</v>
      </c>
      <c r="J636" s="235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</row>
    <row r="637" spans="1:26" ht="21" customHeight="1">
      <c r="A637" s="240" t="str">
        <f ca="1">IFERROR(__xludf.DUMMYFUNCTION("""COMPUTED_VALUE"""),"Palmas")</f>
        <v>Palmas</v>
      </c>
      <c r="B637" s="240" t="str">
        <f ca="1">IFERROR(__xludf.DUMMYFUNCTION("""COMPUTED_VALUE"""),"Palmas")</f>
        <v>Palmas</v>
      </c>
      <c r="C637" s="240" t="str">
        <f ca="1">IFERROR(__xludf.DUMMYFUNCTION("""COMPUTED_VALUE"""),"ASSOC APOIO ESC EST MARIA DOS REIS ALVES BARROS")</f>
        <v>ASSOC APOIO ESC EST MARIA DOS REIS ALVES BARROS</v>
      </c>
      <c r="D637" s="241" t="str">
        <f ca="1">IFERROR(__xludf.DUMMYFUNCTION("""COMPUTED_VALUE"""),"08641263000191")</f>
        <v>08641263000191</v>
      </c>
      <c r="E637" s="241" t="str">
        <f ca="1">IFERROR(__xludf.DUMMYFUNCTION("""COMPUTED_VALUE"""),"001")</f>
        <v>001</v>
      </c>
      <c r="F637" s="241" t="str">
        <f ca="1">IFERROR(__xludf.DUMMYFUNCTION("""COMPUTED_VALUE"""),"1505")</f>
        <v>1505</v>
      </c>
      <c r="G637" s="240" t="str">
        <f ca="1">IFERROR(__xludf.DUMMYFUNCTION("""COMPUTED_VALUE"""),"413666")</f>
        <v>413666</v>
      </c>
      <c r="H637" s="240" t="str">
        <f ca="1">IFERROR(__xludf.DUMMYFUNCTION("""COMPUTED_VALUE"""),"E.F. PARCIAL")</f>
        <v>E.F. PARCIAL</v>
      </c>
      <c r="I637" s="242">
        <f ca="1">IFERROR(__xludf.DUMMYFUNCTION("""COMPUTED_VALUE"""),21987)</f>
        <v>21987</v>
      </c>
      <c r="J637" s="235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  <c r="X637" s="235"/>
      <c r="Y637" s="235"/>
      <c r="Z637" s="235"/>
    </row>
    <row r="638" spans="1:26" ht="21" customHeight="1">
      <c r="A638" s="240" t="str">
        <f ca="1">IFERROR(__xludf.DUMMYFUNCTION("""COMPUTED_VALUE"""),"Palmas")</f>
        <v>Palmas</v>
      </c>
      <c r="B638" s="240" t="str">
        <f ca="1">IFERROR(__xludf.DUMMYFUNCTION("""COMPUTED_VALUE"""),"Palmas")</f>
        <v>Palmas</v>
      </c>
      <c r="C638" s="240" t="str">
        <f ca="1">IFERROR(__xludf.DUMMYFUNCTION("""COMPUTED_VALUE"""),"ASSOC APOIO ESC EST MARIA DOS REIS ALVES BARROS")</f>
        <v>ASSOC APOIO ESC EST MARIA DOS REIS ALVES BARROS</v>
      </c>
      <c r="D638" s="241" t="str">
        <f ca="1">IFERROR(__xludf.DUMMYFUNCTION("""COMPUTED_VALUE"""),"08641263000191")</f>
        <v>08641263000191</v>
      </c>
      <c r="E638" s="241" t="str">
        <f ca="1">IFERROR(__xludf.DUMMYFUNCTION("""COMPUTED_VALUE"""),"001")</f>
        <v>001</v>
      </c>
      <c r="F638" s="241" t="str">
        <f ca="1">IFERROR(__xludf.DUMMYFUNCTION("""COMPUTED_VALUE"""),"1505")</f>
        <v>1505</v>
      </c>
      <c r="G638" s="240" t="str">
        <f ca="1">IFERROR(__xludf.DUMMYFUNCTION("""COMPUTED_VALUE"""),"413666")</f>
        <v>413666</v>
      </c>
      <c r="H638" s="240" t="str">
        <f ca="1">IFERROR(__xludf.DUMMYFUNCTION("""COMPUTED_VALUE"""),"AEE")</f>
        <v>AEE</v>
      </c>
      <c r="I638" s="242">
        <f ca="1">IFERROR(__xludf.DUMMYFUNCTION("""COMPUTED_VALUE"""),1281)</f>
        <v>1281</v>
      </c>
      <c r="J638" s="235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</row>
    <row r="639" spans="1:26" ht="21" customHeight="1">
      <c r="A639" s="240" t="str">
        <f ca="1">IFERROR(__xludf.DUMMYFUNCTION("""COMPUTED_VALUE"""),"Palmas")</f>
        <v>Palmas</v>
      </c>
      <c r="B639" s="240" t="str">
        <f ca="1">IFERROR(__xludf.DUMMYFUNCTION("""COMPUTED_VALUE"""),"Palmas")</f>
        <v>Palmas</v>
      </c>
      <c r="C639" s="240" t="str">
        <f ca="1">IFERROR(__xludf.DUMMYFUNCTION("""COMPUTED_VALUE"""),"ASSOC APOIO ESC EST MARIA DOS REIS ALVES BARROS")</f>
        <v>ASSOC APOIO ESC EST MARIA DOS REIS ALVES BARROS</v>
      </c>
      <c r="D639" s="241" t="str">
        <f ca="1">IFERROR(__xludf.DUMMYFUNCTION("""COMPUTED_VALUE"""),"08641263000191")</f>
        <v>08641263000191</v>
      </c>
      <c r="E639" s="241" t="str">
        <f ca="1">IFERROR(__xludf.DUMMYFUNCTION("""COMPUTED_VALUE"""),"001")</f>
        <v>001</v>
      </c>
      <c r="F639" s="241" t="str">
        <f ca="1">IFERROR(__xludf.DUMMYFUNCTION("""COMPUTED_VALUE"""),"1505")</f>
        <v>1505</v>
      </c>
      <c r="G639" s="240" t="str">
        <f ca="1">IFERROR(__xludf.DUMMYFUNCTION("""COMPUTED_VALUE"""),"413666")</f>
        <v>413666</v>
      </c>
      <c r="H639" s="240" t="str">
        <f ca="1">IFERROR(__xludf.DUMMYFUNCTION("""COMPUTED_VALUE"""),"ENS MEDIO PARCIAL")</f>
        <v>ENS MEDIO PARCIAL</v>
      </c>
      <c r="I639" s="242">
        <f ca="1">IFERROR(__xludf.DUMMYFUNCTION("""COMPUTED_VALUE"""),12726)</f>
        <v>12726</v>
      </c>
      <c r="J639" s="235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</row>
    <row r="640" spans="1:26" ht="21" customHeight="1">
      <c r="A640" s="240" t="str">
        <f ca="1">IFERROR(__xludf.DUMMYFUNCTION("""COMPUTED_VALUE"""),"Palmas")</f>
        <v>Palmas</v>
      </c>
      <c r="B640" s="240" t="str">
        <f ca="1">IFERROR(__xludf.DUMMYFUNCTION("""COMPUTED_VALUE"""),"Palmas")</f>
        <v>Palmas</v>
      </c>
      <c r="C640" s="240" t="str">
        <f ca="1">IFERROR(__xludf.DUMMYFUNCTION("""COMPUTED_VALUE"""),"ASSOC APOIO ESC EST MARIA DOS REIS ALVES BARROS")</f>
        <v>ASSOC APOIO ESC EST MARIA DOS REIS ALVES BARROS</v>
      </c>
      <c r="D640" s="241" t="str">
        <f ca="1">IFERROR(__xludf.DUMMYFUNCTION("""COMPUTED_VALUE"""),"08641263000191")</f>
        <v>08641263000191</v>
      </c>
      <c r="E640" s="241" t="str">
        <f ca="1">IFERROR(__xludf.DUMMYFUNCTION("""COMPUTED_VALUE"""),"001")</f>
        <v>001</v>
      </c>
      <c r="F640" s="241" t="str">
        <f ca="1">IFERROR(__xludf.DUMMYFUNCTION("""COMPUTED_VALUE"""),"1505")</f>
        <v>1505</v>
      </c>
      <c r="G640" s="240" t="str">
        <f ca="1">IFERROR(__xludf.DUMMYFUNCTION("""COMPUTED_VALUE"""),"413666")</f>
        <v>413666</v>
      </c>
      <c r="H640" s="240" t="str">
        <f ca="1">IFERROR(__xludf.DUMMYFUNCTION("""COMPUTED_VALUE"""),"EJA")</f>
        <v>EJA</v>
      </c>
      <c r="I640" s="242">
        <f ca="1">IFERROR(__xludf.DUMMYFUNCTION("""COMPUTED_VALUE"""),3318)</f>
        <v>3318</v>
      </c>
      <c r="J640" s="235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</row>
    <row r="641" spans="1:26" ht="21" customHeight="1">
      <c r="A641" s="240" t="str">
        <f ca="1">IFERROR(__xludf.DUMMYFUNCTION("""COMPUTED_VALUE"""),"Palmas")</f>
        <v>Palmas</v>
      </c>
      <c r="B641" s="240" t="str">
        <f ca="1">IFERROR(__xludf.DUMMYFUNCTION("""COMPUTED_VALUE"""),"Palmas")</f>
        <v>Palmas</v>
      </c>
      <c r="C641" s="240" t="str">
        <f ca="1">IFERROR(__xludf.DUMMYFUNCTION("""COMPUTED_VALUE"""),"A.A. COL GIRASSOL TEMPO INTEGRAL RAQUEL QUEIROZ")</f>
        <v>A.A. COL GIRASSOL TEMPO INTEGRAL RAQUEL QUEIROZ</v>
      </c>
      <c r="D641" s="241" t="str">
        <f ca="1">IFERROR(__xludf.DUMMYFUNCTION("""COMPUTED_VALUE"""),"13748657000183")</f>
        <v>13748657000183</v>
      </c>
      <c r="E641" s="241" t="str">
        <f ca="1">IFERROR(__xludf.DUMMYFUNCTION("""COMPUTED_VALUE"""),"001")</f>
        <v>001</v>
      </c>
      <c r="F641" s="241" t="str">
        <f ca="1">IFERROR(__xludf.DUMMYFUNCTION("""COMPUTED_VALUE"""),"1867")</f>
        <v>1867</v>
      </c>
      <c r="G641" s="240" t="str">
        <f ca="1">IFERROR(__xludf.DUMMYFUNCTION("""COMPUTED_VALUE"""),"856312")</f>
        <v>856312</v>
      </c>
      <c r="H641" s="240" t="str">
        <f ca="1">IFERROR(__xludf.DUMMYFUNCTION("""COMPUTED_VALUE"""),"AEE")</f>
        <v>AEE</v>
      </c>
      <c r="I641" s="242">
        <f ca="1">IFERROR(__xludf.DUMMYFUNCTION("""COMPUTED_VALUE"""),441)</f>
        <v>441</v>
      </c>
      <c r="J641" s="235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</row>
    <row r="642" spans="1:26" ht="21" customHeight="1">
      <c r="A642" s="240" t="str">
        <f ca="1">IFERROR(__xludf.DUMMYFUNCTION("""COMPUTED_VALUE"""),"Palmas")</f>
        <v>Palmas</v>
      </c>
      <c r="B642" s="240" t="str">
        <f ca="1">IFERROR(__xludf.DUMMYFUNCTION("""COMPUTED_VALUE"""),"Palmas")</f>
        <v>Palmas</v>
      </c>
      <c r="C642" s="240" t="str">
        <f ca="1">IFERROR(__xludf.DUMMYFUNCTION("""COMPUTED_VALUE"""),"A.A. COL GIRASSOL TEMPO INTEGRAL RAQUEL QUEIROZ")</f>
        <v>A.A. COL GIRASSOL TEMPO INTEGRAL RAQUEL QUEIROZ</v>
      </c>
      <c r="D642" s="241" t="str">
        <f ca="1">IFERROR(__xludf.DUMMYFUNCTION("""COMPUTED_VALUE"""),"13748657000183")</f>
        <v>13748657000183</v>
      </c>
      <c r="E642" s="241" t="str">
        <f ca="1">IFERROR(__xludf.DUMMYFUNCTION("""COMPUTED_VALUE"""),"001")</f>
        <v>001</v>
      </c>
      <c r="F642" s="241" t="str">
        <f ca="1">IFERROR(__xludf.DUMMYFUNCTION("""COMPUTED_VALUE"""),"1867")</f>
        <v>1867</v>
      </c>
      <c r="G642" s="240" t="str">
        <f ca="1">IFERROR(__xludf.DUMMYFUNCTION("""COMPUTED_VALUE"""),"856312")</f>
        <v>856312</v>
      </c>
      <c r="H642" s="240" t="str">
        <f ca="1">IFERROR(__xludf.DUMMYFUNCTION("""COMPUTED_VALUE"""),"ENS MEDIO PARCIAL")</f>
        <v>ENS MEDIO PARCIAL</v>
      </c>
      <c r="I642" s="242">
        <f ca="1">IFERROR(__xludf.DUMMYFUNCTION("""COMPUTED_VALUE"""),15477)</f>
        <v>15477</v>
      </c>
      <c r="J642" s="235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</row>
    <row r="643" spans="1:26" ht="21" customHeight="1">
      <c r="A643" s="240" t="str">
        <f ca="1">IFERROR(__xludf.DUMMYFUNCTION("""COMPUTED_VALUE"""),"Palmas")</f>
        <v>Palmas</v>
      </c>
      <c r="B643" s="240" t="str">
        <f ca="1">IFERROR(__xludf.DUMMYFUNCTION("""COMPUTED_VALUE"""),"Rio Sono")</f>
        <v>Rio Sono</v>
      </c>
      <c r="C643" s="240" t="str">
        <f ca="1">IFERROR(__xludf.DUMMYFUNCTION("""COMPUTED_VALUE"""),"A. DE PAIS E MESTRES DO COL. EST.RIO SONO")</f>
        <v>A. DE PAIS E MESTRES DO COL. EST.RIO SONO</v>
      </c>
      <c r="D643" s="241" t="str">
        <f ca="1">IFERROR(__xludf.DUMMYFUNCTION("""COMPUTED_VALUE"""),"01184376000166")</f>
        <v>01184376000166</v>
      </c>
      <c r="E643" s="241" t="str">
        <f ca="1">IFERROR(__xludf.DUMMYFUNCTION("""COMPUTED_VALUE"""),"001")</f>
        <v>001</v>
      </c>
      <c r="F643" s="241" t="str">
        <f ca="1">IFERROR(__xludf.DUMMYFUNCTION("""COMPUTED_VALUE"""),"1505")</f>
        <v>1505</v>
      </c>
      <c r="G643" s="240" t="str">
        <f ca="1">IFERROR(__xludf.DUMMYFUNCTION("""COMPUTED_VALUE"""),"530042")</f>
        <v>530042</v>
      </c>
      <c r="H643" s="240" t="str">
        <f ca="1">IFERROR(__xludf.DUMMYFUNCTION("""COMPUTED_VALUE"""),"E.F. PARCIAL")</f>
        <v>E.F. PARCIAL</v>
      </c>
      <c r="I643" s="242">
        <f ca="1">IFERROR(__xludf.DUMMYFUNCTION("""COMPUTED_VALUE"""),3717)</f>
        <v>3717</v>
      </c>
      <c r="J643" s="235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</row>
    <row r="644" spans="1:26" ht="21" customHeight="1">
      <c r="A644" s="240" t="str">
        <f ca="1">IFERROR(__xludf.DUMMYFUNCTION("""COMPUTED_VALUE"""),"Palmas")</f>
        <v>Palmas</v>
      </c>
      <c r="B644" s="240" t="str">
        <f ca="1">IFERROR(__xludf.DUMMYFUNCTION("""COMPUTED_VALUE"""),"Rio Sono")</f>
        <v>Rio Sono</v>
      </c>
      <c r="C644" s="240" t="str">
        <f ca="1">IFERROR(__xludf.DUMMYFUNCTION("""COMPUTED_VALUE"""),"A. DE PAIS E MESTRES DO COL. EST.RIO SONO")</f>
        <v>A. DE PAIS E MESTRES DO COL. EST.RIO SONO</v>
      </c>
      <c r="D644" s="241" t="str">
        <f ca="1">IFERROR(__xludf.DUMMYFUNCTION("""COMPUTED_VALUE"""),"01184376000166")</f>
        <v>01184376000166</v>
      </c>
      <c r="E644" s="241" t="str">
        <f ca="1">IFERROR(__xludf.DUMMYFUNCTION("""COMPUTED_VALUE"""),"001")</f>
        <v>001</v>
      </c>
      <c r="F644" s="241" t="str">
        <f ca="1">IFERROR(__xludf.DUMMYFUNCTION("""COMPUTED_VALUE"""),"1505")</f>
        <v>1505</v>
      </c>
      <c r="G644" s="240" t="str">
        <f ca="1">IFERROR(__xludf.DUMMYFUNCTION("""COMPUTED_VALUE"""),"530042")</f>
        <v>530042</v>
      </c>
      <c r="H644" s="240" t="str">
        <f ca="1">IFERROR(__xludf.DUMMYFUNCTION("""COMPUTED_VALUE"""),"AEE")</f>
        <v>AEE</v>
      </c>
      <c r="I644" s="242">
        <f ca="1">IFERROR(__xludf.DUMMYFUNCTION("""COMPUTED_VALUE"""),1218)</f>
        <v>1218</v>
      </c>
      <c r="J644" s="235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</row>
    <row r="645" spans="1:26" ht="21" customHeight="1">
      <c r="A645" s="240" t="str">
        <f ca="1">IFERROR(__xludf.DUMMYFUNCTION("""COMPUTED_VALUE"""),"Palmas")</f>
        <v>Palmas</v>
      </c>
      <c r="B645" s="240" t="str">
        <f ca="1">IFERROR(__xludf.DUMMYFUNCTION("""COMPUTED_VALUE"""),"Rio Sono")</f>
        <v>Rio Sono</v>
      </c>
      <c r="C645" s="240" t="str">
        <f ca="1">IFERROR(__xludf.DUMMYFUNCTION("""COMPUTED_VALUE"""),"A. DE PAIS E MESTRES DO COL. EST.RIO SONO")</f>
        <v>A. DE PAIS E MESTRES DO COL. EST.RIO SONO</v>
      </c>
      <c r="D645" s="241" t="str">
        <f ca="1">IFERROR(__xludf.DUMMYFUNCTION("""COMPUTED_VALUE"""),"01184376000166")</f>
        <v>01184376000166</v>
      </c>
      <c r="E645" s="241" t="str">
        <f ca="1">IFERROR(__xludf.DUMMYFUNCTION("""COMPUTED_VALUE"""),"001")</f>
        <v>001</v>
      </c>
      <c r="F645" s="241" t="str">
        <f ca="1">IFERROR(__xludf.DUMMYFUNCTION("""COMPUTED_VALUE"""),"1505")</f>
        <v>1505</v>
      </c>
      <c r="G645" s="240" t="str">
        <f ca="1">IFERROR(__xludf.DUMMYFUNCTION("""COMPUTED_VALUE"""),"530042")</f>
        <v>530042</v>
      </c>
      <c r="H645" s="240" t="str">
        <f ca="1">IFERROR(__xludf.DUMMYFUNCTION("""COMPUTED_VALUE"""),"ENS MEDIO PARCIAL")</f>
        <v>ENS MEDIO PARCIAL</v>
      </c>
      <c r="I645" s="242">
        <f ca="1">IFERROR(__xludf.DUMMYFUNCTION("""COMPUTED_VALUE"""),4032)</f>
        <v>4032</v>
      </c>
      <c r="J645" s="235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</row>
    <row r="646" spans="1:26" ht="21" customHeight="1">
      <c r="A646" s="240" t="str">
        <f ca="1">IFERROR(__xludf.DUMMYFUNCTION("""COMPUTED_VALUE"""),"Palmas")</f>
        <v>Palmas</v>
      </c>
      <c r="B646" s="240" t="str">
        <f ca="1">IFERROR(__xludf.DUMMYFUNCTION("""COMPUTED_VALUE"""),"Rio Sono")</f>
        <v>Rio Sono</v>
      </c>
      <c r="C646" s="240" t="str">
        <f ca="1">IFERROR(__xludf.DUMMYFUNCTION("""COMPUTED_VALUE"""),"A.A.  ESCOLA EST. IMACULADA CONCEICAO")</f>
        <v>A.A.  ESCOLA EST. IMACULADA CONCEICAO</v>
      </c>
      <c r="D646" s="241" t="str">
        <f ca="1">IFERROR(__xludf.DUMMYFUNCTION("""COMPUTED_VALUE"""),"01197175000101")</f>
        <v>01197175000101</v>
      </c>
      <c r="E646" s="241" t="str">
        <f ca="1">IFERROR(__xludf.DUMMYFUNCTION("""COMPUTED_VALUE"""),"001")</f>
        <v>001</v>
      </c>
      <c r="F646" s="241" t="str">
        <f ca="1">IFERROR(__xludf.DUMMYFUNCTION("""COMPUTED_VALUE"""),"0862")</f>
        <v>0862</v>
      </c>
      <c r="G646" s="240" t="str">
        <f ca="1">IFERROR(__xludf.DUMMYFUNCTION("""COMPUTED_VALUE"""),"161497")</f>
        <v>161497</v>
      </c>
      <c r="H646" s="240" t="str">
        <f ca="1">IFERROR(__xludf.DUMMYFUNCTION("""COMPUTED_VALUE"""),"E.F. PARCIAL")</f>
        <v>E.F. PARCIAL</v>
      </c>
      <c r="I646" s="242">
        <f ca="1">IFERROR(__xludf.DUMMYFUNCTION("""COMPUTED_VALUE"""),1260)</f>
        <v>1260</v>
      </c>
      <c r="J646" s="235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</row>
    <row r="647" spans="1:26" ht="21" customHeight="1">
      <c r="A647" s="240" t="str">
        <f ca="1">IFERROR(__xludf.DUMMYFUNCTION("""COMPUTED_VALUE"""),"Palmas")</f>
        <v>Palmas</v>
      </c>
      <c r="B647" s="240" t="str">
        <f ca="1">IFERROR(__xludf.DUMMYFUNCTION("""COMPUTED_VALUE"""),"Rio Sono")</f>
        <v>Rio Sono</v>
      </c>
      <c r="C647" s="240" t="str">
        <f ca="1">IFERROR(__xludf.DUMMYFUNCTION("""COMPUTED_VALUE"""),"A.A.  ESCOLA EST. IMACULADA CONCEICAO")</f>
        <v>A.A.  ESCOLA EST. IMACULADA CONCEICAO</v>
      </c>
      <c r="D647" s="241" t="str">
        <f ca="1">IFERROR(__xludf.DUMMYFUNCTION("""COMPUTED_VALUE"""),"01197175000101")</f>
        <v>01197175000101</v>
      </c>
      <c r="E647" s="241" t="str">
        <f ca="1">IFERROR(__xludf.DUMMYFUNCTION("""COMPUTED_VALUE"""),"001")</f>
        <v>001</v>
      </c>
      <c r="F647" s="241" t="str">
        <f ca="1">IFERROR(__xludf.DUMMYFUNCTION("""COMPUTED_VALUE"""),"0862")</f>
        <v>0862</v>
      </c>
      <c r="G647" s="240" t="str">
        <f ca="1">IFERROR(__xludf.DUMMYFUNCTION("""COMPUTED_VALUE"""),"161497")</f>
        <v>161497</v>
      </c>
      <c r="H647" s="240" t="str">
        <f ca="1">IFERROR(__xludf.DUMMYFUNCTION("""COMPUTED_VALUE"""),"ENS MEDIO PARCIAL")</f>
        <v>ENS MEDIO PARCIAL</v>
      </c>
      <c r="I647" s="242">
        <f ca="1">IFERROR(__xludf.DUMMYFUNCTION("""COMPUTED_VALUE"""),1113)</f>
        <v>1113</v>
      </c>
      <c r="J647" s="235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</row>
    <row r="648" spans="1:26" ht="21" customHeight="1">
      <c r="A648" s="240" t="str">
        <f ca="1">IFERROR(__xludf.DUMMYFUNCTION("""COMPUTED_VALUE"""),"Palmas")</f>
        <v>Palmas</v>
      </c>
      <c r="B648" s="240" t="str">
        <f ca="1">IFERROR(__xludf.DUMMYFUNCTION("""COMPUTED_VALUE"""),"Santa Tereza do Tocantins")</f>
        <v>Santa Tereza do Tocantins</v>
      </c>
      <c r="C648" s="240" t="str">
        <f ca="1">IFERROR(__xludf.DUMMYFUNCTION("""COMPUTED_VALUE"""),"A.A. C.EST. MANOEL S.DOURADO")</f>
        <v>A.A. C.EST. MANOEL S.DOURADO</v>
      </c>
      <c r="D648" s="241" t="str">
        <f ca="1">IFERROR(__xludf.DUMMYFUNCTION("""COMPUTED_VALUE"""),"01136013000155")</f>
        <v>01136013000155</v>
      </c>
      <c r="E648" s="241" t="str">
        <f ca="1">IFERROR(__xludf.DUMMYFUNCTION("""COMPUTED_VALUE"""),"001")</f>
        <v>001</v>
      </c>
      <c r="F648" s="241" t="str">
        <f ca="1">IFERROR(__xludf.DUMMYFUNCTION("""COMPUTED_VALUE"""),"1117")</f>
        <v>1117</v>
      </c>
      <c r="G648" s="240" t="str">
        <f ca="1">IFERROR(__xludf.DUMMYFUNCTION("""COMPUTED_VALUE"""),"313033")</f>
        <v>313033</v>
      </c>
      <c r="H648" s="240" t="str">
        <f ca="1">IFERROR(__xludf.DUMMYFUNCTION("""COMPUTED_VALUE"""),"E.F. PARCIAL")</f>
        <v>E.F. PARCIAL</v>
      </c>
      <c r="I648" s="242">
        <f ca="1">IFERROR(__xludf.DUMMYFUNCTION("""COMPUTED_VALUE"""),2205)</f>
        <v>2205</v>
      </c>
      <c r="J648" s="235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</row>
    <row r="649" spans="1:26" ht="21" customHeight="1">
      <c r="A649" s="240" t="str">
        <f ca="1">IFERROR(__xludf.DUMMYFUNCTION("""COMPUTED_VALUE"""),"Palmas")</f>
        <v>Palmas</v>
      </c>
      <c r="B649" s="240" t="str">
        <f ca="1">IFERROR(__xludf.DUMMYFUNCTION("""COMPUTED_VALUE"""),"Santa Tereza do Tocantins")</f>
        <v>Santa Tereza do Tocantins</v>
      </c>
      <c r="C649" s="240" t="str">
        <f ca="1">IFERROR(__xludf.DUMMYFUNCTION("""COMPUTED_VALUE"""),"A.A. C.EST. MANOEL S.DOURADO")</f>
        <v>A.A. C.EST. MANOEL S.DOURADO</v>
      </c>
      <c r="D649" s="241" t="str">
        <f ca="1">IFERROR(__xludf.DUMMYFUNCTION("""COMPUTED_VALUE"""),"01136013000155")</f>
        <v>01136013000155</v>
      </c>
      <c r="E649" s="241" t="str">
        <f ca="1">IFERROR(__xludf.DUMMYFUNCTION("""COMPUTED_VALUE"""),"001")</f>
        <v>001</v>
      </c>
      <c r="F649" s="241" t="str">
        <f ca="1">IFERROR(__xludf.DUMMYFUNCTION("""COMPUTED_VALUE"""),"1117")</f>
        <v>1117</v>
      </c>
      <c r="G649" s="240" t="str">
        <f ca="1">IFERROR(__xludf.DUMMYFUNCTION("""COMPUTED_VALUE"""),"313033")</f>
        <v>313033</v>
      </c>
      <c r="H649" s="240" t="str">
        <f ca="1">IFERROR(__xludf.DUMMYFUNCTION("""COMPUTED_VALUE"""),"ENS MEDIO PARCIAL")</f>
        <v>ENS MEDIO PARCIAL</v>
      </c>
      <c r="I649" s="242">
        <f ca="1">IFERROR(__xludf.DUMMYFUNCTION("""COMPUTED_VALUE"""),3045)</f>
        <v>3045</v>
      </c>
      <c r="J649" s="235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</row>
    <row r="650" spans="1:26" ht="21" customHeight="1">
      <c r="A650" s="240" t="str">
        <f ca="1">IFERROR(__xludf.DUMMYFUNCTION("""COMPUTED_VALUE"""),"Palmas")</f>
        <v>Palmas</v>
      </c>
      <c r="B650" s="240" t="str">
        <f ca="1">IFERROR(__xludf.DUMMYFUNCTION("""COMPUTED_VALUE"""),"Sao Felix do Tocantins")</f>
        <v>Sao Felix do Tocantins</v>
      </c>
      <c r="C650" s="240" t="str">
        <f ca="1">IFERROR(__xludf.DUMMYFUNCTION("""COMPUTED_VALUE"""),"A. DE AP.ESC. EST. SAGRADO CORACAO DE JESUS")</f>
        <v>A. DE AP.ESC. EST. SAGRADO CORACAO DE JESUS</v>
      </c>
      <c r="D650" s="241" t="str">
        <f ca="1">IFERROR(__xludf.DUMMYFUNCTION("""COMPUTED_VALUE"""),"01656550000126")</f>
        <v>01656550000126</v>
      </c>
      <c r="E650" s="241" t="str">
        <f ca="1">IFERROR(__xludf.DUMMYFUNCTION("""COMPUTED_VALUE"""),"001")</f>
        <v>001</v>
      </c>
      <c r="F650" s="241" t="str">
        <f ca="1">IFERROR(__xludf.DUMMYFUNCTION("""COMPUTED_VALUE"""),"3962")</f>
        <v>3962</v>
      </c>
      <c r="G650" s="240" t="str">
        <f ca="1">IFERROR(__xludf.DUMMYFUNCTION("""COMPUTED_VALUE"""),"147605")</f>
        <v>147605</v>
      </c>
      <c r="H650" s="240" t="str">
        <f ca="1">IFERROR(__xludf.DUMMYFUNCTION("""COMPUTED_VALUE"""),"E.F. PARCIAL")</f>
        <v>E.F. PARCIAL</v>
      </c>
      <c r="I650" s="242">
        <f ca="1">IFERROR(__xludf.DUMMYFUNCTION("""COMPUTED_VALUE"""),4473)</f>
        <v>4473</v>
      </c>
      <c r="J650" s="235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</row>
    <row r="651" spans="1:26" ht="21" customHeight="1">
      <c r="A651" s="240" t="str">
        <f ca="1">IFERROR(__xludf.DUMMYFUNCTION("""COMPUTED_VALUE"""),"Palmas")</f>
        <v>Palmas</v>
      </c>
      <c r="B651" s="240" t="str">
        <f ca="1">IFERROR(__xludf.DUMMYFUNCTION("""COMPUTED_VALUE"""),"Sao Felix do Tocantins")</f>
        <v>Sao Felix do Tocantins</v>
      </c>
      <c r="C651" s="240" t="str">
        <f ca="1">IFERROR(__xludf.DUMMYFUNCTION("""COMPUTED_VALUE"""),"A. DE AP.ESC. EST. SAGRADO CORACAO DE JESUS")</f>
        <v>A. DE AP.ESC. EST. SAGRADO CORACAO DE JESUS</v>
      </c>
      <c r="D651" s="241" t="str">
        <f ca="1">IFERROR(__xludf.DUMMYFUNCTION("""COMPUTED_VALUE"""),"01656550000126")</f>
        <v>01656550000126</v>
      </c>
      <c r="E651" s="241" t="str">
        <f ca="1">IFERROR(__xludf.DUMMYFUNCTION("""COMPUTED_VALUE"""),"001")</f>
        <v>001</v>
      </c>
      <c r="F651" s="241" t="str">
        <f ca="1">IFERROR(__xludf.DUMMYFUNCTION("""COMPUTED_VALUE"""),"3962")</f>
        <v>3962</v>
      </c>
      <c r="G651" s="240" t="str">
        <f ca="1">IFERROR(__xludf.DUMMYFUNCTION("""COMPUTED_VALUE"""),"147605")</f>
        <v>147605</v>
      </c>
      <c r="H651" s="240" t="str">
        <f ca="1">IFERROR(__xludf.DUMMYFUNCTION("""COMPUTED_VALUE"""),"ENS MEDIO PARCIAL")</f>
        <v>ENS MEDIO PARCIAL</v>
      </c>
      <c r="I651" s="242">
        <f ca="1">IFERROR(__xludf.DUMMYFUNCTION("""COMPUTED_VALUE"""),2457)</f>
        <v>2457</v>
      </c>
      <c r="J651" s="235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</row>
    <row r="652" spans="1:26" ht="21" customHeight="1">
      <c r="A652" s="240" t="str">
        <f ca="1">IFERROR(__xludf.DUMMYFUNCTION("""COMPUTED_VALUE"""),"Paraíso")</f>
        <v>Paraíso</v>
      </c>
      <c r="B652" s="240" t="str">
        <f ca="1">IFERROR(__xludf.DUMMYFUNCTION("""COMPUTED_VALUE"""),"Abreulandia")</f>
        <v>Abreulandia</v>
      </c>
      <c r="C652" s="240" t="str">
        <f ca="1">IFERROR(__xludf.DUMMYFUNCTION("""COMPUTED_VALUE"""),"ASS. DE APOIO DA ESCOLA EST. SAO PEDRO")</f>
        <v>ASS. DE APOIO DA ESCOLA EST. SAO PEDRO</v>
      </c>
      <c r="D652" s="241" t="str">
        <f ca="1">IFERROR(__xludf.DUMMYFUNCTION("""COMPUTED_VALUE"""),"01071408000117")</f>
        <v>01071408000117</v>
      </c>
      <c r="E652" s="241" t="str">
        <f ca="1">IFERROR(__xludf.DUMMYFUNCTION("""COMPUTED_VALUE"""),"001")</f>
        <v>001</v>
      </c>
      <c r="F652" s="241" t="str">
        <f ca="1">IFERROR(__xludf.DUMMYFUNCTION("""COMPUTED_VALUE"""),"0804")</f>
        <v>0804</v>
      </c>
      <c r="G652" s="240" t="str">
        <f ca="1">IFERROR(__xludf.DUMMYFUNCTION("""COMPUTED_VALUE"""),"286893")</f>
        <v>286893</v>
      </c>
      <c r="H652" s="240" t="str">
        <f ca="1">IFERROR(__xludf.DUMMYFUNCTION("""COMPUTED_VALUE"""),"E.F. PARCIAL")</f>
        <v>E.F. PARCIAL</v>
      </c>
      <c r="I652" s="242">
        <f ca="1">IFERROR(__xludf.DUMMYFUNCTION("""COMPUTED_VALUE"""),2247)</f>
        <v>2247</v>
      </c>
      <c r="J652" s="235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</row>
    <row r="653" spans="1:26" ht="21" customHeight="1">
      <c r="A653" s="240" t="str">
        <f ca="1">IFERROR(__xludf.DUMMYFUNCTION("""COMPUTED_VALUE"""),"Paraíso")</f>
        <v>Paraíso</v>
      </c>
      <c r="B653" s="240" t="str">
        <f ca="1">IFERROR(__xludf.DUMMYFUNCTION("""COMPUTED_VALUE"""),"Abreulandia")</f>
        <v>Abreulandia</v>
      </c>
      <c r="C653" s="240" t="str">
        <f ca="1">IFERROR(__xludf.DUMMYFUNCTION("""COMPUTED_VALUE"""),"ASS. DE APOIO DA ESCOLA EST. SAO PEDRO")</f>
        <v>ASS. DE APOIO DA ESCOLA EST. SAO PEDRO</v>
      </c>
      <c r="D653" s="241" t="str">
        <f ca="1">IFERROR(__xludf.DUMMYFUNCTION("""COMPUTED_VALUE"""),"01071408000117")</f>
        <v>01071408000117</v>
      </c>
      <c r="E653" s="241" t="str">
        <f ca="1">IFERROR(__xludf.DUMMYFUNCTION("""COMPUTED_VALUE"""),"001")</f>
        <v>001</v>
      </c>
      <c r="F653" s="241" t="str">
        <f ca="1">IFERROR(__xludf.DUMMYFUNCTION("""COMPUTED_VALUE"""),"0804")</f>
        <v>0804</v>
      </c>
      <c r="G653" s="240" t="str">
        <f ca="1">IFERROR(__xludf.DUMMYFUNCTION("""COMPUTED_VALUE"""),"286893")</f>
        <v>286893</v>
      </c>
      <c r="H653" s="240" t="str">
        <f ca="1">IFERROR(__xludf.DUMMYFUNCTION("""COMPUTED_VALUE"""),"ENS MEDIO PARCIAL")</f>
        <v>ENS MEDIO PARCIAL</v>
      </c>
      <c r="I653" s="242">
        <f ca="1">IFERROR(__xludf.DUMMYFUNCTION("""COMPUTED_VALUE"""),2772)</f>
        <v>2772</v>
      </c>
      <c r="J653" s="235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</row>
    <row r="654" spans="1:26" ht="21" customHeight="1">
      <c r="A654" s="240" t="str">
        <f ca="1">IFERROR(__xludf.DUMMYFUNCTION("""COMPUTED_VALUE"""),"Paraíso")</f>
        <v>Paraíso</v>
      </c>
      <c r="B654" s="240" t="str">
        <f ca="1">IFERROR(__xludf.DUMMYFUNCTION("""COMPUTED_VALUE"""),"Abreulandia")</f>
        <v>Abreulandia</v>
      </c>
      <c r="C654" s="240" t="str">
        <f ca="1">IFERROR(__xludf.DUMMYFUNCTION("""COMPUTED_VALUE"""),"ASS. DE APOIO DA ESCOLA EST. SAO PEDRO")</f>
        <v>ASS. DE APOIO DA ESCOLA EST. SAO PEDRO</v>
      </c>
      <c r="D654" s="241" t="str">
        <f ca="1">IFERROR(__xludf.DUMMYFUNCTION("""COMPUTED_VALUE"""),"01071408000117")</f>
        <v>01071408000117</v>
      </c>
      <c r="E654" s="241" t="str">
        <f ca="1">IFERROR(__xludf.DUMMYFUNCTION("""COMPUTED_VALUE"""),"001")</f>
        <v>001</v>
      </c>
      <c r="F654" s="241" t="str">
        <f ca="1">IFERROR(__xludf.DUMMYFUNCTION("""COMPUTED_VALUE"""),"0804")</f>
        <v>0804</v>
      </c>
      <c r="G654" s="240" t="str">
        <f ca="1">IFERROR(__xludf.DUMMYFUNCTION("""COMPUTED_VALUE"""),"286893")</f>
        <v>286893</v>
      </c>
      <c r="H654" s="240" t="str">
        <f ca="1">IFERROR(__xludf.DUMMYFUNCTION("""COMPUTED_VALUE"""),"EJA")</f>
        <v>EJA</v>
      </c>
      <c r="I654" s="242">
        <f ca="1">IFERROR(__xludf.DUMMYFUNCTION("""COMPUTED_VALUE"""),210)</f>
        <v>210</v>
      </c>
      <c r="J654" s="235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</row>
    <row r="655" spans="1:26" ht="21" customHeight="1">
      <c r="A655" s="240" t="str">
        <f ca="1">IFERROR(__xludf.DUMMYFUNCTION("""COMPUTED_VALUE"""),"Paraíso")</f>
        <v>Paraíso</v>
      </c>
      <c r="B655" s="240" t="str">
        <f ca="1">IFERROR(__xludf.DUMMYFUNCTION("""COMPUTED_VALUE"""),"Araguacema")</f>
        <v>Araguacema</v>
      </c>
      <c r="C655" s="240" t="str">
        <f ca="1">IFERROR(__xludf.DUMMYFUNCTION("""COMPUTED_VALUE"""),"ASSOC. DE APOIO COLEGIO MENNO SIMONS")</f>
        <v>ASSOC. DE APOIO COLEGIO MENNO SIMONS</v>
      </c>
      <c r="D655" s="241" t="str">
        <f ca="1">IFERROR(__xludf.DUMMYFUNCTION("""COMPUTED_VALUE"""),"01138321000110")</f>
        <v>01138321000110</v>
      </c>
      <c r="E655" s="241" t="str">
        <f ca="1">IFERROR(__xludf.DUMMYFUNCTION("""COMPUTED_VALUE"""),"001")</f>
        <v>001</v>
      </c>
      <c r="F655" s="241" t="str">
        <f ca="1">IFERROR(__xludf.DUMMYFUNCTION("""COMPUTED_VALUE"""),"0804")</f>
        <v>0804</v>
      </c>
      <c r="G655" s="240" t="str">
        <f ca="1">IFERROR(__xludf.DUMMYFUNCTION("""COMPUTED_VALUE"""),"300764")</f>
        <v>300764</v>
      </c>
      <c r="H655" s="240" t="str">
        <f ca="1">IFERROR(__xludf.DUMMYFUNCTION("""COMPUTED_VALUE"""),"E.F. PARCIAL")</f>
        <v>E.F. PARCIAL</v>
      </c>
      <c r="I655" s="242">
        <f ca="1">IFERROR(__xludf.DUMMYFUNCTION("""COMPUTED_VALUE"""),3927)</f>
        <v>3927</v>
      </c>
      <c r="J655" s="235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</row>
    <row r="656" spans="1:26" ht="21" customHeight="1">
      <c r="A656" s="240" t="str">
        <f ca="1">IFERROR(__xludf.DUMMYFUNCTION("""COMPUTED_VALUE"""),"Paraíso")</f>
        <v>Paraíso</v>
      </c>
      <c r="B656" s="240" t="str">
        <f ca="1">IFERROR(__xludf.DUMMYFUNCTION("""COMPUTED_VALUE"""),"Araguacema")</f>
        <v>Araguacema</v>
      </c>
      <c r="C656" s="240" t="str">
        <f ca="1">IFERROR(__xludf.DUMMYFUNCTION("""COMPUTED_VALUE"""),"ASSOC. DE APOIO AO COL. EST. DE ARAGUACEMA")</f>
        <v>ASSOC. DE APOIO AO COL. EST. DE ARAGUACEMA</v>
      </c>
      <c r="D656" s="241" t="str">
        <f ca="1">IFERROR(__xludf.DUMMYFUNCTION("""COMPUTED_VALUE"""),"01187107000153")</f>
        <v>01187107000153</v>
      </c>
      <c r="E656" s="241" t="str">
        <f ca="1">IFERROR(__xludf.DUMMYFUNCTION("""COMPUTED_VALUE"""),"001")</f>
        <v>001</v>
      </c>
      <c r="F656" s="241" t="str">
        <f ca="1">IFERROR(__xludf.DUMMYFUNCTION("""COMPUTED_VALUE"""),"0804")</f>
        <v>0804</v>
      </c>
      <c r="G656" s="240" t="str">
        <f ca="1">IFERROR(__xludf.DUMMYFUNCTION("""COMPUTED_VALUE"""),"286532")</f>
        <v>286532</v>
      </c>
      <c r="H656" s="240" t="str">
        <f ca="1">IFERROR(__xludf.DUMMYFUNCTION("""COMPUTED_VALUE"""),"E.F. PARCIAL")</f>
        <v>E.F. PARCIAL</v>
      </c>
      <c r="I656" s="242">
        <f ca="1">IFERROR(__xludf.DUMMYFUNCTION("""COMPUTED_VALUE"""),2142)</f>
        <v>2142</v>
      </c>
      <c r="J656" s="235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</row>
    <row r="657" spans="1:26" ht="21" customHeight="1">
      <c r="A657" s="240" t="str">
        <f ca="1">IFERROR(__xludf.DUMMYFUNCTION("""COMPUTED_VALUE"""),"Paraíso")</f>
        <v>Paraíso</v>
      </c>
      <c r="B657" s="240" t="str">
        <f ca="1">IFERROR(__xludf.DUMMYFUNCTION("""COMPUTED_VALUE"""),"Araguacema")</f>
        <v>Araguacema</v>
      </c>
      <c r="C657" s="240" t="str">
        <f ca="1">IFERROR(__xludf.DUMMYFUNCTION("""COMPUTED_VALUE"""),"ASSOC. DE APOIO AO COL. EST. DE ARAGUACEMA")</f>
        <v>ASSOC. DE APOIO AO COL. EST. DE ARAGUACEMA</v>
      </c>
      <c r="D657" s="241" t="str">
        <f ca="1">IFERROR(__xludf.DUMMYFUNCTION("""COMPUTED_VALUE"""),"01187107000153")</f>
        <v>01187107000153</v>
      </c>
      <c r="E657" s="241" t="str">
        <f ca="1">IFERROR(__xludf.DUMMYFUNCTION("""COMPUTED_VALUE"""),"001")</f>
        <v>001</v>
      </c>
      <c r="F657" s="241" t="str">
        <f ca="1">IFERROR(__xludf.DUMMYFUNCTION("""COMPUTED_VALUE"""),"0804")</f>
        <v>0804</v>
      </c>
      <c r="G657" s="240" t="str">
        <f ca="1">IFERROR(__xludf.DUMMYFUNCTION("""COMPUTED_VALUE"""),"286532")</f>
        <v>286532</v>
      </c>
      <c r="H657" s="240" t="str">
        <f ca="1">IFERROR(__xludf.DUMMYFUNCTION("""COMPUTED_VALUE"""),"ENS MEDIO PARCIAL")</f>
        <v>ENS MEDIO PARCIAL</v>
      </c>
      <c r="I657" s="242">
        <f ca="1">IFERROR(__xludf.DUMMYFUNCTION("""COMPUTED_VALUE"""),6510)</f>
        <v>6510</v>
      </c>
      <c r="J657" s="235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</row>
    <row r="658" spans="1:26" ht="21" customHeight="1">
      <c r="A658" s="240" t="str">
        <f ca="1">IFERROR(__xludf.DUMMYFUNCTION("""COMPUTED_VALUE"""),"Paraíso")</f>
        <v>Paraíso</v>
      </c>
      <c r="B658" s="240" t="str">
        <f ca="1">IFERROR(__xludf.DUMMYFUNCTION("""COMPUTED_VALUE"""),"Barrolandia")</f>
        <v>Barrolandia</v>
      </c>
      <c r="C658" s="240" t="str">
        <f ca="1">IFERROR(__xludf.DUMMYFUNCTION("""COMPUTED_VALUE"""),"ASS. APOIO DA ESC EST PAULINA CAMARA")</f>
        <v>ASS. APOIO DA ESC EST PAULINA CAMARA</v>
      </c>
      <c r="D658" s="241" t="str">
        <f ca="1">IFERROR(__xludf.DUMMYFUNCTION("""COMPUTED_VALUE"""),"01071402000140")</f>
        <v>01071402000140</v>
      </c>
      <c r="E658" s="241" t="str">
        <f ca="1">IFERROR(__xludf.DUMMYFUNCTION("""COMPUTED_VALUE"""),"001")</f>
        <v>001</v>
      </c>
      <c r="F658" s="241" t="str">
        <f ca="1">IFERROR(__xludf.DUMMYFUNCTION("""COMPUTED_VALUE"""),"0862")</f>
        <v>0862</v>
      </c>
      <c r="G658" s="240" t="str">
        <f ca="1">IFERROR(__xludf.DUMMYFUNCTION("""COMPUTED_VALUE"""),"68926")</f>
        <v>68926</v>
      </c>
      <c r="H658" s="240" t="str">
        <f ca="1">IFERROR(__xludf.DUMMYFUNCTION("""COMPUTED_VALUE"""),"E.F. PARCIAL")</f>
        <v>E.F. PARCIAL</v>
      </c>
      <c r="I658" s="242">
        <f ca="1">IFERROR(__xludf.DUMMYFUNCTION("""COMPUTED_VALUE"""),5376)</f>
        <v>5376</v>
      </c>
      <c r="J658" s="235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</row>
    <row r="659" spans="1:26" ht="21" customHeight="1">
      <c r="A659" s="240" t="str">
        <f ca="1">IFERROR(__xludf.DUMMYFUNCTION("""COMPUTED_VALUE"""),"Paraíso")</f>
        <v>Paraíso</v>
      </c>
      <c r="B659" s="240" t="str">
        <f ca="1">IFERROR(__xludf.DUMMYFUNCTION("""COMPUTED_VALUE"""),"Barrolandia")</f>
        <v>Barrolandia</v>
      </c>
      <c r="C659" s="240" t="str">
        <f ca="1">IFERROR(__xludf.DUMMYFUNCTION("""COMPUTED_VALUE"""),"ASS. APOIO DA ESC EST PAULINA CAMARA")</f>
        <v>ASS. APOIO DA ESC EST PAULINA CAMARA</v>
      </c>
      <c r="D659" s="241" t="str">
        <f ca="1">IFERROR(__xludf.DUMMYFUNCTION("""COMPUTED_VALUE"""),"01071402000140")</f>
        <v>01071402000140</v>
      </c>
      <c r="E659" s="241" t="str">
        <f ca="1">IFERROR(__xludf.DUMMYFUNCTION("""COMPUTED_VALUE"""),"001")</f>
        <v>001</v>
      </c>
      <c r="F659" s="241" t="str">
        <f ca="1">IFERROR(__xludf.DUMMYFUNCTION("""COMPUTED_VALUE"""),"0862")</f>
        <v>0862</v>
      </c>
      <c r="G659" s="240" t="str">
        <f ca="1">IFERROR(__xludf.DUMMYFUNCTION("""COMPUTED_VALUE"""),"68926")</f>
        <v>68926</v>
      </c>
      <c r="H659" s="240" t="str">
        <f ca="1">IFERROR(__xludf.DUMMYFUNCTION("""COMPUTED_VALUE"""),"AEE")</f>
        <v>AEE</v>
      </c>
      <c r="I659" s="242">
        <f ca="1">IFERROR(__xludf.DUMMYFUNCTION("""COMPUTED_VALUE"""),210)</f>
        <v>210</v>
      </c>
      <c r="J659" s="235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</row>
    <row r="660" spans="1:26" ht="21" customHeight="1">
      <c r="A660" s="240" t="str">
        <f ca="1">IFERROR(__xludf.DUMMYFUNCTION("""COMPUTED_VALUE"""),"Paraíso")</f>
        <v>Paraíso</v>
      </c>
      <c r="B660" s="240" t="str">
        <f ca="1">IFERROR(__xludf.DUMMYFUNCTION("""COMPUTED_VALUE"""),"Barrolandia")</f>
        <v>Barrolandia</v>
      </c>
      <c r="C660" s="240" t="str">
        <f ca="1">IFERROR(__xludf.DUMMYFUNCTION("""COMPUTED_VALUE"""),"A.A. COLEGIO ESTADUAL COSTA E SILVA")</f>
        <v>A.A. COLEGIO ESTADUAL COSTA E SILVA</v>
      </c>
      <c r="D660" s="241" t="str">
        <f ca="1">IFERROR(__xludf.DUMMYFUNCTION("""COMPUTED_VALUE"""),"01100434000126")</f>
        <v>01100434000126</v>
      </c>
      <c r="E660" s="241" t="str">
        <f ca="1">IFERROR(__xludf.DUMMYFUNCTION("""COMPUTED_VALUE"""),"001")</f>
        <v>001</v>
      </c>
      <c r="F660" s="241" t="str">
        <f ca="1">IFERROR(__xludf.DUMMYFUNCTION("""COMPUTED_VALUE"""),"0862")</f>
        <v>0862</v>
      </c>
      <c r="G660" s="240" t="str">
        <f ca="1">IFERROR(__xludf.DUMMYFUNCTION("""COMPUTED_VALUE"""),"68942")</f>
        <v>68942</v>
      </c>
      <c r="H660" s="240" t="str">
        <f ca="1">IFERROR(__xludf.DUMMYFUNCTION("""COMPUTED_VALUE"""),"E.F. PARCIAL")</f>
        <v>E.F. PARCIAL</v>
      </c>
      <c r="I660" s="242">
        <f ca="1">IFERROR(__xludf.DUMMYFUNCTION("""COMPUTED_VALUE"""),2205)</f>
        <v>2205</v>
      </c>
      <c r="J660" s="235"/>
      <c r="K660" s="235"/>
      <c r="L660" s="235"/>
      <c r="M660" s="235"/>
      <c r="N660" s="235"/>
      <c r="O660" s="235"/>
      <c r="P660" s="235"/>
      <c r="Q660" s="235"/>
      <c r="R660" s="235"/>
      <c r="S660" s="235"/>
      <c r="T660" s="235"/>
      <c r="U660" s="235"/>
      <c r="V660" s="235"/>
      <c r="W660" s="235"/>
      <c r="X660" s="235"/>
      <c r="Y660" s="235"/>
      <c r="Z660" s="235"/>
    </row>
    <row r="661" spans="1:26" ht="21" customHeight="1">
      <c r="A661" s="240" t="str">
        <f ca="1">IFERROR(__xludf.DUMMYFUNCTION("""COMPUTED_VALUE"""),"Paraíso")</f>
        <v>Paraíso</v>
      </c>
      <c r="B661" s="240" t="str">
        <f ca="1">IFERROR(__xludf.DUMMYFUNCTION("""COMPUTED_VALUE"""),"Barrolandia")</f>
        <v>Barrolandia</v>
      </c>
      <c r="C661" s="240" t="str">
        <f ca="1">IFERROR(__xludf.DUMMYFUNCTION("""COMPUTED_VALUE"""),"A.A. COLEGIO ESTADUAL COSTA E SILVA")</f>
        <v>A.A. COLEGIO ESTADUAL COSTA E SILVA</v>
      </c>
      <c r="D661" s="241" t="str">
        <f ca="1">IFERROR(__xludf.DUMMYFUNCTION("""COMPUTED_VALUE"""),"01100434000126")</f>
        <v>01100434000126</v>
      </c>
      <c r="E661" s="241" t="str">
        <f ca="1">IFERROR(__xludf.DUMMYFUNCTION("""COMPUTED_VALUE"""),"001")</f>
        <v>001</v>
      </c>
      <c r="F661" s="241" t="str">
        <f ca="1">IFERROR(__xludf.DUMMYFUNCTION("""COMPUTED_VALUE"""),"0862")</f>
        <v>0862</v>
      </c>
      <c r="G661" s="240" t="str">
        <f ca="1">IFERROR(__xludf.DUMMYFUNCTION("""COMPUTED_VALUE"""),"68942")</f>
        <v>68942</v>
      </c>
      <c r="H661" s="240" t="str">
        <f ca="1">IFERROR(__xludf.DUMMYFUNCTION("""COMPUTED_VALUE"""),"ENS MEDIO PARCIAL")</f>
        <v>ENS MEDIO PARCIAL</v>
      </c>
      <c r="I661" s="242">
        <f ca="1">IFERROR(__xludf.DUMMYFUNCTION("""COMPUTED_VALUE"""),2268)</f>
        <v>2268</v>
      </c>
      <c r="J661" s="235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</row>
    <row r="662" spans="1:26" ht="21" customHeight="1">
      <c r="A662" s="240" t="str">
        <f ca="1">IFERROR(__xludf.DUMMYFUNCTION("""COMPUTED_VALUE"""),"Paraíso")</f>
        <v>Paraíso</v>
      </c>
      <c r="B662" s="240" t="str">
        <f ca="1">IFERROR(__xludf.DUMMYFUNCTION("""COMPUTED_VALUE"""),"Barrolandia")</f>
        <v>Barrolandia</v>
      </c>
      <c r="C662" s="240" t="str">
        <f ca="1">IFERROR(__xludf.DUMMYFUNCTION("""COMPUTED_VALUE"""),"A..A. ESC. ESPECIAL AMOR DE DEUS")</f>
        <v>A..A. ESC. ESPECIAL AMOR DE DEUS</v>
      </c>
      <c r="D662" s="241" t="str">
        <f ca="1">IFERROR(__xludf.DUMMYFUNCTION("""COMPUTED_VALUE"""),"07935641000187")</f>
        <v>07935641000187</v>
      </c>
      <c r="E662" s="241" t="str">
        <f ca="1">IFERROR(__xludf.DUMMYFUNCTION("""COMPUTED_VALUE"""),"001")</f>
        <v>001</v>
      </c>
      <c r="F662" s="241" t="str">
        <f ca="1">IFERROR(__xludf.DUMMYFUNCTION("""COMPUTED_VALUE"""),"0804")</f>
        <v>0804</v>
      </c>
      <c r="G662" s="240" t="str">
        <f ca="1">IFERROR(__xludf.DUMMYFUNCTION("""COMPUTED_VALUE"""),"279501")</f>
        <v>279501</v>
      </c>
      <c r="H662" s="240" t="str">
        <f ca="1">IFERROR(__xludf.DUMMYFUNCTION("""COMPUTED_VALUE"""),"PRÉ-ESCOLA")</f>
        <v>PRÉ-ESCOLA</v>
      </c>
      <c r="I662" s="242">
        <f ca="1">IFERROR(__xludf.DUMMYFUNCTION("""COMPUTED_VALUE"""),273)</f>
        <v>273</v>
      </c>
      <c r="J662" s="235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</row>
    <row r="663" spans="1:26" ht="21" customHeight="1">
      <c r="A663" s="240" t="str">
        <f ca="1">IFERROR(__xludf.DUMMYFUNCTION("""COMPUTED_VALUE"""),"Paraíso")</f>
        <v>Paraíso</v>
      </c>
      <c r="B663" s="240" t="str">
        <f ca="1">IFERROR(__xludf.DUMMYFUNCTION("""COMPUTED_VALUE"""),"Barrolandia")</f>
        <v>Barrolandia</v>
      </c>
      <c r="C663" s="240" t="str">
        <f ca="1">IFERROR(__xludf.DUMMYFUNCTION("""COMPUTED_VALUE"""),"A..A. ESC. ESPECIAL AMOR DE DEUS")</f>
        <v>A..A. ESC. ESPECIAL AMOR DE DEUS</v>
      </c>
      <c r="D663" s="241" t="str">
        <f ca="1">IFERROR(__xludf.DUMMYFUNCTION("""COMPUTED_VALUE"""),"07935641000187")</f>
        <v>07935641000187</v>
      </c>
      <c r="E663" s="241" t="str">
        <f ca="1">IFERROR(__xludf.DUMMYFUNCTION("""COMPUTED_VALUE"""),"001")</f>
        <v>001</v>
      </c>
      <c r="F663" s="241" t="str">
        <f ca="1">IFERROR(__xludf.DUMMYFUNCTION("""COMPUTED_VALUE"""),"0804")</f>
        <v>0804</v>
      </c>
      <c r="G663" s="240" t="str">
        <f ca="1">IFERROR(__xludf.DUMMYFUNCTION("""COMPUTED_VALUE"""),"279501")</f>
        <v>279501</v>
      </c>
      <c r="H663" s="240" t="str">
        <f ca="1">IFERROR(__xludf.DUMMYFUNCTION("""COMPUTED_VALUE"""),"E.F. PARCIAL")</f>
        <v>E.F. PARCIAL</v>
      </c>
      <c r="I663" s="242">
        <f ca="1">IFERROR(__xludf.DUMMYFUNCTION("""COMPUTED_VALUE"""),210)</f>
        <v>210</v>
      </c>
      <c r="J663" s="235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</row>
    <row r="664" spans="1:26" ht="21" customHeight="1">
      <c r="A664" s="240" t="str">
        <f ca="1">IFERROR(__xludf.DUMMYFUNCTION("""COMPUTED_VALUE"""),"Paraíso")</f>
        <v>Paraíso</v>
      </c>
      <c r="B664" s="240" t="str">
        <f ca="1">IFERROR(__xludf.DUMMYFUNCTION("""COMPUTED_VALUE"""),"Barrolandia")</f>
        <v>Barrolandia</v>
      </c>
      <c r="C664" s="240" t="str">
        <f ca="1">IFERROR(__xludf.DUMMYFUNCTION("""COMPUTED_VALUE"""),"A..A. ESC. ESPECIAL AMOR DE DEUS")</f>
        <v>A..A. ESC. ESPECIAL AMOR DE DEUS</v>
      </c>
      <c r="D664" s="241" t="str">
        <f ca="1">IFERROR(__xludf.DUMMYFUNCTION("""COMPUTED_VALUE"""),"07935641000187")</f>
        <v>07935641000187</v>
      </c>
      <c r="E664" s="241" t="str">
        <f ca="1">IFERROR(__xludf.DUMMYFUNCTION("""COMPUTED_VALUE"""),"001")</f>
        <v>001</v>
      </c>
      <c r="F664" s="241" t="str">
        <f ca="1">IFERROR(__xludf.DUMMYFUNCTION("""COMPUTED_VALUE"""),"0804")</f>
        <v>0804</v>
      </c>
      <c r="G664" s="240" t="str">
        <f ca="1">IFERROR(__xludf.DUMMYFUNCTION("""COMPUTED_VALUE"""),"279501")</f>
        <v>279501</v>
      </c>
      <c r="H664" s="240" t="str">
        <f ca="1">IFERROR(__xludf.DUMMYFUNCTION("""COMPUTED_VALUE"""),"AEE")</f>
        <v>AEE</v>
      </c>
      <c r="I664" s="242">
        <f ca="1">IFERROR(__xludf.DUMMYFUNCTION("""COMPUTED_VALUE"""),252)</f>
        <v>252</v>
      </c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</row>
    <row r="665" spans="1:26" ht="21" customHeight="1">
      <c r="A665" s="240" t="str">
        <f ca="1">IFERROR(__xludf.DUMMYFUNCTION("""COMPUTED_VALUE"""),"Paraíso")</f>
        <v>Paraíso</v>
      </c>
      <c r="B665" s="240" t="str">
        <f ca="1">IFERROR(__xludf.DUMMYFUNCTION("""COMPUTED_VALUE"""),"Barrolandia")</f>
        <v>Barrolandia</v>
      </c>
      <c r="C665" s="240" t="str">
        <f ca="1">IFERROR(__xludf.DUMMYFUNCTION("""COMPUTED_VALUE"""),"A..A. ESC. ESPECIAL AMOR DE DEUS")</f>
        <v>A..A. ESC. ESPECIAL AMOR DE DEUS</v>
      </c>
      <c r="D665" s="241" t="str">
        <f ca="1">IFERROR(__xludf.DUMMYFUNCTION("""COMPUTED_VALUE"""),"07935641000187")</f>
        <v>07935641000187</v>
      </c>
      <c r="E665" s="241" t="str">
        <f ca="1">IFERROR(__xludf.DUMMYFUNCTION("""COMPUTED_VALUE"""),"001")</f>
        <v>001</v>
      </c>
      <c r="F665" s="241" t="str">
        <f ca="1">IFERROR(__xludf.DUMMYFUNCTION("""COMPUTED_VALUE"""),"0804")</f>
        <v>0804</v>
      </c>
      <c r="G665" s="240" t="str">
        <f ca="1">IFERROR(__xludf.DUMMYFUNCTION("""COMPUTED_VALUE"""),"279501")</f>
        <v>279501</v>
      </c>
      <c r="H665" s="240" t="str">
        <f ca="1">IFERROR(__xludf.DUMMYFUNCTION("""COMPUTED_VALUE"""),"EJA")</f>
        <v>EJA</v>
      </c>
      <c r="I665" s="242">
        <f ca="1">IFERROR(__xludf.DUMMYFUNCTION("""COMPUTED_VALUE"""),546)</f>
        <v>546</v>
      </c>
      <c r="J665" s="235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  <c r="Z665" s="235"/>
    </row>
    <row r="666" spans="1:26" ht="21" customHeight="1">
      <c r="A666" s="240" t="str">
        <f ca="1">IFERROR(__xludf.DUMMYFUNCTION("""COMPUTED_VALUE"""),"Paraíso")</f>
        <v>Paraíso</v>
      </c>
      <c r="B666" s="240" t="str">
        <f ca="1">IFERROR(__xludf.DUMMYFUNCTION("""COMPUTED_VALUE"""),"Caseara")</f>
        <v>Caseara</v>
      </c>
      <c r="C666" s="240" t="str">
        <f ca="1">IFERROR(__xludf.DUMMYFUNCTION("""COMPUTED_VALUE"""),"A.A. AO COLEGIO EST. TRAJANO DE ALMEIDA")</f>
        <v>A.A. AO COLEGIO EST. TRAJANO DE ALMEIDA</v>
      </c>
      <c r="D666" s="241" t="str">
        <f ca="1">IFERROR(__xludf.DUMMYFUNCTION("""COMPUTED_VALUE"""),"01136037000104")</f>
        <v>01136037000104</v>
      </c>
      <c r="E666" s="241" t="str">
        <f ca="1">IFERROR(__xludf.DUMMYFUNCTION("""COMPUTED_VALUE"""),"001")</f>
        <v>001</v>
      </c>
      <c r="F666" s="241" t="str">
        <f ca="1">IFERROR(__xludf.DUMMYFUNCTION("""COMPUTED_VALUE"""),"0804")</f>
        <v>0804</v>
      </c>
      <c r="G666" s="240" t="str">
        <f ca="1">IFERROR(__xludf.DUMMYFUNCTION("""COMPUTED_VALUE"""),"110558")</f>
        <v>110558</v>
      </c>
      <c r="H666" s="240" t="str">
        <f ca="1">IFERROR(__xludf.DUMMYFUNCTION("""COMPUTED_VALUE"""),"ENS MEDIO PARCIAL")</f>
        <v>ENS MEDIO PARCIAL</v>
      </c>
      <c r="I666" s="242">
        <f ca="1">IFERROR(__xludf.DUMMYFUNCTION("""COMPUTED_VALUE"""),4347)</f>
        <v>4347</v>
      </c>
      <c r="J666" s="235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</row>
    <row r="667" spans="1:26" ht="21" customHeight="1">
      <c r="A667" s="240" t="str">
        <f ca="1">IFERROR(__xludf.DUMMYFUNCTION("""COMPUTED_VALUE"""),"Paraíso")</f>
        <v>Paraíso</v>
      </c>
      <c r="B667" s="240" t="str">
        <f ca="1">IFERROR(__xludf.DUMMYFUNCTION("""COMPUTED_VALUE"""),"Caseara")</f>
        <v>Caseara</v>
      </c>
      <c r="C667" s="240" t="str">
        <f ca="1">IFERROR(__xludf.DUMMYFUNCTION("""COMPUTED_VALUE"""),"A. DE APOIO A ESC. EST. JOSE ALVES DE ASSIS")</f>
        <v>A. DE APOIO A ESC. EST. JOSE ALVES DE ASSIS</v>
      </c>
      <c r="D667" s="241" t="str">
        <f ca="1">IFERROR(__xludf.DUMMYFUNCTION("""COMPUTED_VALUE"""),"01138318000104")</f>
        <v>01138318000104</v>
      </c>
      <c r="E667" s="241" t="str">
        <f ca="1">IFERROR(__xludf.DUMMYFUNCTION("""COMPUTED_VALUE"""),"104")</f>
        <v>104</v>
      </c>
      <c r="F667" s="241" t="str">
        <f ca="1">IFERROR(__xludf.DUMMYFUNCTION("""COMPUTED_VALUE"""),"1141")</f>
        <v>1141</v>
      </c>
      <c r="G667" s="240" t="str">
        <f ca="1">IFERROR(__xludf.DUMMYFUNCTION("""COMPUTED_VALUE"""),"307968")</f>
        <v>307968</v>
      </c>
      <c r="H667" s="240" t="str">
        <f ca="1">IFERROR(__xludf.DUMMYFUNCTION("""COMPUTED_VALUE"""),"E.F. PARCIAL")</f>
        <v>E.F. PARCIAL</v>
      </c>
      <c r="I667" s="242">
        <f ca="1">IFERROR(__xludf.DUMMYFUNCTION("""COMPUTED_VALUE"""),7266)</f>
        <v>7266</v>
      </c>
      <c r="J667" s="235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</row>
    <row r="668" spans="1:26" ht="21" customHeight="1">
      <c r="A668" s="240" t="str">
        <f ca="1">IFERROR(__xludf.DUMMYFUNCTION("""COMPUTED_VALUE"""),"Paraíso")</f>
        <v>Paraíso</v>
      </c>
      <c r="B668" s="240" t="str">
        <f ca="1">IFERROR(__xludf.DUMMYFUNCTION("""COMPUTED_VALUE"""),"Cristalandia")</f>
        <v>Cristalandia</v>
      </c>
      <c r="C668" s="240" t="str">
        <f ca="1">IFERROR(__xludf.DUMMYFUNCTION("""COMPUTED_VALUE"""),"A.A. ESCOLA MUL.OTACILIO MARQUES ROSAL")</f>
        <v>A.A. ESCOLA MUL.OTACILIO MARQUES ROSAL</v>
      </c>
      <c r="D668" s="241" t="str">
        <f ca="1">IFERROR(__xludf.DUMMYFUNCTION("""COMPUTED_VALUE"""),"01071438000123")</f>
        <v>01071438000123</v>
      </c>
      <c r="E668" s="241" t="str">
        <f ca="1">IFERROR(__xludf.DUMMYFUNCTION("""COMPUTED_VALUE"""),"001")</f>
        <v>001</v>
      </c>
      <c r="F668" s="241" t="str">
        <f ca="1">IFERROR(__xludf.DUMMYFUNCTION("""COMPUTED_VALUE"""),"3638")</f>
        <v>3638</v>
      </c>
      <c r="G668" s="240" t="str">
        <f ca="1">IFERROR(__xludf.DUMMYFUNCTION("""COMPUTED_VALUE"""),"7120X")</f>
        <v>7120X</v>
      </c>
      <c r="H668" s="240" t="str">
        <f ca="1">IFERROR(__xludf.DUMMYFUNCTION("""COMPUTED_VALUE"""),"E.F. PARCIAL")</f>
        <v>E.F. PARCIAL</v>
      </c>
      <c r="I668" s="242">
        <f ca="1">IFERROR(__xludf.DUMMYFUNCTION("""COMPUTED_VALUE"""),5964)</f>
        <v>5964</v>
      </c>
      <c r="J668" s="235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</row>
    <row r="669" spans="1:26" ht="21" customHeight="1">
      <c r="A669" s="240" t="str">
        <f ca="1">IFERROR(__xludf.DUMMYFUNCTION("""COMPUTED_VALUE"""),"Paraíso")</f>
        <v>Paraíso</v>
      </c>
      <c r="B669" s="240" t="str">
        <f ca="1">IFERROR(__xludf.DUMMYFUNCTION("""COMPUTED_VALUE"""),"Cristalandia")</f>
        <v>Cristalandia</v>
      </c>
      <c r="C669" s="240" t="str">
        <f ca="1">IFERROR(__xludf.DUMMYFUNCTION("""COMPUTED_VALUE"""),"A.A. ESCOLA MUL.OTACILIO MARQUES ROSAL")</f>
        <v>A.A. ESCOLA MUL.OTACILIO MARQUES ROSAL</v>
      </c>
      <c r="D669" s="241" t="str">
        <f ca="1">IFERROR(__xludf.DUMMYFUNCTION("""COMPUTED_VALUE"""),"01071438000123")</f>
        <v>01071438000123</v>
      </c>
      <c r="E669" s="241" t="str">
        <f ca="1">IFERROR(__xludf.DUMMYFUNCTION("""COMPUTED_VALUE"""),"001")</f>
        <v>001</v>
      </c>
      <c r="F669" s="241" t="str">
        <f ca="1">IFERROR(__xludf.DUMMYFUNCTION("""COMPUTED_VALUE"""),"3638")</f>
        <v>3638</v>
      </c>
      <c r="G669" s="240" t="str">
        <f ca="1">IFERROR(__xludf.DUMMYFUNCTION("""COMPUTED_VALUE"""),"7120X")</f>
        <v>7120X</v>
      </c>
      <c r="H669" s="240" t="str">
        <f ca="1">IFERROR(__xludf.DUMMYFUNCTION("""COMPUTED_VALUE"""),"AEE")</f>
        <v>AEE</v>
      </c>
      <c r="I669" s="242">
        <f ca="1">IFERROR(__xludf.DUMMYFUNCTION("""COMPUTED_VALUE"""),273)</f>
        <v>273</v>
      </c>
      <c r="J669" s="235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</row>
    <row r="670" spans="1:26" ht="21" customHeight="1">
      <c r="A670" s="240" t="str">
        <f ca="1">IFERROR(__xludf.DUMMYFUNCTION("""COMPUTED_VALUE"""),"Paraíso")</f>
        <v>Paraíso</v>
      </c>
      <c r="B670" s="240" t="str">
        <f ca="1">IFERROR(__xludf.DUMMYFUNCTION("""COMPUTED_VALUE"""),"Cristalandia")</f>
        <v>Cristalandia</v>
      </c>
      <c r="C670" s="240" t="str">
        <f ca="1">IFERROR(__xludf.DUMMYFUNCTION("""COMPUTED_VALUE"""),"A.A. ESCOLA MUL.OTACILIO MARQUES ROSAL")</f>
        <v>A.A. ESCOLA MUL.OTACILIO MARQUES ROSAL</v>
      </c>
      <c r="D670" s="241" t="str">
        <f ca="1">IFERROR(__xludf.DUMMYFUNCTION("""COMPUTED_VALUE"""),"01071438000123")</f>
        <v>01071438000123</v>
      </c>
      <c r="E670" s="241" t="str">
        <f ca="1">IFERROR(__xludf.DUMMYFUNCTION("""COMPUTED_VALUE"""),"001")</f>
        <v>001</v>
      </c>
      <c r="F670" s="241" t="str">
        <f ca="1">IFERROR(__xludf.DUMMYFUNCTION("""COMPUTED_VALUE"""),"3638")</f>
        <v>3638</v>
      </c>
      <c r="G670" s="240" t="str">
        <f ca="1">IFERROR(__xludf.DUMMYFUNCTION("""COMPUTED_VALUE"""),"7120X")</f>
        <v>7120X</v>
      </c>
      <c r="H670" s="240" t="str">
        <f ca="1">IFERROR(__xludf.DUMMYFUNCTION("""COMPUTED_VALUE"""),"ENS MEDIO PARCIAL")</f>
        <v>ENS MEDIO PARCIAL</v>
      </c>
      <c r="I670" s="242">
        <f ca="1">IFERROR(__xludf.DUMMYFUNCTION("""COMPUTED_VALUE"""),1260)</f>
        <v>1260</v>
      </c>
      <c r="J670" s="235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</row>
    <row r="671" spans="1:26" ht="21" customHeight="1">
      <c r="A671" s="240" t="str">
        <f ca="1">IFERROR(__xludf.DUMMYFUNCTION("""COMPUTED_VALUE"""),"Paraíso")</f>
        <v>Paraíso</v>
      </c>
      <c r="B671" s="240" t="str">
        <f ca="1">IFERROR(__xludf.DUMMYFUNCTION("""COMPUTED_VALUE"""),"Cristalandia")</f>
        <v>Cristalandia</v>
      </c>
      <c r="C671" s="240" t="str">
        <f ca="1">IFERROR(__xludf.DUMMYFUNCTION("""COMPUTED_VALUE"""),"ASS. APOIO DO COL. EST. DE CRISTALANDIA")</f>
        <v>ASS. APOIO DO COL. EST. DE CRISTALANDIA</v>
      </c>
      <c r="D671" s="241" t="str">
        <f ca="1">IFERROR(__xludf.DUMMYFUNCTION("""COMPUTED_VALUE"""),"01186467000130")</f>
        <v>01186467000130</v>
      </c>
      <c r="E671" s="241" t="str">
        <f ca="1">IFERROR(__xludf.DUMMYFUNCTION("""COMPUTED_VALUE"""),"001")</f>
        <v>001</v>
      </c>
      <c r="F671" s="241" t="str">
        <f ca="1">IFERROR(__xludf.DUMMYFUNCTION("""COMPUTED_VALUE"""),"3638")</f>
        <v>3638</v>
      </c>
      <c r="G671" s="240" t="str">
        <f ca="1">IFERROR(__xludf.DUMMYFUNCTION("""COMPUTED_VALUE"""),"17469")</f>
        <v>17469</v>
      </c>
      <c r="H671" s="240" t="str">
        <f ca="1">IFERROR(__xludf.DUMMYFUNCTION("""COMPUTED_VALUE"""),"E.F. PARCIAL")</f>
        <v>E.F. PARCIAL</v>
      </c>
      <c r="I671" s="242">
        <f ca="1">IFERROR(__xludf.DUMMYFUNCTION("""COMPUTED_VALUE"""),4095)</f>
        <v>4095</v>
      </c>
      <c r="J671" s="235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</row>
    <row r="672" spans="1:26" ht="21" customHeight="1">
      <c r="A672" s="240" t="str">
        <f ca="1">IFERROR(__xludf.DUMMYFUNCTION("""COMPUTED_VALUE"""),"Paraíso")</f>
        <v>Paraíso</v>
      </c>
      <c r="B672" s="240" t="str">
        <f ca="1">IFERROR(__xludf.DUMMYFUNCTION("""COMPUTED_VALUE"""),"Cristalandia")</f>
        <v>Cristalandia</v>
      </c>
      <c r="C672" s="240" t="str">
        <f ca="1">IFERROR(__xludf.DUMMYFUNCTION("""COMPUTED_VALUE"""),"ASS. APOIO DO COL. EST. DE CRISTALANDIA")</f>
        <v>ASS. APOIO DO COL. EST. DE CRISTALANDIA</v>
      </c>
      <c r="D672" s="241" t="str">
        <f ca="1">IFERROR(__xludf.DUMMYFUNCTION("""COMPUTED_VALUE"""),"01186467000130")</f>
        <v>01186467000130</v>
      </c>
      <c r="E672" s="241" t="str">
        <f ca="1">IFERROR(__xludf.DUMMYFUNCTION("""COMPUTED_VALUE"""),"001")</f>
        <v>001</v>
      </c>
      <c r="F672" s="241" t="str">
        <f ca="1">IFERROR(__xludf.DUMMYFUNCTION("""COMPUTED_VALUE"""),"3638")</f>
        <v>3638</v>
      </c>
      <c r="G672" s="240" t="str">
        <f ca="1">IFERROR(__xludf.DUMMYFUNCTION("""COMPUTED_VALUE"""),"17469")</f>
        <v>17469</v>
      </c>
      <c r="H672" s="240" t="str">
        <f ca="1">IFERROR(__xludf.DUMMYFUNCTION("""COMPUTED_VALUE"""),"ENS MEDIO PARCIAL")</f>
        <v>ENS MEDIO PARCIAL</v>
      </c>
      <c r="I672" s="242">
        <f ca="1">IFERROR(__xludf.DUMMYFUNCTION("""COMPUTED_VALUE"""),4011)</f>
        <v>4011</v>
      </c>
      <c r="J672" s="235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</row>
    <row r="673" spans="1:26" ht="21" customHeight="1">
      <c r="A673" s="240" t="str">
        <f ca="1">IFERROR(__xludf.DUMMYFUNCTION("""COMPUTED_VALUE"""),"Paraíso")</f>
        <v>Paraíso</v>
      </c>
      <c r="B673" s="240" t="str">
        <f ca="1">IFERROR(__xludf.DUMMYFUNCTION("""COMPUTED_VALUE"""),"Cristalandia")</f>
        <v>Cristalandia</v>
      </c>
      <c r="C673" s="240" t="str">
        <f ca="1">IFERROR(__xludf.DUMMYFUNCTION("""COMPUTED_VALUE"""),"APAE DE CRISTALÂNDIA")</f>
        <v>APAE DE CRISTALÂNDIA</v>
      </c>
      <c r="D673" s="241" t="str">
        <f ca="1">IFERROR(__xludf.DUMMYFUNCTION("""COMPUTED_VALUE"""),"01995319000167")</f>
        <v>01995319000167</v>
      </c>
      <c r="E673" s="241" t="str">
        <f ca="1">IFERROR(__xludf.DUMMYFUNCTION("""COMPUTED_VALUE"""),"001")</f>
        <v>001</v>
      </c>
      <c r="F673" s="241" t="str">
        <f ca="1">IFERROR(__xludf.DUMMYFUNCTION("""COMPUTED_VALUE"""),"3638")</f>
        <v>3638</v>
      </c>
      <c r="G673" s="240" t="str">
        <f ca="1">IFERROR(__xludf.DUMMYFUNCTION("""COMPUTED_VALUE"""),"71315")</f>
        <v>71315</v>
      </c>
      <c r="H673" s="240" t="str">
        <f ca="1">IFERROR(__xludf.DUMMYFUNCTION("""COMPUTED_VALUE"""),"PRÉ-ESCOLA")</f>
        <v>PRÉ-ESCOLA</v>
      </c>
      <c r="I673" s="242">
        <f ca="1">IFERROR(__xludf.DUMMYFUNCTION("""COMPUTED_VALUE"""),105)</f>
        <v>105</v>
      </c>
      <c r="J673" s="235"/>
      <c r="K673" s="235"/>
      <c r="L673" s="235"/>
      <c r="M673" s="235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  <c r="Z673" s="235"/>
    </row>
    <row r="674" spans="1:26" ht="21" customHeight="1">
      <c r="A674" s="240" t="str">
        <f ca="1">IFERROR(__xludf.DUMMYFUNCTION("""COMPUTED_VALUE"""),"Paraíso")</f>
        <v>Paraíso</v>
      </c>
      <c r="B674" s="240" t="str">
        <f ca="1">IFERROR(__xludf.DUMMYFUNCTION("""COMPUTED_VALUE"""),"Cristalandia")</f>
        <v>Cristalandia</v>
      </c>
      <c r="C674" s="240" t="str">
        <f ca="1">IFERROR(__xludf.DUMMYFUNCTION("""COMPUTED_VALUE"""),"APAE DE CRISTALÂNDIA")</f>
        <v>APAE DE CRISTALÂNDIA</v>
      </c>
      <c r="D674" s="241" t="str">
        <f ca="1">IFERROR(__xludf.DUMMYFUNCTION("""COMPUTED_VALUE"""),"01995319000167")</f>
        <v>01995319000167</v>
      </c>
      <c r="E674" s="241" t="str">
        <f ca="1">IFERROR(__xludf.DUMMYFUNCTION("""COMPUTED_VALUE"""),"001")</f>
        <v>001</v>
      </c>
      <c r="F674" s="241" t="str">
        <f ca="1">IFERROR(__xludf.DUMMYFUNCTION("""COMPUTED_VALUE"""),"3638")</f>
        <v>3638</v>
      </c>
      <c r="G674" s="240" t="str">
        <f ca="1">IFERROR(__xludf.DUMMYFUNCTION("""COMPUTED_VALUE"""),"71315")</f>
        <v>71315</v>
      </c>
      <c r="H674" s="240" t="str">
        <f ca="1">IFERROR(__xludf.DUMMYFUNCTION("""COMPUTED_VALUE"""),"E.F. PARCIAL")</f>
        <v>E.F. PARCIAL</v>
      </c>
      <c r="I674" s="242">
        <f ca="1">IFERROR(__xludf.DUMMYFUNCTION("""COMPUTED_VALUE"""),63)</f>
        <v>63</v>
      </c>
      <c r="J674" s="235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</row>
    <row r="675" spans="1:26" ht="21" customHeight="1">
      <c r="A675" s="240" t="str">
        <f ca="1">IFERROR(__xludf.DUMMYFUNCTION("""COMPUTED_VALUE"""),"Paraíso")</f>
        <v>Paraíso</v>
      </c>
      <c r="B675" s="240" t="str">
        <f ca="1">IFERROR(__xludf.DUMMYFUNCTION("""COMPUTED_VALUE"""),"Cristalandia")</f>
        <v>Cristalandia</v>
      </c>
      <c r="C675" s="240" t="str">
        <f ca="1">IFERROR(__xludf.DUMMYFUNCTION("""COMPUTED_VALUE"""),"APAE DE CRISTALÂNDIA")</f>
        <v>APAE DE CRISTALÂNDIA</v>
      </c>
      <c r="D675" s="241" t="str">
        <f ca="1">IFERROR(__xludf.DUMMYFUNCTION("""COMPUTED_VALUE"""),"01995319000167")</f>
        <v>01995319000167</v>
      </c>
      <c r="E675" s="241" t="str">
        <f ca="1">IFERROR(__xludf.DUMMYFUNCTION("""COMPUTED_VALUE"""),"001")</f>
        <v>001</v>
      </c>
      <c r="F675" s="241" t="str">
        <f ca="1">IFERROR(__xludf.DUMMYFUNCTION("""COMPUTED_VALUE"""),"3638")</f>
        <v>3638</v>
      </c>
      <c r="G675" s="240" t="str">
        <f ca="1">IFERROR(__xludf.DUMMYFUNCTION("""COMPUTED_VALUE"""),"71315")</f>
        <v>71315</v>
      </c>
      <c r="H675" s="240" t="str">
        <f ca="1">IFERROR(__xludf.DUMMYFUNCTION("""COMPUTED_VALUE"""),"AEE")</f>
        <v>AEE</v>
      </c>
      <c r="I675" s="242">
        <f ca="1">IFERROR(__xludf.DUMMYFUNCTION("""COMPUTED_VALUE"""),609)</f>
        <v>609</v>
      </c>
      <c r="J675" s="235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</row>
    <row r="676" spans="1:26" ht="21" customHeight="1">
      <c r="A676" s="240" t="str">
        <f ca="1">IFERROR(__xludf.DUMMYFUNCTION("""COMPUTED_VALUE"""),"Paraíso")</f>
        <v>Paraíso</v>
      </c>
      <c r="B676" s="240" t="str">
        <f ca="1">IFERROR(__xludf.DUMMYFUNCTION("""COMPUTED_VALUE"""),"Cristalandia")</f>
        <v>Cristalandia</v>
      </c>
      <c r="C676" s="240" t="str">
        <f ca="1">IFERROR(__xludf.DUMMYFUNCTION("""COMPUTED_VALUE"""),"APAE DE CRISTALÂNDIA")</f>
        <v>APAE DE CRISTALÂNDIA</v>
      </c>
      <c r="D676" s="241" t="str">
        <f ca="1">IFERROR(__xludf.DUMMYFUNCTION("""COMPUTED_VALUE"""),"01995319000167")</f>
        <v>01995319000167</v>
      </c>
      <c r="E676" s="241" t="str">
        <f ca="1">IFERROR(__xludf.DUMMYFUNCTION("""COMPUTED_VALUE"""),"001")</f>
        <v>001</v>
      </c>
      <c r="F676" s="241" t="str">
        <f ca="1">IFERROR(__xludf.DUMMYFUNCTION("""COMPUTED_VALUE"""),"3638")</f>
        <v>3638</v>
      </c>
      <c r="G676" s="240" t="str">
        <f ca="1">IFERROR(__xludf.DUMMYFUNCTION("""COMPUTED_VALUE"""),"71315")</f>
        <v>71315</v>
      </c>
      <c r="H676" s="240" t="str">
        <f ca="1">IFERROR(__xludf.DUMMYFUNCTION("""COMPUTED_VALUE"""),"EJA")</f>
        <v>EJA</v>
      </c>
      <c r="I676" s="242">
        <f ca="1">IFERROR(__xludf.DUMMYFUNCTION("""COMPUTED_VALUE"""),630)</f>
        <v>630</v>
      </c>
      <c r="J676" s="235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</row>
    <row r="677" spans="1:26" ht="21" customHeight="1">
      <c r="A677" s="240" t="str">
        <f ca="1">IFERROR(__xludf.DUMMYFUNCTION("""COMPUTED_VALUE"""),"Paraíso")</f>
        <v>Paraíso</v>
      </c>
      <c r="B677" s="240" t="str">
        <f ca="1">IFERROR(__xludf.DUMMYFUNCTION("""COMPUTED_VALUE"""),"Divinopolis do Tocantins")</f>
        <v>Divinopolis do Tocantins</v>
      </c>
      <c r="C677" s="240" t="str">
        <f ca="1">IFERROR(__xludf.DUMMYFUNCTION("""COMPUTED_VALUE"""),"A.A. DO COLEGIO MUL. JOAO DIAS SOBRINHO")</f>
        <v>A.A. DO COLEGIO MUL. JOAO DIAS SOBRINHO</v>
      </c>
      <c r="D677" s="241" t="str">
        <f ca="1">IFERROR(__xludf.DUMMYFUNCTION("""COMPUTED_VALUE"""),"01184383000168")</f>
        <v>01184383000168</v>
      </c>
      <c r="E677" s="241" t="str">
        <f ca="1">IFERROR(__xludf.DUMMYFUNCTION("""COMPUTED_VALUE"""),"001")</f>
        <v>001</v>
      </c>
      <c r="F677" s="241" t="str">
        <f ca="1">IFERROR(__xludf.DUMMYFUNCTION("""COMPUTED_VALUE"""),"3812")</f>
        <v>3812</v>
      </c>
      <c r="G677" s="240" t="str">
        <f ca="1">IFERROR(__xludf.DUMMYFUNCTION("""COMPUTED_VALUE"""),"275069")</f>
        <v>275069</v>
      </c>
      <c r="H677" s="240" t="str">
        <f ca="1">IFERROR(__xludf.DUMMYFUNCTION("""COMPUTED_VALUE"""),"E.F. PARCIAL")</f>
        <v>E.F. PARCIAL</v>
      </c>
      <c r="I677" s="242">
        <f ca="1">IFERROR(__xludf.DUMMYFUNCTION("""COMPUTED_VALUE"""),5859)</f>
        <v>5859</v>
      </c>
      <c r="J677" s="235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</row>
    <row r="678" spans="1:26" ht="21" customHeight="1">
      <c r="A678" s="240" t="str">
        <f ca="1">IFERROR(__xludf.DUMMYFUNCTION("""COMPUTED_VALUE"""),"Paraíso")</f>
        <v>Paraíso</v>
      </c>
      <c r="B678" s="240" t="str">
        <f ca="1">IFERROR(__xludf.DUMMYFUNCTION("""COMPUTED_VALUE"""),"Divinopolis do Tocantins")</f>
        <v>Divinopolis do Tocantins</v>
      </c>
      <c r="C678" s="240" t="str">
        <f ca="1">IFERROR(__xludf.DUMMYFUNCTION("""COMPUTED_VALUE"""),"A.A. DO COLEGIO MUL. JOAO DIAS SOBRINHO")</f>
        <v>A.A. DO COLEGIO MUL. JOAO DIAS SOBRINHO</v>
      </c>
      <c r="D678" s="241" t="str">
        <f ca="1">IFERROR(__xludf.DUMMYFUNCTION("""COMPUTED_VALUE"""),"01184383000168")</f>
        <v>01184383000168</v>
      </c>
      <c r="E678" s="241" t="str">
        <f ca="1">IFERROR(__xludf.DUMMYFUNCTION("""COMPUTED_VALUE"""),"001")</f>
        <v>001</v>
      </c>
      <c r="F678" s="241" t="str">
        <f ca="1">IFERROR(__xludf.DUMMYFUNCTION("""COMPUTED_VALUE"""),"3812")</f>
        <v>3812</v>
      </c>
      <c r="G678" s="240" t="str">
        <f ca="1">IFERROR(__xludf.DUMMYFUNCTION("""COMPUTED_VALUE"""),"275069")</f>
        <v>275069</v>
      </c>
      <c r="H678" s="240" t="str">
        <f ca="1">IFERROR(__xludf.DUMMYFUNCTION("""COMPUTED_VALUE"""),"ENS MEDIO PARCIAL")</f>
        <v>ENS MEDIO PARCIAL</v>
      </c>
      <c r="I678" s="242">
        <f ca="1">IFERROR(__xludf.DUMMYFUNCTION("""COMPUTED_VALUE"""),5145)</f>
        <v>5145</v>
      </c>
      <c r="J678" s="235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</row>
    <row r="679" spans="1:26" ht="21" customHeight="1">
      <c r="A679" s="240" t="str">
        <f ca="1">IFERROR(__xludf.DUMMYFUNCTION("""COMPUTED_VALUE"""),"Paraíso")</f>
        <v>Paraíso</v>
      </c>
      <c r="B679" s="240" t="str">
        <f ca="1">IFERROR(__xludf.DUMMYFUNCTION("""COMPUTED_VALUE"""),"Divinopolis do Tocantins")</f>
        <v>Divinopolis do Tocantins</v>
      </c>
      <c r="C679" s="240" t="str">
        <f ca="1">IFERROR(__xludf.DUMMYFUNCTION("""COMPUTED_VALUE"""),"A.A. DO COLEGIO MUL. JOAO DIAS SOBRINHO")</f>
        <v>A.A. DO COLEGIO MUL. JOAO DIAS SOBRINHO</v>
      </c>
      <c r="D679" s="241" t="str">
        <f ca="1">IFERROR(__xludf.DUMMYFUNCTION("""COMPUTED_VALUE"""),"01184383000168")</f>
        <v>01184383000168</v>
      </c>
      <c r="E679" s="241" t="str">
        <f ca="1">IFERROR(__xludf.DUMMYFUNCTION("""COMPUTED_VALUE"""),"001")</f>
        <v>001</v>
      </c>
      <c r="F679" s="241" t="str">
        <f ca="1">IFERROR(__xludf.DUMMYFUNCTION("""COMPUTED_VALUE"""),"3812")</f>
        <v>3812</v>
      </c>
      <c r="G679" s="240" t="str">
        <f ca="1">IFERROR(__xludf.DUMMYFUNCTION("""COMPUTED_VALUE"""),"275069")</f>
        <v>275069</v>
      </c>
      <c r="H679" s="240" t="str">
        <f ca="1">IFERROR(__xludf.DUMMYFUNCTION("""COMPUTED_VALUE"""),"EJA")</f>
        <v>EJA</v>
      </c>
      <c r="I679" s="242">
        <f ca="1">IFERROR(__xludf.DUMMYFUNCTION("""COMPUTED_VALUE"""),714)</f>
        <v>714</v>
      </c>
      <c r="J679" s="235"/>
      <c r="K679" s="235"/>
      <c r="L679" s="235"/>
      <c r="M679" s="235"/>
      <c r="N679" s="235"/>
      <c r="O679" s="235"/>
      <c r="P679" s="235"/>
      <c r="Q679" s="235"/>
      <c r="R679" s="235"/>
      <c r="S679" s="235"/>
      <c r="T679" s="235"/>
      <c r="U679" s="235"/>
      <c r="V679" s="235"/>
      <c r="W679" s="235"/>
      <c r="X679" s="235"/>
      <c r="Y679" s="235"/>
      <c r="Z679" s="235"/>
    </row>
    <row r="680" spans="1:26" ht="21" customHeight="1">
      <c r="A680" s="240" t="str">
        <f ca="1">IFERROR(__xludf.DUMMYFUNCTION("""COMPUTED_VALUE"""),"Paraíso")</f>
        <v>Paraíso</v>
      </c>
      <c r="B680" s="240" t="str">
        <f ca="1">IFERROR(__xludf.DUMMYFUNCTION("""COMPUTED_VALUE"""),"Divinopolis do Tocantins")</f>
        <v>Divinopolis do Tocantins</v>
      </c>
      <c r="C680" s="240" t="str">
        <f ca="1">IFERROR(__xludf.DUMMYFUNCTION("""COMPUTED_VALUE"""),"ASS. APOIO ESC. EST. D. CANDIDA DE FREITAS")</f>
        <v>ASS. APOIO ESC. EST. D. CANDIDA DE FREITAS</v>
      </c>
      <c r="D680" s="241" t="str">
        <f ca="1">IFERROR(__xludf.DUMMYFUNCTION("""COMPUTED_VALUE"""),"01296363000189")</f>
        <v>01296363000189</v>
      </c>
      <c r="E680" s="241" t="str">
        <f ca="1">IFERROR(__xludf.DUMMYFUNCTION("""COMPUTED_VALUE"""),"001")</f>
        <v>001</v>
      </c>
      <c r="F680" s="241" t="str">
        <f ca="1">IFERROR(__xludf.DUMMYFUNCTION("""COMPUTED_VALUE"""),"3812")</f>
        <v>3812</v>
      </c>
      <c r="G680" s="240" t="str">
        <f ca="1">IFERROR(__xludf.DUMMYFUNCTION("""COMPUTED_VALUE"""),"70629")</f>
        <v>70629</v>
      </c>
      <c r="H680" s="240" t="str">
        <f ca="1">IFERROR(__xludf.DUMMYFUNCTION("""COMPUTED_VALUE"""),"E.F. PARCIAL")</f>
        <v>E.F. PARCIAL</v>
      </c>
      <c r="I680" s="242">
        <f ca="1">IFERROR(__xludf.DUMMYFUNCTION("""COMPUTED_VALUE"""),4305)</f>
        <v>4305</v>
      </c>
      <c r="J680" s="235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</row>
    <row r="681" spans="1:26" ht="21" customHeight="1">
      <c r="A681" s="240" t="str">
        <f ca="1">IFERROR(__xludf.DUMMYFUNCTION("""COMPUTED_VALUE"""),"Paraíso")</f>
        <v>Paraíso</v>
      </c>
      <c r="B681" s="240" t="str">
        <f ca="1">IFERROR(__xludf.DUMMYFUNCTION("""COMPUTED_VALUE"""),"Divinopolis do Tocantins")</f>
        <v>Divinopolis do Tocantins</v>
      </c>
      <c r="C681" s="240" t="str">
        <f ca="1">IFERROR(__xludf.DUMMYFUNCTION("""COMPUTED_VALUE"""),"ASS. APOIO ESC. EST. D. CANDIDA DE FREITAS")</f>
        <v>ASS. APOIO ESC. EST. D. CANDIDA DE FREITAS</v>
      </c>
      <c r="D681" s="241" t="str">
        <f ca="1">IFERROR(__xludf.DUMMYFUNCTION("""COMPUTED_VALUE"""),"01296363000189")</f>
        <v>01296363000189</v>
      </c>
      <c r="E681" s="241" t="str">
        <f ca="1">IFERROR(__xludf.DUMMYFUNCTION("""COMPUTED_VALUE"""),"001")</f>
        <v>001</v>
      </c>
      <c r="F681" s="241" t="str">
        <f ca="1">IFERROR(__xludf.DUMMYFUNCTION("""COMPUTED_VALUE"""),"3812")</f>
        <v>3812</v>
      </c>
      <c r="G681" s="240" t="str">
        <f ca="1">IFERROR(__xludf.DUMMYFUNCTION("""COMPUTED_VALUE"""),"70629")</f>
        <v>70629</v>
      </c>
      <c r="H681" s="240" t="str">
        <f ca="1">IFERROR(__xludf.DUMMYFUNCTION("""COMPUTED_VALUE"""),"EJA")</f>
        <v>EJA</v>
      </c>
      <c r="I681" s="242">
        <f ca="1">IFERROR(__xludf.DUMMYFUNCTION("""COMPUTED_VALUE"""),315)</f>
        <v>315</v>
      </c>
      <c r="J681" s="235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</row>
    <row r="682" spans="1:26" ht="21" customHeight="1">
      <c r="A682" s="240" t="str">
        <f ca="1">IFERROR(__xludf.DUMMYFUNCTION("""COMPUTED_VALUE"""),"Paraíso")</f>
        <v>Paraíso</v>
      </c>
      <c r="B682" s="240" t="str">
        <f ca="1">IFERROR(__xludf.DUMMYFUNCTION("""COMPUTED_VALUE"""),"Lagoa da Confusao")</f>
        <v>Lagoa da Confusao</v>
      </c>
      <c r="C682" s="240" t="str">
        <f ca="1">IFERROR(__xludf.DUMMYFUNCTION("""COMPUTED_VALUE"""),"A.A.  ESTUD COL. EST. LAGOA DA CONFUSAO")</f>
        <v>A.A.  ESTUD COL. EST. LAGOA DA CONFUSAO</v>
      </c>
      <c r="D682" s="241" t="str">
        <f ca="1">IFERROR(__xludf.DUMMYFUNCTION("""COMPUTED_VALUE"""),"01179116000100")</f>
        <v>01179116000100</v>
      </c>
      <c r="E682" s="241" t="str">
        <f ca="1">IFERROR(__xludf.DUMMYFUNCTION("""COMPUTED_VALUE"""),"001")</f>
        <v>001</v>
      </c>
      <c r="F682" s="241" t="str">
        <f ca="1">IFERROR(__xludf.DUMMYFUNCTION("""COMPUTED_VALUE"""),"3983")</f>
        <v>3983</v>
      </c>
      <c r="G682" s="240" t="str">
        <f ca="1">IFERROR(__xludf.DUMMYFUNCTION("""COMPUTED_VALUE"""),"84735")</f>
        <v>84735</v>
      </c>
      <c r="H682" s="240" t="str">
        <f ca="1">IFERROR(__xludf.DUMMYFUNCTION("""COMPUTED_VALUE"""),"E.F. PARCIAL")</f>
        <v>E.F. PARCIAL</v>
      </c>
      <c r="I682" s="242">
        <f ca="1">IFERROR(__xludf.DUMMYFUNCTION("""COMPUTED_VALUE"""),1827)</f>
        <v>1827</v>
      </c>
      <c r="J682" s="235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</row>
    <row r="683" spans="1:26" ht="21" customHeight="1">
      <c r="A683" s="240" t="str">
        <f ca="1">IFERROR(__xludf.DUMMYFUNCTION("""COMPUTED_VALUE"""),"Paraíso")</f>
        <v>Paraíso</v>
      </c>
      <c r="B683" s="240" t="str">
        <f ca="1">IFERROR(__xludf.DUMMYFUNCTION("""COMPUTED_VALUE"""),"Lagoa da Confusao")</f>
        <v>Lagoa da Confusao</v>
      </c>
      <c r="C683" s="240" t="str">
        <f ca="1">IFERROR(__xludf.DUMMYFUNCTION("""COMPUTED_VALUE"""),"A.A.  ESTUD COL. EST. LAGOA DA CONFUSAO")</f>
        <v>A.A.  ESTUD COL. EST. LAGOA DA CONFUSAO</v>
      </c>
      <c r="D683" s="241" t="str">
        <f ca="1">IFERROR(__xludf.DUMMYFUNCTION("""COMPUTED_VALUE"""),"01179116000100")</f>
        <v>01179116000100</v>
      </c>
      <c r="E683" s="241" t="str">
        <f ca="1">IFERROR(__xludf.DUMMYFUNCTION("""COMPUTED_VALUE"""),"001")</f>
        <v>001</v>
      </c>
      <c r="F683" s="241" t="str">
        <f ca="1">IFERROR(__xludf.DUMMYFUNCTION("""COMPUTED_VALUE"""),"3983")</f>
        <v>3983</v>
      </c>
      <c r="G683" s="240" t="str">
        <f ca="1">IFERROR(__xludf.DUMMYFUNCTION("""COMPUTED_VALUE"""),"84735")</f>
        <v>84735</v>
      </c>
      <c r="H683" s="240" t="str">
        <f ca="1">IFERROR(__xludf.DUMMYFUNCTION("""COMPUTED_VALUE"""),"ENS MEDIO PARCIAL")</f>
        <v>ENS MEDIO PARCIAL</v>
      </c>
      <c r="I683" s="242">
        <f ca="1">IFERROR(__xludf.DUMMYFUNCTION("""COMPUTED_VALUE"""),10962)</f>
        <v>10962</v>
      </c>
      <c r="J683" s="235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</row>
    <row r="684" spans="1:26" ht="21" customHeight="1">
      <c r="A684" s="240" t="str">
        <f ca="1">IFERROR(__xludf.DUMMYFUNCTION("""COMPUTED_VALUE"""),"Paraíso")</f>
        <v>Paraíso</v>
      </c>
      <c r="B684" s="240" t="str">
        <f ca="1">IFERROR(__xludf.DUMMYFUNCTION("""COMPUTED_VALUE"""),"Lagoa da Confusao")</f>
        <v>Lagoa da Confusao</v>
      </c>
      <c r="C684" s="240" t="str">
        <f ca="1">IFERROR(__xludf.DUMMYFUNCTION("""COMPUTED_VALUE"""),"A.A.  ESTUD COL. EST. LAGOA DA CONFUSAO")</f>
        <v>A.A.  ESTUD COL. EST. LAGOA DA CONFUSAO</v>
      </c>
      <c r="D684" s="241" t="str">
        <f ca="1">IFERROR(__xludf.DUMMYFUNCTION("""COMPUTED_VALUE"""),"01179116000100")</f>
        <v>01179116000100</v>
      </c>
      <c r="E684" s="241" t="str">
        <f ca="1">IFERROR(__xludf.DUMMYFUNCTION("""COMPUTED_VALUE"""),"001")</f>
        <v>001</v>
      </c>
      <c r="F684" s="241" t="str">
        <f ca="1">IFERROR(__xludf.DUMMYFUNCTION("""COMPUTED_VALUE"""),"3983")</f>
        <v>3983</v>
      </c>
      <c r="G684" s="240" t="str">
        <f ca="1">IFERROR(__xludf.DUMMYFUNCTION("""COMPUTED_VALUE"""),"84735")</f>
        <v>84735</v>
      </c>
      <c r="H684" s="240" t="str">
        <f ca="1">IFERROR(__xludf.DUMMYFUNCTION("""COMPUTED_VALUE"""),"EJA")</f>
        <v>EJA</v>
      </c>
      <c r="I684" s="242">
        <f ca="1">IFERROR(__xludf.DUMMYFUNCTION("""COMPUTED_VALUE"""),294)</f>
        <v>294</v>
      </c>
      <c r="J684" s="235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</row>
    <row r="685" spans="1:26" ht="21" customHeight="1">
      <c r="A685" s="240" t="str">
        <f ca="1">IFERROR(__xludf.DUMMYFUNCTION("""COMPUTED_VALUE"""),"Paraíso")</f>
        <v>Paraíso</v>
      </c>
      <c r="B685" s="240" t="str">
        <f ca="1">IFERROR(__xludf.DUMMYFUNCTION("""COMPUTED_VALUE"""),"Lagoa da Confusao")</f>
        <v>Lagoa da Confusao</v>
      </c>
      <c r="C685" s="240" t="str">
        <f ca="1">IFERROR(__xludf.DUMMYFUNCTION("""COMPUTED_VALUE"""),"ASSOCIAÇÃO DA ESCOLA ESPECIAL LAGOA DA CONFUSÃO")</f>
        <v>ASSOCIAÇÃO DA ESCOLA ESPECIAL LAGOA DA CONFUSÃO</v>
      </c>
      <c r="D685" s="241" t="str">
        <f ca="1">IFERROR(__xludf.DUMMYFUNCTION("""COMPUTED_VALUE"""),"08755554000100")</f>
        <v>08755554000100</v>
      </c>
      <c r="E685" s="241" t="str">
        <f ca="1">IFERROR(__xludf.DUMMYFUNCTION("""COMPUTED_VALUE"""),"001")</f>
        <v>001</v>
      </c>
      <c r="F685" s="241" t="str">
        <f ca="1">IFERROR(__xludf.DUMMYFUNCTION("""COMPUTED_VALUE"""),"3983")</f>
        <v>3983</v>
      </c>
      <c r="G685" s="240" t="str">
        <f ca="1">IFERROR(__xludf.DUMMYFUNCTION("""COMPUTED_VALUE"""),"83712")</f>
        <v>83712</v>
      </c>
      <c r="H685" s="240" t="str">
        <f ca="1">IFERROR(__xludf.DUMMYFUNCTION("""COMPUTED_VALUE"""),"PRÉ-ESCOLA")</f>
        <v>PRÉ-ESCOLA</v>
      </c>
      <c r="I685" s="242">
        <f ca="1">IFERROR(__xludf.DUMMYFUNCTION("""COMPUTED_VALUE"""),42)</f>
        <v>42</v>
      </c>
      <c r="J685" s="235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</row>
    <row r="686" spans="1:26" ht="21" customHeight="1">
      <c r="A686" s="240" t="str">
        <f ca="1">IFERROR(__xludf.DUMMYFUNCTION("""COMPUTED_VALUE"""),"Paraíso")</f>
        <v>Paraíso</v>
      </c>
      <c r="B686" s="240" t="str">
        <f ca="1">IFERROR(__xludf.DUMMYFUNCTION("""COMPUTED_VALUE"""),"Lagoa da Confusao")</f>
        <v>Lagoa da Confusao</v>
      </c>
      <c r="C686" s="240" t="str">
        <f ca="1">IFERROR(__xludf.DUMMYFUNCTION("""COMPUTED_VALUE"""),"ASSOCIAÇÃO DA ESCOLA ESPECIAL LAGOA DA CONFUSÃO")</f>
        <v>ASSOCIAÇÃO DA ESCOLA ESPECIAL LAGOA DA CONFUSÃO</v>
      </c>
      <c r="D686" s="241" t="str">
        <f ca="1">IFERROR(__xludf.DUMMYFUNCTION("""COMPUTED_VALUE"""),"08755554000100")</f>
        <v>08755554000100</v>
      </c>
      <c r="E686" s="241" t="str">
        <f ca="1">IFERROR(__xludf.DUMMYFUNCTION("""COMPUTED_VALUE"""),"001")</f>
        <v>001</v>
      </c>
      <c r="F686" s="241" t="str">
        <f ca="1">IFERROR(__xludf.DUMMYFUNCTION("""COMPUTED_VALUE"""),"3983")</f>
        <v>3983</v>
      </c>
      <c r="G686" s="240" t="str">
        <f ca="1">IFERROR(__xludf.DUMMYFUNCTION("""COMPUTED_VALUE"""),"83712")</f>
        <v>83712</v>
      </c>
      <c r="H686" s="240" t="str">
        <f ca="1">IFERROR(__xludf.DUMMYFUNCTION("""COMPUTED_VALUE"""),"E.F. PARCIAL")</f>
        <v>E.F. PARCIAL</v>
      </c>
      <c r="I686" s="242">
        <f ca="1">IFERROR(__xludf.DUMMYFUNCTION("""COMPUTED_VALUE"""),189)</f>
        <v>189</v>
      </c>
      <c r="J686" s="235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</row>
    <row r="687" spans="1:26" ht="21" customHeight="1">
      <c r="A687" s="240" t="str">
        <f ca="1">IFERROR(__xludf.DUMMYFUNCTION("""COMPUTED_VALUE"""),"Paraíso")</f>
        <v>Paraíso</v>
      </c>
      <c r="B687" s="240" t="str">
        <f ca="1">IFERROR(__xludf.DUMMYFUNCTION("""COMPUTED_VALUE"""),"Lagoa da Confusao")</f>
        <v>Lagoa da Confusao</v>
      </c>
      <c r="C687" s="240" t="str">
        <f ca="1">IFERROR(__xludf.DUMMYFUNCTION("""COMPUTED_VALUE"""),"ASSOCIAÇÃO DA ESCOLA ESPECIAL LAGOA DA CONFUSÃO")</f>
        <v>ASSOCIAÇÃO DA ESCOLA ESPECIAL LAGOA DA CONFUSÃO</v>
      </c>
      <c r="D687" s="241" t="str">
        <f ca="1">IFERROR(__xludf.DUMMYFUNCTION("""COMPUTED_VALUE"""),"08755554000100")</f>
        <v>08755554000100</v>
      </c>
      <c r="E687" s="241" t="str">
        <f ca="1">IFERROR(__xludf.DUMMYFUNCTION("""COMPUTED_VALUE"""),"001")</f>
        <v>001</v>
      </c>
      <c r="F687" s="241" t="str">
        <f ca="1">IFERROR(__xludf.DUMMYFUNCTION("""COMPUTED_VALUE"""),"3983")</f>
        <v>3983</v>
      </c>
      <c r="G687" s="240" t="str">
        <f ca="1">IFERROR(__xludf.DUMMYFUNCTION("""COMPUTED_VALUE"""),"83712")</f>
        <v>83712</v>
      </c>
      <c r="H687" s="240" t="str">
        <f ca="1">IFERROR(__xludf.DUMMYFUNCTION("""COMPUTED_VALUE"""),"AEE")</f>
        <v>AEE</v>
      </c>
      <c r="I687" s="242">
        <f ca="1">IFERROR(__xludf.DUMMYFUNCTION("""COMPUTED_VALUE"""),567)</f>
        <v>567</v>
      </c>
      <c r="J687" s="235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</row>
    <row r="688" spans="1:26" ht="21" customHeight="1">
      <c r="A688" s="240" t="str">
        <f ca="1">IFERROR(__xludf.DUMMYFUNCTION("""COMPUTED_VALUE"""),"Paraíso")</f>
        <v>Paraíso</v>
      </c>
      <c r="B688" s="240" t="str">
        <f ca="1">IFERROR(__xludf.DUMMYFUNCTION("""COMPUTED_VALUE"""),"Lagoa da Confusao")</f>
        <v>Lagoa da Confusao</v>
      </c>
      <c r="C688" s="240" t="str">
        <f ca="1">IFERROR(__xludf.DUMMYFUNCTION("""COMPUTED_VALUE"""),"ASSOCIAÇÃO DA ESCOLA ESPECIAL LAGOA DA CONFUSÃO")</f>
        <v>ASSOCIAÇÃO DA ESCOLA ESPECIAL LAGOA DA CONFUSÃO</v>
      </c>
      <c r="D688" s="241" t="str">
        <f ca="1">IFERROR(__xludf.DUMMYFUNCTION("""COMPUTED_VALUE"""),"08755554000100")</f>
        <v>08755554000100</v>
      </c>
      <c r="E688" s="241" t="str">
        <f ca="1">IFERROR(__xludf.DUMMYFUNCTION("""COMPUTED_VALUE"""),"001")</f>
        <v>001</v>
      </c>
      <c r="F688" s="241" t="str">
        <f ca="1">IFERROR(__xludf.DUMMYFUNCTION("""COMPUTED_VALUE"""),"3983")</f>
        <v>3983</v>
      </c>
      <c r="G688" s="240" t="str">
        <f ca="1">IFERROR(__xludf.DUMMYFUNCTION("""COMPUTED_VALUE"""),"83712")</f>
        <v>83712</v>
      </c>
      <c r="H688" s="240" t="str">
        <f ca="1">IFERROR(__xludf.DUMMYFUNCTION("""COMPUTED_VALUE"""),"EJA")</f>
        <v>EJA</v>
      </c>
      <c r="I688" s="242">
        <f ca="1">IFERROR(__xludf.DUMMYFUNCTION("""COMPUTED_VALUE"""),315)</f>
        <v>315</v>
      </c>
      <c r="J688" s="235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</row>
    <row r="689" spans="1:26" ht="21" customHeight="1">
      <c r="A689" s="240" t="str">
        <f ca="1">IFERROR(__xludf.DUMMYFUNCTION("""COMPUTED_VALUE"""),"Paraíso")</f>
        <v>Paraíso</v>
      </c>
      <c r="B689" s="240" t="str">
        <f ca="1">IFERROR(__xludf.DUMMYFUNCTION("""COMPUTED_VALUE"""),"Marianopolis do Tocantins")</f>
        <v>Marianopolis do Tocantins</v>
      </c>
      <c r="C689" s="240" t="str">
        <f ca="1">IFERROR(__xludf.DUMMYFUNCTION("""COMPUTED_VALUE"""),"A.A. DO COL. EST. DAVID BARBOSA ROLINS")</f>
        <v>A.A. DO COL. EST. DAVID BARBOSA ROLINS</v>
      </c>
      <c r="D689" s="241" t="str">
        <f ca="1">IFERROR(__xludf.DUMMYFUNCTION("""COMPUTED_VALUE"""),"01980050000145")</f>
        <v>01980050000145</v>
      </c>
      <c r="E689" s="241" t="str">
        <f ca="1">IFERROR(__xludf.DUMMYFUNCTION("""COMPUTED_VALUE"""),"001")</f>
        <v>001</v>
      </c>
      <c r="F689" s="241" t="str">
        <f ca="1">IFERROR(__xludf.DUMMYFUNCTION("""COMPUTED_VALUE"""),"0804")</f>
        <v>0804</v>
      </c>
      <c r="G689" s="240" t="str">
        <f ca="1">IFERROR(__xludf.DUMMYFUNCTION("""COMPUTED_VALUE"""),"219045")</f>
        <v>219045</v>
      </c>
      <c r="H689" s="240" t="str">
        <f ca="1">IFERROR(__xludf.DUMMYFUNCTION("""COMPUTED_VALUE"""),"E.F. PARCIAL")</f>
        <v>E.F. PARCIAL</v>
      </c>
      <c r="I689" s="242">
        <f ca="1">IFERROR(__xludf.DUMMYFUNCTION("""COMPUTED_VALUE"""),2226)</f>
        <v>2226</v>
      </c>
      <c r="J689" s="235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</row>
    <row r="690" spans="1:26" ht="21" customHeight="1">
      <c r="A690" s="240" t="str">
        <f ca="1">IFERROR(__xludf.DUMMYFUNCTION("""COMPUTED_VALUE"""),"Paraíso")</f>
        <v>Paraíso</v>
      </c>
      <c r="B690" s="240" t="str">
        <f ca="1">IFERROR(__xludf.DUMMYFUNCTION("""COMPUTED_VALUE"""),"Marianopolis do Tocantins")</f>
        <v>Marianopolis do Tocantins</v>
      </c>
      <c r="C690" s="240" t="str">
        <f ca="1">IFERROR(__xludf.DUMMYFUNCTION("""COMPUTED_VALUE"""),"A.A. DO COL. EST. DAVID BARBOSA ROLINS")</f>
        <v>A.A. DO COL. EST. DAVID BARBOSA ROLINS</v>
      </c>
      <c r="D690" s="241" t="str">
        <f ca="1">IFERROR(__xludf.DUMMYFUNCTION("""COMPUTED_VALUE"""),"01980050000145")</f>
        <v>01980050000145</v>
      </c>
      <c r="E690" s="241" t="str">
        <f ca="1">IFERROR(__xludf.DUMMYFUNCTION("""COMPUTED_VALUE"""),"001")</f>
        <v>001</v>
      </c>
      <c r="F690" s="241" t="str">
        <f ca="1">IFERROR(__xludf.DUMMYFUNCTION("""COMPUTED_VALUE"""),"0804")</f>
        <v>0804</v>
      </c>
      <c r="G690" s="240" t="str">
        <f ca="1">IFERROR(__xludf.DUMMYFUNCTION("""COMPUTED_VALUE"""),"219045")</f>
        <v>219045</v>
      </c>
      <c r="H690" s="240" t="str">
        <f ca="1">IFERROR(__xludf.DUMMYFUNCTION("""COMPUTED_VALUE"""),"ENS MEDIO PARCIAL")</f>
        <v>ENS MEDIO PARCIAL</v>
      </c>
      <c r="I690" s="242">
        <f ca="1">IFERROR(__xludf.DUMMYFUNCTION("""COMPUTED_VALUE"""),3885)</f>
        <v>3885</v>
      </c>
      <c r="J690" s="235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</row>
    <row r="691" spans="1:26" ht="21" customHeight="1">
      <c r="A691" s="240" t="str">
        <f ca="1">IFERROR(__xludf.DUMMYFUNCTION("""COMPUTED_VALUE"""),"Paraíso")</f>
        <v>Paraíso</v>
      </c>
      <c r="B691" s="240" t="str">
        <f ca="1">IFERROR(__xludf.DUMMYFUNCTION("""COMPUTED_VALUE"""),"Nova Rosalandia")</f>
        <v>Nova Rosalandia</v>
      </c>
      <c r="C691" s="240" t="str">
        <f ca="1">IFERROR(__xludf.DUMMYFUNCTION("""COMPUTED_VALUE"""),"A. ESC. COM. ESC. EST.PEDRO XAVIER TEIXEIRA")</f>
        <v>A. ESC. COM. ESC. EST.PEDRO XAVIER TEIXEIRA</v>
      </c>
      <c r="D691" s="241" t="str">
        <f ca="1">IFERROR(__xludf.DUMMYFUNCTION("""COMPUTED_VALUE"""),"01068367000100")</f>
        <v>01068367000100</v>
      </c>
      <c r="E691" s="241" t="str">
        <f ca="1">IFERROR(__xludf.DUMMYFUNCTION("""COMPUTED_VALUE"""),"001")</f>
        <v>001</v>
      </c>
      <c r="F691" s="241" t="str">
        <f ca="1">IFERROR(__xludf.DUMMYFUNCTION("""COMPUTED_VALUE"""),"0804")</f>
        <v>0804</v>
      </c>
      <c r="G691" s="240" t="str">
        <f ca="1">IFERROR(__xludf.DUMMYFUNCTION("""COMPUTED_VALUE"""),"234265")</f>
        <v>234265</v>
      </c>
      <c r="H691" s="240" t="str">
        <f ca="1">IFERROR(__xludf.DUMMYFUNCTION("""COMPUTED_VALUE"""),"E.F. PARCIAL")</f>
        <v>E.F. PARCIAL</v>
      </c>
      <c r="I691" s="242">
        <f ca="1">IFERROR(__xludf.DUMMYFUNCTION("""COMPUTED_VALUE"""),1764)</f>
        <v>1764</v>
      </c>
      <c r="J691" s="235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</row>
    <row r="692" spans="1:26" ht="21" customHeight="1">
      <c r="A692" s="240" t="str">
        <f ca="1">IFERROR(__xludf.DUMMYFUNCTION("""COMPUTED_VALUE"""),"Paraíso")</f>
        <v>Paraíso</v>
      </c>
      <c r="B692" s="240" t="str">
        <f ca="1">IFERROR(__xludf.DUMMYFUNCTION("""COMPUTED_VALUE"""),"Nova Rosalandia")</f>
        <v>Nova Rosalandia</v>
      </c>
      <c r="C692" s="240" t="str">
        <f ca="1">IFERROR(__xludf.DUMMYFUNCTION("""COMPUTED_VALUE"""),"A. ESC. COM. ESC. EST.PEDRO XAVIER TEIXEIRA")</f>
        <v>A. ESC. COM. ESC. EST.PEDRO XAVIER TEIXEIRA</v>
      </c>
      <c r="D692" s="241" t="str">
        <f ca="1">IFERROR(__xludf.DUMMYFUNCTION("""COMPUTED_VALUE"""),"01068367000100")</f>
        <v>01068367000100</v>
      </c>
      <c r="E692" s="241" t="str">
        <f ca="1">IFERROR(__xludf.DUMMYFUNCTION("""COMPUTED_VALUE"""),"001")</f>
        <v>001</v>
      </c>
      <c r="F692" s="241" t="str">
        <f ca="1">IFERROR(__xludf.DUMMYFUNCTION("""COMPUTED_VALUE"""),"0804")</f>
        <v>0804</v>
      </c>
      <c r="G692" s="240" t="str">
        <f ca="1">IFERROR(__xludf.DUMMYFUNCTION("""COMPUTED_VALUE"""),"234265")</f>
        <v>234265</v>
      </c>
      <c r="H692" s="240" t="str">
        <f ca="1">IFERROR(__xludf.DUMMYFUNCTION("""COMPUTED_VALUE"""),"ENS MEDIO PARCIAL")</f>
        <v>ENS MEDIO PARCIAL</v>
      </c>
      <c r="I692" s="242">
        <f ca="1">IFERROR(__xludf.DUMMYFUNCTION("""COMPUTED_VALUE"""),2226)</f>
        <v>2226</v>
      </c>
      <c r="J692" s="235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</row>
    <row r="693" spans="1:26" ht="21" customHeight="1">
      <c r="A693" s="240" t="str">
        <f ca="1">IFERROR(__xludf.DUMMYFUNCTION("""COMPUTED_VALUE"""),"Paraíso")</f>
        <v>Paraíso</v>
      </c>
      <c r="B693" s="240" t="str">
        <f ca="1">IFERROR(__xludf.DUMMYFUNCTION("""COMPUTED_VALUE"""),"Nova Rosalandia")</f>
        <v>Nova Rosalandia</v>
      </c>
      <c r="C693" s="240" t="str">
        <f ca="1">IFERROR(__xludf.DUMMYFUNCTION("""COMPUTED_VALUE"""),"A. ESC. COM. ESC. EST.PEDRO XAVIER TEIXEIRA")</f>
        <v>A. ESC. COM. ESC. EST.PEDRO XAVIER TEIXEIRA</v>
      </c>
      <c r="D693" s="241" t="str">
        <f ca="1">IFERROR(__xludf.DUMMYFUNCTION("""COMPUTED_VALUE"""),"01068367000100")</f>
        <v>01068367000100</v>
      </c>
      <c r="E693" s="241" t="str">
        <f ca="1">IFERROR(__xludf.DUMMYFUNCTION("""COMPUTED_VALUE"""),"001")</f>
        <v>001</v>
      </c>
      <c r="F693" s="241" t="str">
        <f ca="1">IFERROR(__xludf.DUMMYFUNCTION("""COMPUTED_VALUE"""),"0804")</f>
        <v>0804</v>
      </c>
      <c r="G693" s="240" t="str">
        <f ca="1">IFERROR(__xludf.DUMMYFUNCTION("""COMPUTED_VALUE"""),"234265")</f>
        <v>234265</v>
      </c>
      <c r="H693" s="240" t="str">
        <f ca="1">IFERROR(__xludf.DUMMYFUNCTION("""COMPUTED_VALUE"""),"EJA")</f>
        <v>EJA</v>
      </c>
      <c r="I693" s="242">
        <f ca="1">IFERROR(__xludf.DUMMYFUNCTION("""COMPUTED_VALUE"""),189)</f>
        <v>189</v>
      </c>
      <c r="J693" s="235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</row>
    <row r="694" spans="1:26" ht="21" customHeight="1">
      <c r="A694" s="240" t="str">
        <f ca="1">IFERROR(__xludf.DUMMYFUNCTION("""COMPUTED_VALUE"""),"Paraíso")</f>
        <v>Paraíso</v>
      </c>
      <c r="B694" s="240" t="str">
        <f ca="1">IFERROR(__xludf.DUMMYFUNCTION("""COMPUTED_VALUE"""),"Nova Rosalandia")</f>
        <v>Nova Rosalandia</v>
      </c>
      <c r="C694" s="240" t="str">
        <f ca="1">IFERROR(__xludf.DUMMYFUNCTION("""COMPUTED_VALUE"""),"A.A. A ESCOLA ESTADUAL CAMPO MAIOR")</f>
        <v>A.A. A ESCOLA ESTADUAL CAMPO MAIOR</v>
      </c>
      <c r="D694" s="241" t="str">
        <f ca="1">IFERROR(__xludf.DUMMYFUNCTION("""COMPUTED_VALUE"""),"01068373000167")</f>
        <v>01068373000167</v>
      </c>
      <c r="E694" s="241" t="str">
        <f ca="1">IFERROR(__xludf.DUMMYFUNCTION("""COMPUTED_VALUE"""),"001")</f>
        <v>001</v>
      </c>
      <c r="F694" s="241" t="str">
        <f ca="1">IFERROR(__xludf.DUMMYFUNCTION("""COMPUTED_VALUE"""),"0804")</f>
        <v>0804</v>
      </c>
      <c r="G694" s="240" t="str">
        <f ca="1">IFERROR(__xludf.DUMMYFUNCTION("""COMPUTED_VALUE"""),"341290")</f>
        <v>341290</v>
      </c>
      <c r="H694" s="240" t="str">
        <f ca="1">IFERROR(__xludf.DUMMYFUNCTION("""COMPUTED_VALUE"""),"E.F. PARCIAL")</f>
        <v>E.F. PARCIAL</v>
      </c>
      <c r="I694" s="242">
        <f ca="1">IFERROR(__xludf.DUMMYFUNCTION("""COMPUTED_VALUE"""),861)</f>
        <v>861</v>
      </c>
      <c r="J694" s="235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</row>
    <row r="695" spans="1:26" ht="21" customHeight="1">
      <c r="A695" s="240" t="str">
        <f ca="1">IFERROR(__xludf.DUMMYFUNCTION("""COMPUTED_VALUE"""),"Paraíso")</f>
        <v>Paraíso</v>
      </c>
      <c r="B695" s="240" t="str">
        <f ca="1">IFERROR(__xludf.DUMMYFUNCTION("""COMPUTED_VALUE"""),"Paraiso do Tocantins")</f>
        <v>Paraiso do Tocantins</v>
      </c>
      <c r="C695" s="240" t="str">
        <f ca="1">IFERROR(__xludf.DUMMYFUNCTION("""COMPUTED_VALUE"""),"A. ESC COM. DA ESC EST J.K. DE OLIVEIRA")</f>
        <v>A. ESC COM. DA ESC EST J.K. DE OLIVEIRA</v>
      </c>
      <c r="D695" s="241" t="str">
        <f ca="1">IFERROR(__xludf.DUMMYFUNCTION("""COMPUTED_VALUE"""),"00921537000194")</f>
        <v>00921537000194</v>
      </c>
      <c r="E695" s="241" t="str">
        <f ca="1">IFERROR(__xludf.DUMMYFUNCTION("""COMPUTED_VALUE"""),"001")</f>
        <v>001</v>
      </c>
      <c r="F695" s="241" t="str">
        <f ca="1">IFERROR(__xludf.DUMMYFUNCTION("""COMPUTED_VALUE"""),"0804")</f>
        <v>0804</v>
      </c>
      <c r="G695" s="240" t="str">
        <f ca="1">IFERROR(__xludf.DUMMYFUNCTION("""COMPUTED_VALUE"""),"163821")</f>
        <v>163821</v>
      </c>
      <c r="H695" s="240" t="str">
        <f ca="1">IFERROR(__xludf.DUMMYFUNCTION("""COMPUTED_VALUE"""),"E.F. PARCIAL")</f>
        <v>E.F. PARCIAL</v>
      </c>
      <c r="I695" s="242">
        <f ca="1">IFERROR(__xludf.DUMMYFUNCTION("""COMPUTED_VALUE"""),5523)</f>
        <v>5523</v>
      </c>
      <c r="J695" s="235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</row>
    <row r="696" spans="1:26" ht="21" customHeight="1">
      <c r="A696" s="240" t="str">
        <f ca="1">IFERROR(__xludf.DUMMYFUNCTION("""COMPUTED_VALUE"""),"Paraíso")</f>
        <v>Paraíso</v>
      </c>
      <c r="B696" s="240" t="str">
        <f ca="1">IFERROR(__xludf.DUMMYFUNCTION("""COMPUTED_VALUE"""),"Paraiso do Tocantins")</f>
        <v>Paraiso do Tocantins</v>
      </c>
      <c r="C696" s="240" t="str">
        <f ca="1">IFERROR(__xludf.DUMMYFUNCTION("""COMPUTED_VALUE"""),"A. ESC COM. DA ESC EST J.K. DE OLIVEIRA")</f>
        <v>A. ESC COM. DA ESC EST J.K. DE OLIVEIRA</v>
      </c>
      <c r="D696" s="241" t="str">
        <f ca="1">IFERROR(__xludf.DUMMYFUNCTION("""COMPUTED_VALUE"""),"00921537000194")</f>
        <v>00921537000194</v>
      </c>
      <c r="E696" s="241" t="str">
        <f ca="1">IFERROR(__xludf.DUMMYFUNCTION("""COMPUTED_VALUE"""),"001")</f>
        <v>001</v>
      </c>
      <c r="F696" s="241" t="str">
        <f ca="1">IFERROR(__xludf.DUMMYFUNCTION("""COMPUTED_VALUE"""),"0804")</f>
        <v>0804</v>
      </c>
      <c r="G696" s="240" t="str">
        <f ca="1">IFERROR(__xludf.DUMMYFUNCTION("""COMPUTED_VALUE"""),"163821")</f>
        <v>163821</v>
      </c>
      <c r="H696" s="240" t="str">
        <f ca="1">IFERROR(__xludf.DUMMYFUNCTION("""COMPUTED_VALUE"""),"ENS MEDIO PARCIAL")</f>
        <v>ENS MEDIO PARCIAL</v>
      </c>
      <c r="I696" s="242">
        <f ca="1">IFERROR(__xludf.DUMMYFUNCTION("""COMPUTED_VALUE"""),504)</f>
        <v>504</v>
      </c>
      <c r="J696" s="235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</row>
    <row r="697" spans="1:26" ht="21" customHeight="1">
      <c r="A697" s="240" t="str">
        <f ca="1">IFERROR(__xludf.DUMMYFUNCTION("""COMPUTED_VALUE"""),"Paraíso")</f>
        <v>Paraíso</v>
      </c>
      <c r="B697" s="240" t="str">
        <f ca="1">IFERROR(__xludf.DUMMYFUNCTION("""COMPUTED_VALUE"""),"Paraiso do Tocantins")</f>
        <v>Paraiso do Tocantins</v>
      </c>
      <c r="C697" s="240" t="str">
        <f ca="1">IFERROR(__xludf.DUMMYFUNCTION("""COMPUTED_VALUE"""),"ASSOC. DE APOIO ESC. EST.IDALINA DE PAULA")</f>
        <v>ASSOC. DE APOIO ESC. EST.IDALINA DE PAULA</v>
      </c>
      <c r="D697" s="241" t="str">
        <f ca="1">IFERROR(__xludf.DUMMYFUNCTION("""COMPUTED_VALUE"""),"01066419000109")</f>
        <v>01066419000109</v>
      </c>
      <c r="E697" s="241" t="str">
        <f ca="1">IFERROR(__xludf.DUMMYFUNCTION("""COMPUTED_VALUE"""),"001")</f>
        <v>001</v>
      </c>
      <c r="F697" s="241" t="str">
        <f ca="1">IFERROR(__xludf.DUMMYFUNCTION("""COMPUTED_VALUE"""),"0804")</f>
        <v>0804</v>
      </c>
      <c r="G697" s="240" t="str">
        <f ca="1">IFERROR(__xludf.DUMMYFUNCTION("""COMPUTED_VALUE"""),"115797")</f>
        <v>115797</v>
      </c>
      <c r="H697" s="240" t="str">
        <f ca="1">IFERROR(__xludf.DUMMYFUNCTION("""COMPUTED_VALUE"""),"E.F. PARCIAL")</f>
        <v>E.F. PARCIAL</v>
      </c>
      <c r="I697" s="242">
        <f ca="1">IFERROR(__xludf.DUMMYFUNCTION("""COMPUTED_VALUE"""),7665)</f>
        <v>7665</v>
      </c>
      <c r="J697" s="235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</row>
    <row r="698" spans="1:26" ht="21" customHeight="1">
      <c r="A698" s="240" t="str">
        <f ca="1">IFERROR(__xludf.DUMMYFUNCTION("""COMPUTED_VALUE"""),"Paraíso")</f>
        <v>Paraíso</v>
      </c>
      <c r="B698" s="240" t="str">
        <f ca="1">IFERROR(__xludf.DUMMYFUNCTION("""COMPUTED_VALUE"""),"Paraiso do Tocantins")</f>
        <v>Paraiso do Tocantins</v>
      </c>
      <c r="C698" s="240" t="str">
        <f ca="1">IFERROR(__xludf.DUMMYFUNCTION("""COMPUTED_VALUE"""),"ASSOC. DE APOIO ESC. EST.IDALINA DE PAULA")</f>
        <v>ASSOC. DE APOIO ESC. EST.IDALINA DE PAULA</v>
      </c>
      <c r="D698" s="241" t="str">
        <f ca="1">IFERROR(__xludf.DUMMYFUNCTION("""COMPUTED_VALUE"""),"01066419000109")</f>
        <v>01066419000109</v>
      </c>
      <c r="E698" s="241" t="str">
        <f ca="1">IFERROR(__xludf.DUMMYFUNCTION("""COMPUTED_VALUE"""),"001")</f>
        <v>001</v>
      </c>
      <c r="F698" s="241" t="str">
        <f ca="1">IFERROR(__xludf.DUMMYFUNCTION("""COMPUTED_VALUE"""),"0804")</f>
        <v>0804</v>
      </c>
      <c r="G698" s="240" t="str">
        <f ca="1">IFERROR(__xludf.DUMMYFUNCTION("""COMPUTED_VALUE"""),"115797")</f>
        <v>115797</v>
      </c>
      <c r="H698" s="240" t="str">
        <f ca="1">IFERROR(__xludf.DUMMYFUNCTION("""COMPUTED_VALUE"""),"ENS MEDIO PARCIAL")</f>
        <v>ENS MEDIO PARCIAL</v>
      </c>
      <c r="I698" s="242">
        <f ca="1">IFERROR(__xludf.DUMMYFUNCTION("""COMPUTED_VALUE"""),5019)</f>
        <v>5019</v>
      </c>
      <c r="J698" s="235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</row>
    <row r="699" spans="1:26" ht="21" customHeight="1">
      <c r="A699" s="240" t="str">
        <f ca="1">IFERROR(__xludf.DUMMYFUNCTION("""COMPUTED_VALUE"""),"Paraíso")</f>
        <v>Paraíso</v>
      </c>
      <c r="B699" s="240" t="str">
        <f ca="1">IFERROR(__xludf.DUMMYFUNCTION("""COMPUTED_VALUE"""),"Paraiso do Tocantins")</f>
        <v>Paraiso do Tocantins</v>
      </c>
      <c r="C699" s="240" t="str">
        <f ca="1">IFERROR(__xludf.DUMMYFUNCTION("""COMPUTED_VALUE"""),"ASSOC. DE APOIO ESC. EST.IDALINA DE PAULA")</f>
        <v>ASSOC. DE APOIO ESC. EST.IDALINA DE PAULA</v>
      </c>
      <c r="D699" s="241" t="str">
        <f ca="1">IFERROR(__xludf.DUMMYFUNCTION("""COMPUTED_VALUE"""),"01066419000109")</f>
        <v>01066419000109</v>
      </c>
      <c r="E699" s="241" t="str">
        <f ca="1">IFERROR(__xludf.DUMMYFUNCTION("""COMPUTED_VALUE"""),"001")</f>
        <v>001</v>
      </c>
      <c r="F699" s="241" t="str">
        <f ca="1">IFERROR(__xludf.DUMMYFUNCTION("""COMPUTED_VALUE"""),"0804")</f>
        <v>0804</v>
      </c>
      <c r="G699" s="240" t="str">
        <f ca="1">IFERROR(__xludf.DUMMYFUNCTION("""COMPUTED_VALUE"""),"115797")</f>
        <v>115797</v>
      </c>
      <c r="H699" s="240" t="str">
        <f ca="1">IFERROR(__xludf.DUMMYFUNCTION("""COMPUTED_VALUE"""),"EJA")</f>
        <v>EJA</v>
      </c>
      <c r="I699" s="242">
        <f ca="1">IFERROR(__xludf.DUMMYFUNCTION("""COMPUTED_VALUE"""),126)</f>
        <v>126</v>
      </c>
      <c r="J699" s="235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</row>
    <row r="700" spans="1:26" ht="21" customHeight="1">
      <c r="A700" s="240" t="str">
        <f ca="1">IFERROR(__xludf.DUMMYFUNCTION("""COMPUTED_VALUE"""),"Paraíso")</f>
        <v>Paraíso</v>
      </c>
      <c r="B700" s="240" t="str">
        <f ca="1">IFERROR(__xludf.DUMMYFUNCTION("""COMPUTED_VALUE"""),"Paraiso do Tocantins")</f>
        <v>Paraiso do Tocantins</v>
      </c>
      <c r="C700" s="240" t="str">
        <f ca="1">IFERROR(__xludf.DUMMYFUNCTION("""COMPUTED_VALUE"""),"A.A. ESCOLA ESTADUAL DEUSA DE MORAES")</f>
        <v>A.A. ESCOLA ESTADUAL DEUSA DE MORAES</v>
      </c>
      <c r="D700" s="241" t="str">
        <f ca="1">IFERROR(__xludf.DUMMYFUNCTION("""COMPUTED_VALUE"""),"01068362000187")</f>
        <v>01068362000187</v>
      </c>
      <c r="E700" s="241" t="str">
        <f ca="1">IFERROR(__xludf.DUMMYFUNCTION("""COMPUTED_VALUE"""),"001")</f>
        <v>001</v>
      </c>
      <c r="F700" s="241" t="str">
        <f ca="1">IFERROR(__xludf.DUMMYFUNCTION("""COMPUTED_VALUE"""),"0804")</f>
        <v>0804</v>
      </c>
      <c r="G700" s="240" t="str">
        <f ca="1">IFERROR(__xludf.DUMMYFUNCTION("""COMPUTED_VALUE"""),"304549")</f>
        <v>304549</v>
      </c>
      <c r="H700" s="240" t="str">
        <f ca="1">IFERROR(__xludf.DUMMYFUNCTION("""COMPUTED_VALUE"""),"E.F. PARCIAL")</f>
        <v>E.F. PARCIAL</v>
      </c>
      <c r="I700" s="242">
        <f ca="1">IFERROR(__xludf.DUMMYFUNCTION("""COMPUTED_VALUE"""),8001)</f>
        <v>8001</v>
      </c>
      <c r="J700" s="235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</row>
    <row r="701" spans="1:26" ht="21" customHeight="1">
      <c r="A701" s="240" t="str">
        <f ca="1">IFERROR(__xludf.DUMMYFUNCTION("""COMPUTED_VALUE"""),"Paraíso")</f>
        <v>Paraíso</v>
      </c>
      <c r="B701" s="240" t="str">
        <f ca="1">IFERROR(__xludf.DUMMYFUNCTION("""COMPUTED_VALUE"""),"Paraiso do Tocantins")</f>
        <v>Paraiso do Tocantins</v>
      </c>
      <c r="C701" s="240" t="str">
        <f ca="1">IFERROR(__xludf.DUMMYFUNCTION("""COMPUTED_VALUE"""),"ASS. DE APOIO ESC. EST. AMANCIO DE MORAES")</f>
        <v>ASS. DE APOIO ESC. EST. AMANCIO DE MORAES</v>
      </c>
      <c r="D701" s="241" t="str">
        <f ca="1">IFERROR(__xludf.DUMMYFUNCTION("""COMPUTED_VALUE"""),"01068375000156")</f>
        <v>01068375000156</v>
      </c>
      <c r="E701" s="241" t="str">
        <f ca="1">IFERROR(__xludf.DUMMYFUNCTION("""COMPUTED_VALUE"""),"104")</f>
        <v>104</v>
      </c>
      <c r="F701" s="241" t="str">
        <f ca="1">IFERROR(__xludf.DUMMYFUNCTION("""COMPUTED_VALUE"""),"1141")</f>
        <v>1141</v>
      </c>
      <c r="G701" s="240" t="str">
        <f ca="1">IFERROR(__xludf.DUMMYFUNCTION("""COMPUTED_VALUE"""),"308140")</f>
        <v>308140</v>
      </c>
      <c r="H701" s="240" t="str">
        <f ca="1">IFERROR(__xludf.DUMMYFUNCTION("""COMPUTED_VALUE"""),"E.F. PARCIAL")</f>
        <v>E.F. PARCIAL</v>
      </c>
      <c r="I701" s="242">
        <f ca="1">IFERROR(__xludf.DUMMYFUNCTION("""COMPUTED_VALUE"""),5061)</f>
        <v>5061</v>
      </c>
      <c r="J701" s="235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</row>
    <row r="702" spans="1:26" ht="21" customHeight="1">
      <c r="A702" s="240" t="str">
        <f ca="1">IFERROR(__xludf.DUMMYFUNCTION("""COMPUTED_VALUE"""),"Paraíso")</f>
        <v>Paraíso</v>
      </c>
      <c r="B702" s="240" t="str">
        <f ca="1">IFERROR(__xludf.DUMMYFUNCTION("""COMPUTED_VALUE"""),"Paraiso do Tocantins")</f>
        <v>Paraiso do Tocantins</v>
      </c>
      <c r="C702" s="240" t="str">
        <f ca="1">IFERROR(__xludf.DUMMYFUNCTION("""COMPUTED_VALUE"""),"ASS. DE APOIO ESC. EST. AMANCIO DE MORAES")</f>
        <v>ASS. DE APOIO ESC. EST. AMANCIO DE MORAES</v>
      </c>
      <c r="D702" s="241" t="str">
        <f ca="1">IFERROR(__xludf.DUMMYFUNCTION("""COMPUTED_VALUE"""),"01068375000156")</f>
        <v>01068375000156</v>
      </c>
      <c r="E702" s="241" t="str">
        <f ca="1">IFERROR(__xludf.DUMMYFUNCTION("""COMPUTED_VALUE"""),"104")</f>
        <v>104</v>
      </c>
      <c r="F702" s="241" t="str">
        <f ca="1">IFERROR(__xludf.DUMMYFUNCTION("""COMPUTED_VALUE"""),"1141")</f>
        <v>1141</v>
      </c>
      <c r="G702" s="240" t="str">
        <f ca="1">IFERROR(__xludf.DUMMYFUNCTION("""COMPUTED_VALUE"""),"308140")</f>
        <v>308140</v>
      </c>
      <c r="H702" s="240" t="str">
        <f ca="1">IFERROR(__xludf.DUMMYFUNCTION("""COMPUTED_VALUE"""),"AEE")</f>
        <v>AEE</v>
      </c>
      <c r="I702" s="242">
        <f ca="1">IFERROR(__xludf.DUMMYFUNCTION("""COMPUTED_VALUE"""),315)</f>
        <v>315</v>
      </c>
      <c r="J702" s="235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  <c r="Z702" s="235"/>
    </row>
    <row r="703" spans="1:26" ht="21" customHeight="1">
      <c r="A703" s="240" t="str">
        <f ca="1">IFERROR(__xludf.DUMMYFUNCTION("""COMPUTED_VALUE"""),"Paraíso")</f>
        <v>Paraíso</v>
      </c>
      <c r="B703" s="240" t="str">
        <f ca="1">IFERROR(__xludf.DUMMYFUNCTION("""COMPUTED_VALUE"""),"Paraiso do Tocantins")</f>
        <v>Paraiso do Tocantins</v>
      </c>
      <c r="C703" s="240" t="str">
        <f ca="1">IFERROR(__xludf.DUMMYFUNCTION("""COMPUTED_VALUE"""),"A.A. DO COL. PRESB. VALE DO TOCANTINS")</f>
        <v>A.A. DO COL. PRESB. VALE DO TOCANTINS</v>
      </c>
      <c r="D703" s="241" t="str">
        <f ca="1">IFERROR(__xludf.DUMMYFUNCTION("""COMPUTED_VALUE"""),"01071426000107")</f>
        <v>01071426000107</v>
      </c>
      <c r="E703" s="241" t="str">
        <f ca="1">IFERROR(__xludf.DUMMYFUNCTION("""COMPUTED_VALUE"""),"001")</f>
        <v>001</v>
      </c>
      <c r="F703" s="241" t="str">
        <f ca="1">IFERROR(__xludf.DUMMYFUNCTION("""COMPUTED_VALUE"""),"0804")</f>
        <v>0804</v>
      </c>
      <c r="G703" s="240" t="str">
        <f ca="1">IFERROR(__xludf.DUMMYFUNCTION("""COMPUTED_VALUE"""),"311618")</f>
        <v>311618</v>
      </c>
      <c r="H703" s="240" t="str">
        <f ca="1">IFERROR(__xludf.DUMMYFUNCTION("""COMPUTED_VALUE"""),"E.F. PARCIAL")</f>
        <v>E.F. PARCIAL</v>
      </c>
      <c r="I703" s="242">
        <f ca="1">IFERROR(__xludf.DUMMYFUNCTION("""COMPUTED_VALUE"""),10437)</f>
        <v>10437</v>
      </c>
      <c r="J703" s="235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</row>
    <row r="704" spans="1:26" ht="21" customHeight="1">
      <c r="A704" s="240" t="str">
        <f ca="1">IFERROR(__xludf.DUMMYFUNCTION("""COMPUTED_VALUE"""),"Paraíso")</f>
        <v>Paraíso</v>
      </c>
      <c r="B704" s="240" t="str">
        <f ca="1">IFERROR(__xludf.DUMMYFUNCTION("""COMPUTED_VALUE"""),"Paraiso do Tocantins")</f>
        <v>Paraiso do Tocantins</v>
      </c>
      <c r="C704" s="240" t="str">
        <f ca="1">IFERROR(__xludf.DUMMYFUNCTION("""COMPUTED_VALUE"""),"A.A. DO COL. PRESB. VALE DO TOCANTINS")</f>
        <v>A.A. DO COL. PRESB. VALE DO TOCANTINS</v>
      </c>
      <c r="D704" s="241" t="str">
        <f ca="1">IFERROR(__xludf.DUMMYFUNCTION("""COMPUTED_VALUE"""),"01071426000107")</f>
        <v>01071426000107</v>
      </c>
      <c r="E704" s="241" t="str">
        <f ca="1">IFERROR(__xludf.DUMMYFUNCTION("""COMPUTED_VALUE"""),"001")</f>
        <v>001</v>
      </c>
      <c r="F704" s="241" t="str">
        <f ca="1">IFERROR(__xludf.DUMMYFUNCTION("""COMPUTED_VALUE"""),"0804")</f>
        <v>0804</v>
      </c>
      <c r="G704" s="240" t="str">
        <f ca="1">IFERROR(__xludf.DUMMYFUNCTION("""COMPUTED_VALUE"""),"311618")</f>
        <v>311618</v>
      </c>
      <c r="H704" s="240" t="str">
        <f ca="1">IFERROR(__xludf.DUMMYFUNCTION("""COMPUTED_VALUE"""),"ENS MEDIO PARCIAL")</f>
        <v>ENS MEDIO PARCIAL</v>
      </c>
      <c r="I704" s="242">
        <f ca="1">IFERROR(__xludf.DUMMYFUNCTION("""COMPUTED_VALUE"""),8652)</f>
        <v>8652</v>
      </c>
      <c r="J704" s="235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</row>
    <row r="705" spans="1:26" ht="21" customHeight="1">
      <c r="A705" s="240" t="str">
        <f ca="1">IFERROR(__xludf.DUMMYFUNCTION("""COMPUTED_VALUE"""),"Paraíso")</f>
        <v>Paraíso</v>
      </c>
      <c r="B705" s="240" t="str">
        <f ca="1">IFERROR(__xludf.DUMMYFUNCTION("""COMPUTED_VALUE"""),"Paraiso do Tocantins")</f>
        <v>Paraiso do Tocantins</v>
      </c>
      <c r="C705" s="240" t="str">
        <f ca="1">IFERROR(__xludf.DUMMYFUNCTION("""COMPUTED_VALUE"""),"ASSOC. APOIO AO CEM JOSE ALVES DE ASSIS")</f>
        <v>ASSOC. APOIO AO CEM JOSE ALVES DE ASSIS</v>
      </c>
      <c r="D705" s="241" t="str">
        <f ca="1">IFERROR(__xludf.DUMMYFUNCTION("""COMPUTED_VALUE"""),"01181169000158")</f>
        <v>01181169000158</v>
      </c>
      <c r="E705" s="241" t="str">
        <f ca="1">IFERROR(__xludf.DUMMYFUNCTION("""COMPUTED_VALUE"""),"001")</f>
        <v>001</v>
      </c>
      <c r="F705" s="241" t="str">
        <f ca="1">IFERROR(__xludf.DUMMYFUNCTION("""COMPUTED_VALUE"""),"0804")</f>
        <v>0804</v>
      </c>
      <c r="G705" s="240" t="str">
        <f ca="1">IFERROR(__xludf.DUMMYFUNCTION("""COMPUTED_VALUE"""),"286257")</f>
        <v>286257</v>
      </c>
      <c r="H705" s="240" t="str">
        <f ca="1">IFERROR(__xludf.DUMMYFUNCTION("""COMPUTED_VALUE"""),"ENS MEDIO PARCIAL")</f>
        <v>ENS MEDIO PARCIAL</v>
      </c>
      <c r="I705" s="242">
        <f ca="1">IFERROR(__xludf.DUMMYFUNCTION("""COMPUTED_VALUE"""),11361)</f>
        <v>11361</v>
      </c>
      <c r="J705" s="235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</row>
    <row r="706" spans="1:26" ht="21" customHeight="1">
      <c r="A706" s="240" t="str">
        <f ca="1">IFERROR(__xludf.DUMMYFUNCTION("""COMPUTED_VALUE"""),"Paraíso")</f>
        <v>Paraíso</v>
      </c>
      <c r="B706" s="240" t="str">
        <f ca="1">IFERROR(__xludf.DUMMYFUNCTION("""COMPUTED_VALUE"""),"Paraiso do Tocantins")</f>
        <v>Paraiso do Tocantins</v>
      </c>
      <c r="C706" s="240" t="str">
        <f ca="1">IFERROR(__xludf.DUMMYFUNCTION("""COMPUTED_VALUE"""),"ASSOC. APOIO AO CEM JOSE ALVES DE ASSIS")</f>
        <v>ASSOC. APOIO AO CEM JOSE ALVES DE ASSIS</v>
      </c>
      <c r="D706" s="241" t="str">
        <f ca="1">IFERROR(__xludf.DUMMYFUNCTION("""COMPUTED_VALUE"""),"01181169000158")</f>
        <v>01181169000158</v>
      </c>
      <c r="E706" s="241" t="str">
        <f ca="1">IFERROR(__xludf.DUMMYFUNCTION("""COMPUTED_VALUE"""),"001")</f>
        <v>001</v>
      </c>
      <c r="F706" s="241" t="str">
        <f ca="1">IFERROR(__xludf.DUMMYFUNCTION("""COMPUTED_VALUE"""),"0804")</f>
        <v>0804</v>
      </c>
      <c r="G706" s="240" t="str">
        <f ca="1">IFERROR(__xludf.DUMMYFUNCTION("""COMPUTED_VALUE"""),"286257")</f>
        <v>286257</v>
      </c>
      <c r="H706" s="240" t="str">
        <f ca="1">IFERROR(__xludf.DUMMYFUNCTION("""COMPUTED_VALUE"""),"EJA")</f>
        <v>EJA</v>
      </c>
      <c r="I706" s="242">
        <f ca="1">IFERROR(__xludf.DUMMYFUNCTION("""COMPUTED_VALUE"""),2604)</f>
        <v>2604</v>
      </c>
      <c r="J706" s="235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</row>
    <row r="707" spans="1:26" ht="21" customHeight="1">
      <c r="A707" s="240" t="str">
        <f ca="1">IFERROR(__xludf.DUMMYFUNCTION("""COMPUTED_VALUE"""),"Paraíso")</f>
        <v>Paraíso</v>
      </c>
      <c r="B707" s="240" t="str">
        <f ca="1">IFERROR(__xludf.DUMMYFUNCTION("""COMPUTED_VALUE"""),"Paraiso do Tocantins")</f>
        <v>Paraiso do Tocantins</v>
      </c>
      <c r="C707" s="240" t="str">
        <f ca="1">IFERROR(__xludf.DUMMYFUNCTION("""COMPUTED_VALUE"""),"A.A.  ESCOLA EST. SAO JOSE OPERARIO")</f>
        <v>A.A.  ESCOLA EST. SAO JOSE OPERARIO</v>
      </c>
      <c r="D707" s="241" t="str">
        <f ca="1">IFERROR(__xludf.DUMMYFUNCTION("""COMPUTED_VALUE"""),"01186454000161")</f>
        <v>01186454000161</v>
      </c>
      <c r="E707" s="241" t="str">
        <f ca="1">IFERROR(__xludf.DUMMYFUNCTION("""COMPUTED_VALUE"""),"001")</f>
        <v>001</v>
      </c>
      <c r="F707" s="241" t="str">
        <f ca="1">IFERROR(__xludf.DUMMYFUNCTION("""COMPUTED_VALUE"""),"0804")</f>
        <v>0804</v>
      </c>
      <c r="G707" s="240" t="str">
        <f ca="1">IFERROR(__xludf.DUMMYFUNCTION("""COMPUTED_VALUE"""),"285986")</f>
        <v>285986</v>
      </c>
      <c r="H707" s="240" t="str">
        <f ca="1">IFERROR(__xludf.DUMMYFUNCTION("""COMPUTED_VALUE"""),"E.F. PARCIAL")</f>
        <v>E.F. PARCIAL</v>
      </c>
      <c r="I707" s="242">
        <f ca="1">IFERROR(__xludf.DUMMYFUNCTION("""COMPUTED_VALUE"""),8988)</f>
        <v>8988</v>
      </c>
      <c r="J707" s="235"/>
      <c r="K707" s="235"/>
      <c r="L707" s="235"/>
      <c r="M707" s="235"/>
      <c r="N707" s="235"/>
      <c r="O707" s="235"/>
      <c r="P707" s="235"/>
      <c r="Q707" s="235"/>
      <c r="R707" s="235"/>
      <c r="S707" s="235"/>
      <c r="T707" s="235"/>
      <c r="U707" s="235"/>
      <c r="V707" s="235"/>
      <c r="W707" s="235"/>
      <c r="X707" s="235"/>
      <c r="Y707" s="235"/>
      <c r="Z707" s="235"/>
    </row>
    <row r="708" spans="1:26" ht="21" customHeight="1">
      <c r="A708" s="240" t="str">
        <f ca="1">IFERROR(__xludf.DUMMYFUNCTION("""COMPUTED_VALUE"""),"Paraíso")</f>
        <v>Paraíso</v>
      </c>
      <c r="B708" s="240" t="str">
        <f ca="1">IFERROR(__xludf.DUMMYFUNCTION("""COMPUTED_VALUE"""),"Paraiso do Tocantins")</f>
        <v>Paraiso do Tocantins</v>
      </c>
      <c r="C708" s="240" t="str">
        <f ca="1">IFERROR(__xludf.DUMMYFUNCTION("""COMPUTED_VALUE"""),"A.A.  ESCOLA EST. SAO JOSE OPERARIO")</f>
        <v>A.A.  ESCOLA EST. SAO JOSE OPERARIO</v>
      </c>
      <c r="D708" s="241" t="str">
        <f ca="1">IFERROR(__xludf.DUMMYFUNCTION("""COMPUTED_VALUE"""),"01186454000161")</f>
        <v>01186454000161</v>
      </c>
      <c r="E708" s="241" t="str">
        <f ca="1">IFERROR(__xludf.DUMMYFUNCTION("""COMPUTED_VALUE"""),"001")</f>
        <v>001</v>
      </c>
      <c r="F708" s="241" t="str">
        <f ca="1">IFERROR(__xludf.DUMMYFUNCTION("""COMPUTED_VALUE"""),"0804")</f>
        <v>0804</v>
      </c>
      <c r="G708" s="240" t="str">
        <f ca="1">IFERROR(__xludf.DUMMYFUNCTION("""COMPUTED_VALUE"""),"285986")</f>
        <v>285986</v>
      </c>
      <c r="H708" s="240" t="str">
        <f ca="1">IFERROR(__xludf.DUMMYFUNCTION("""COMPUTED_VALUE"""),"ENS MEDIO PARCIAL")</f>
        <v>ENS MEDIO PARCIAL</v>
      </c>
      <c r="I708" s="242">
        <f ca="1">IFERROR(__xludf.DUMMYFUNCTION("""COMPUTED_VALUE"""),2499)</f>
        <v>2499</v>
      </c>
      <c r="J708" s="235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</row>
    <row r="709" spans="1:26" ht="21" customHeight="1">
      <c r="A709" s="240" t="str">
        <f ca="1">IFERROR(__xludf.DUMMYFUNCTION("""COMPUTED_VALUE"""),"Paraíso")</f>
        <v>Paraíso</v>
      </c>
      <c r="B709" s="240" t="str">
        <f ca="1">IFERROR(__xludf.DUMMYFUNCTION("""COMPUTED_VALUE"""),"Paraiso do Tocantins")</f>
        <v>Paraiso do Tocantins</v>
      </c>
      <c r="C709" s="240" t="str">
        <f ca="1">IFERROR(__xludf.DUMMYFUNCTION("""COMPUTED_VALUE"""),"ASS. APOIO ESC. EST.PROF. JOSE NEZIO RAMOS")</f>
        <v>ASS. APOIO ESC. EST.PROF. JOSE NEZIO RAMOS</v>
      </c>
      <c r="D709" s="241" t="str">
        <f ca="1">IFERROR(__xludf.DUMMYFUNCTION("""COMPUTED_VALUE"""),"01233716000100")</f>
        <v>01233716000100</v>
      </c>
      <c r="E709" s="241" t="str">
        <f ca="1">IFERROR(__xludf.DUMMYFUNCTION("""COMPUTED_VALUE"""),"001")</f>
        <v>001</v>
      </c>
      <c r="F709" s="241" t="str">
        <f ca="1">IFERROR(__xludf.DUMMYFUNCTION("""COMPUTED_VALUE"""),"0804")</f>
        <v>0804</v>
      </c>
      <c r="G709" s="240" t="str">
        <f ca="1">IFERROR(__xludf.DUMMYFUNCTION("""COMPUTED_VALUE"""),"0263656")</f>
        <v>0263656</v>
      </c>
      <c r="H709" s="240" t="str">
        <f ca="1">IFERROR(__xludf.DUMMYFUNCTION("""COMPUTED_VALUE"""),"ENS MEDIO PARCIAL")</f>
        <v>ENS MEDIO PARCIAL</v>
      </c>
      <c r="I709" s="242">
        <f ca="1">IFERROR(__xludf.DUMMYFUNCTION("""COMPUTED_VALUE"""),7959)</f>
        <v>7959</v>
      </c>
      <c r="J709" s="235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</row>
    <row r="710" spans="1:26" ht="21" customHeight="1">
      <c r="A710" s="240" t="str">
        <f ca="1">IFERROR(__xludf.DUMMYFUNCTION("""COMPUTED_VALUE"""),"Paraíso")</f>
        <v>Paraíso</v>
      </c>
      <c r="B710" s="240" t="str">
        <f ca="1">IFERROR(__xludf.DUMMYFUNCTION("""COMPUTED_VALUE"""),"Paraiso do Tocantins")</f>
        <v>Paraiso do Tocantins</v>
      </c>
      <c r="C710" s="240" t="str">
        <f ca="1">IFERROR(__xludf.DUMMYFUNCTION("""COMPUTED_VALUE"""),"A.A. ESC. EST.ISOL.INDIG REG PARAISO DO TO")</f>
        <v>A.A. ESC. EST.ISOL.INDIG REG PARAISO DO TO</v>
      </c>
      <c r="D710" s="241" t="str">
        <f ca="1">IFERROR(__xludf.DUMMYFUNCTION("""COMPUTED_VALUE"""),"05099542000187")</f>
        <v>05099542000187</v>
      </c>
      <c r="E710" s="241" t="str">
        <f ca="1">IFERROR(__xludf.DUMMYFUNCTION("""COMPUTED_VALUE"""),"001")</f>
        <v>001</v>
      </c>
      <c r="F710" s="241" t="str">
        <f ca="1">IFERROR(__xludf.DUMMYFUNCTION("""COMPUTED_VALUE"""),"0804")</f>
        <v>0804</v>
      </c>
      <c r="G710" s="240" t="str">
        <f ca="1">IFERROR(__xludf.DUMMYFUNCTION("""COMPUTED_VALUE"""),"111678")</f>
        <v>111678</v>
      </c>
      <c r="H710" s="240" t="str">
        <f ca="1">IFERROR(__xludf.DUMMYFUNCTION("""COMPUTED_VALUE"""),"INDIGENA PARCIAL")</f>
        <v>INDIGENA PARCIAL</v>
      </c>
      <c r="I710" s="242">
        <f ca="1">IFERROR(__xludf.DUMMYFUNCTION("""COMPUTED_VALUE"""),21441)</f>
        <v>21441</v>
      </c>
      <c r="J710" s="235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</row>
    <row r="711" spans="1:26" ht="21" customHeight="1">
      <c r="A711" s="240" t="str">
        <f ca="1">IFERROR(__xludf.DUMMYFUNCTION("""COMPUTED_VALUE"""),"Paraíso")</f>
        <v>Paraíso</v>
      </c>
      <c r="B711" s="240" t="str">
        <f ca="1">IFERROR(__xludf.DUMMYFUNCTION("""COMPUTED_VALUE"""),"Paraiso do Tocantins")</f>
        <v>Paraiso do Tocantins</v>
      </c>
      <c r="C711" s="240" t="str">
        <f ca="1">IFERROR(__xludf.DUMMYFUNCTION("""COMPUTED_VALUE"""),"AAE. ESPECIAL LUZ DA VIDA")</f>
        <v>AAE. ESPECIAL LUZ DA VIDA</v>
      </c>
      <c r="D711" s="241" t="str">
        <f ca="1">IFERROR(__xludf.DUMMYFUNCTION("""COMPUTED_VALUE"""),"07905330000175")</f>
        <v>07905330000175</v>
      </c>
      <c r="E711" s="241" t="str">
        <f ca="1">IFERROR(__xludf.DUMMYFUNCTION("""COMPUTED_VALUE"""),"001")</f>
        <v>001</v>
      </c>
      <c r="F711" s="241" t="str">
        <f ca="1">IFERROR(__xludf.DUMMYFUNCTION("""COMPUTED_VALUE"""),"0804")</f>
        <v>0804</v>
      </c>
      <c r="G711" s="240" t="str">
        <f ca="1">IFERROR(__xludf.DUMMYFUNCTION("""COMPUTED_VALUE"""),"331724")</f>
        <v>331724</v>
      </c>
      <c r="H711" s="240" t="str">
        <f ca="1">IFERROR(__xludf.DUMMYFUNCTION("""COMPUTED_VALUE"""),"PRÉ-ESCOLA")</f>
        <v>PRÉ-ESCOLA</v>
      </c>
      <c r="I711" s="242">
        <f ca="1">IFERROR(__xludf.DUMMYFUNCTION("""COMPUTED_VALUE"""),273)</f>
        <v>273</v>
      </c>
      <c r="J711" s="235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</row>
    <row r="712" spans="1:26" ht="21" customHeight="1">
      <c r="A712" s="240" t="str">
        <f ca="1">IFERROR(__xludf.DUMMYFUNCTION("""COMPUTED_VALUE"""),"Paraíso")</f>
        <v>Paraíso</v>
      </c>
      <c r="B712" s="240" t="str">
        <f ca="1">IFERROR(__xludf.DUMMYFUNCTION("""COMPUTED_VALUE"""),"Paraiso do Tocantins")</f>
        <v>Paraiso do Tocantins</v>
      </c>
      <c r="C712" s="240" t="str">
        <f ca="1">IFERROR(__xludf.DUMMYFUNCTION("""COMPUTED_VALUE"""),"AAE. ESPECIAL LUZ DA VIDA")</f>
        <v>AAE. ESPECIAL LUZ DA VIDA</v>
      </c>
      <c r="D712" s="241" t="str">
        <f ca="1">IFERROR(__xludf.DUMMYFUNCTION("""COMPUTED_VALUE"""),"07905330000175")</f>
        <v>07905330000175</v>
      </c>
      <c r="E712" s="241" t="str">
        <f ca="1">IFERROR(__xludf.DUMMYFUNCTION("""COMPUTED_VALUE"""),"001")</f>
        <v>001</v>
      </c>
      <c r="F712" s="241" t="str">
        <f ca="1">IFERROR(__xludf.DUMMYFUNCTION("""COMPUTED_VALUE"""),"0804")</f>
        <v>0804</v>
      </c>
      <c r="G712" s="240" t="str">
        <f ca="1">IFERROR(__xludf.DUMMYFUNCTION("""COMPUTED_VALUE"""),"331724")</f>
        <v>331724</v>
      </c>
      <c r="H712" s="240" t="str">
        <f ca="1">IFERROR(__xludf.DUMMYFUNCTION("""COMPUTED_VALUE"""),"E.F. PARCIAL")</f>
        <v>E.F. PARCIAL</v>
      </c>
      <c r="I712" s="242">
        <f ca="1">IFERROR(__xludf.DUMMYFUNCTION("""COMPUTED_VALUE"""),525)</f>
        <v>525</v>
      </c>
      <c r="J712" s="235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</row>
    <row r="713" spans="1:26" ht="21" customHeight="1">
      <c r="A713" s="240" t="str">
        <f ca="1">IFERROR(__xludf.DUMMYFUNCTION("""COMPUTED_VALUE"""),"Paraíso")</f>
        <v>Paraíso</v>
      </c>
      <c r="B713" s="240" t="str">
        <f ca="1">IFERROR(__xludf.DUMMYFUNCTION("""COMPUTED_VALUE"""),"Paraiso do Tocantins")</f>
        <v>Paraiso do Tocantins</v>
      </c>
      <c r="C713" s="240" t="str">
        <f ca="1">IFERROR(__xludf.DUMMYFUNCTION("""COMPUTED_VALUE"""),"AAE. ESPECIAL LUZ DA VIDA")</f>
        <v>AAE. ESPECIAL LUZ DA VIDA</v>
      </c>
      <c r="D713" s="241" t="str">
        <f ca="1">IFERROR(__xludf.DUMMYFUNCTION("""COMPUTED_VALUE"""),"07905330000175")</f>
        <v>07905330000175</v>
      </c>
      <c r="E713" s="241" t="str">
        <f ca="1">IFERROR(__xludf.DUMMYFUNCTION("""COMPUTED_VALUE"""),"001")</f>
        <v>001</v>
      </c>
      <c r="F713" s="241" t="str">
        <f ca="1">IFERROR(__xludf.DUMMYFUNCTION("""COMPUTED_VALUE"""),"0804")</f>
        <v>0804</v>
      </c>
      <c r="G713" s="240" t="str">
        <f ca="1">IFERROR(__xludf.DUMMYFUNCTION("""COMPUTED_VALUE"""),"331724")</f>
        <v>331724</v>
      </c>
      <c r="H713" s="240" t="str">
        <f ca="1">IFERROR(__xludf.DUMMYFUNCTION("""COMPUTED_VALUE"""),"AEE")</f>
        <v>AEE</v>
      </c>
      <c r="I713" s="242">
        <f ca="1">IFERROR(__xludf.DUMMYFUNCTION("""COMPUTED_VALUE"""),1365)</f>
        <v>1365</v>
      </c>
      <c r="J713" s="235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</row>
    <row r="714" spans="1:26" ht="21" customHeight="1">
      <c r="A714" s="240" t="str">
        <f ca="1">IFERROR(__xludf.DUMMYFUNCTION("""COMPUTED_VALUE"""),"Paraíso")</f>
        <v>Paraíso</v>
      </c>
      <c r="B714" s="240" t="str">
        <f ca="1">IFERROR(__xludf.DUMMYFUNCTION("""COMPUTED_VALUE"""),"Paraiso do Tocantins")</f>
        <v>Paraiso do Tocantins</v>
      </c>
      <c r="C714" s="240" t="str">
        <f ca="1">IFERROR(__xludf.DUMMYFUNCTION("""COMPUTED_VALUE"""),"AAE. ESPECIAL LUZ DA VIDA")</f>
        <v>AAE. ESPECIAL LUZ DA VIDA</v>
      </c>
      <c r="D714" s="241" t="str">
        <f ca="1">IFERROR(__xludf.DUMMYFUNCTION("""COMPUTED_VALUE"""),"07905330000175")</f>
        <v>07905330000175</v>
      </c>
      <c r="E714" s="241" t="str">
        <f ca="1">IFERROR(__xludf.DUMMYFUNCTION("""COMPUTED_VALUE"""),"001")</f>
        <v>001</v>
      </c>
      <c r="F714" s="241" t="str">
        <f ca="1">IFERROR(__xludf.DUMMYFUNCTION("""COMPUTED_VALUE"""),"0804")</f>
        <v>0804</v>
      </c>
      <c r="G714" s="240" t="str">
        <f ca="1">IFERROR(__xludf.DUMMYFUNCTION("""COMPUTED_VALUE"""),"331724")</f>
        <v>331724</v>
      </c>
      <c r="H714" s="240" t="str">
        <f ca="1">IFERROR(__xludf.DUMMYFUNCTION("""COMPUTED_VALUE"""),"EJA")</f>
        <v>EJA</v>
      </c>
      <c r="I714" s="242">
        <f ca="1">IFERROR(__xludf.DUMMYFUNCTION("""COMPUTED_VALUE"""),1386)</f>
        <v>1386</v>
      </c>
      <c r="J714" s="235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</row>
    <row r="715" spans="1:26" ht="21" customHeight="1">
      <c r="A715" s="240" t="str">
        <f ca="1">IFERROR(__xludf.DUMMYFUNCTION("""COMPUTED_VALUE"""),"Paraíso")</f>
        <v>Paraíso</v>
      </c>
      <c r="B715" s="240" t="str">
        <f ca="1">IFERROR(__xludf.DUMMYFUNCTION("""COMPUTED_VALUE"""),"Paraiso do Tocantins")</f>
        <v>Paraiso do Tocantins</v>
      </c>
      <c r="C715" s="240" t="str">
        <f ca="1">IFERROR(__xludf.DUMMYFUNCTION("""COMPUTED_VALUE"""),"A.A. COLÉGIO MILITAR DIACONÍZIO BEZERRA DA SILVA")</f>
        <v>A.A. COLÉGIO MILITAR DIACONÍZIO BEZERRA DA SILVA</v>
      </c>
      <c r="D715" s="241" t="str">
        <f ca="1">IFERROR(__xludf.DUMMYFUNCTION("""COMPUTED_VALUE"""),"11675300000197")</f>
        <v>11675300000197</v>
      </c>
      <c r="E715" s="241" t="str">
        <f ca="1">IFERROR(__xludf.DUMMYFUNCTION("""COMPUTED_VALUE"""),"001")</f>
        <v>001</v>
      </c>
      <c r="F715" s="241" t="str">
        <f ca="1">IFERROR(__xludf.DUMMYFUNCTION("""COMPUTED_VALUE"""),"0804")</f>
        <v>0804</v>
      </c>
      <c r="G715" s="240" t="str">
        <f ca="1">IFERROR(__xludf.DUMMYFUNCTION("""COMPUTED_VALUE"""),"320781")</f>
        <v>320781</v>
      </c>
      <c r="H715" s="240" t="str">
        <f ca="1">IFERROR(__xludf.DUMMYFUNCTION("""COMPUTED_VALUE"""),"E.F. PARCIAL")</f>
        <v>E.F. PARCIAL</v>
      </c>
      <c r="I715" s="242">
        <f ca="1">IFERROR(__xludf.DUMMYFUNCTION("""COMPUTED_VALUE"""),12600)</f>
        <v>12600</v>
      </c>
      <c r="J715" s="235"/>
      <c r="K715" s="235"/>
      <c r="L715" s="235"/>
      <c r="M715" s="235"/>
      <c r="N715" s="235"/>
      <c r="O715" s="235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  <c r="Z715" s="235"/>
    </row>
    <row r="716" spans="1:26" ht="21" customHeight="1">
      <c r="A716" s="240" t="str">
        <f ca="1">IFERROR(__xludf.DUMMYFUNCTION("""COMPUTED_VALUE"""),"Paraíso")</f>
        <v>Paraíso</v>
      </c>
      <c r="B716" s="240" t="str">
        <f ca="1">IFERROR(__xludf.DUMMYFUNCTION("""COMPUTED_VALUE"""),"Paraiso do Tocantins")</f>
        <v>Paraiso do Tocantins</v>
      </c>
      <c r="C716" s="240" t="str">
        <f ca="1">IFERROR(__xludf.DUMMYFUNCTION("""COMPUTED_VALUE"""),"A.A. COLÉGIO MILITAR DIACONÍZIO BEZERRA DA SILVA")</f>
        <v>A.A. COLÉGIO MILITAR DIACONÍZIO BEZERRA DA SILVA</v>
      </c>
      <c r="D716" s="241" t="str">
        <f ca="1">IFERROR(__xludf.DUMMYFUNCTION("""COMPUTED_VALUE"""),"11675300000197")</f>
        <v>11675300000197</v>
      </c>
      <c r="E716" s="241" t="str">
        <f ca="1">IFERROR(__xludf.DUMMYFUNCTION("""COMPUTED_VALUE"""),"001")</f>
        <v>001</v>
      </c>
      <c r="F716" s="241" t="str">
        <f ca="1">IFERROR(__xludf.DUMMYFUNCTION("""COMPUTED_VALUE"""),"0804")</f>
        <v>0804</v>
      </c>
      <c r="G716" s="240" t="str">
        <f ca="1">IFERROR(__xludf.DUMMYFUNCTION("""COMPUTED_VALUE"""),"320781")</f>
        <v>320781</v>
      </c>
      <c r="H716" s="240" t="str">
        <f ca="1">IFERROR(__xludf.DUMMYFUNCTION("""COMPUTED_VALUE"""),"ENS MEDIO PARCIAL")</f>
        <v>ENS MEDIO PARCIAL</v>
      </c>
      <c r="I716" s="242">
        <f ca="1">IFERROR(__xludf.DUMMYFUNCTION("""COMPUTED_VALUE"""),6615)</f>
        <v>6615</v>
      </c>
      <c r="J716" s="235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</row>
    <row r="717" spans="1:26" ht="21" customHeight="1">
      <c r="A717" s="240" t="str">
        <f ca="1">IFERROR(__xludf.DUMMYFUNCTION("""COMPUTED_VALUE"""),"Paraíso")</f>
        <v>Paraíso</v>
      </c>
      <c r="B717" s="240" t="str">
        <f ca="1">IFERROR(__xludf.DUMMYFUNCTION("""COMPUTED_VALUE"""),"Pium")</f>
        <v>Pium</v>
      </c>
      <c r="C717" s="240" t="str">
        <f ca="1">IFERROR(__xludf.DUMMYFUNCTION("""COMPUTED_VALUE"""),"A.A. COLEGIO ESTADUAL BARTOLOMEU BUENO")</f>
        <v>A.A. COLEGIO ESTADUAL BARTOLOMEU BUENO</v>
      </c>
      <c r="D717" s="241" t="str">
        <f ca="1">IFERROR(__xludf.DUMMYFUNCTION("""COMPUTED_VALUE"""),"01071436000134")</f>
        <v>01071436000134</v>
      </c>
      <c r="E717" s="241" t="str">
        <f ca="1">IFERROR(__xludf.DUMMYFUNCTION("""COMPUTED_VALUE"""),"001")</f>
        <v>001</v>
      </c>
      <c r="F717" s="241" t="str">
        <f ca="1">IFERROR(__xludf.DUMMYFUNCTION("""COMPUTED_VALUE"""),"0804")</f>
        <v>0804</v>
      </c>
      <c r="G717" s="240" t="str">
        <f ca="1">IFERROR(__xludf.DUMMYFUNCTION("""COMPUTED_VALUE"""),"286206")</f>
        <v>286206</v>
      </c>
      <c r="H717" s="240" t="str">
        <f ca="1">IFERROR(__xludf.DUMMYFUNCTION("""COMPUTED_VALUE"""),"E.F. PARCIAL")</f>
        <v>E.F. PARCIAL</v>
      </c>
      <c r="I717" s="242">
        <f ca="1">IFERROR(__xludf.DUMMYFUNCTION("""COMPUTED_VALUE"""),1239)</f>
        <v>1239</v>
      </c>
      <c r="J717" s="235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</row>
    <row r="718" spans="1:26" ht="21" customHeight="1">
      <c r="A718" s="240" t="str">
        <f ca="1">IFERROR(__xludf.DUMMYFUNCTION("""COMPUTED_VALUE"""),"Paraíso")</f>
        <v>Paraíso</v>
      </c>
      <c r="B718" s="240" t="str">
        <f ca="1">IFERROR(__xludf.DUMMYFUNCTION("""COMPUTED_VALUE"""),"Pium")</f>
        <v>Pium</v>
      </c>
      <c r="C718" s="240" t="str">
        <f ca="1">IFERROR(__xludf.DUMMYFUNCTION("""COMPUTED_VALUE"""),"A.A. COLEGIO ESTADUAL BARTOLOMEU BUENO")</f>
        <v>A.A. COLEGIO ESTADUAL BARTOLOMEU BUENO</v>
      </c>
      <c r="D718" s="241" t="str">
        <f ca="1">IFERROR(__xludf.DUMMYFUNCTION("""COMPUTED_VALUE"""),"01071436000134")</f>
        <v>01071436000134</v>
      </c>
      <c r="E718" s="241" t="str">
        <f ca="1">IFERROR(__xludf.DUMMYFUNCTION("""COMPUTED_VALUE"""),"001")</f>
        <v>001</v>
      </c>
      <c r="F718" s="241" t="str">
        <f ca="1">IFERROR(__xludf.DUMMYFUNCTION("""COMPUTED_VALUE"""),"0804")</f>
        <v>0804</v>
      </c>
      <c r="G718" s="240" t="str">
        <f ca="1">IFERROR(__xludf.DUMMYFUNCTION("""COMPUTED_VALUE"""),"286206")</f>
        <v>286206</v>
      </c>
      <c r="H718" s="240" t="str">
        <f ca="1">IFERROR(__xludf.DUMMYFUNCTION("""COMPUTED_VALUE"""),"AEE")</f>
        <v>AEE</v>
      </c>
      <c r="I718" s="242">
        <f ca="1">IFERROR(__xludf.DUMMYFUNCTION("""COMPUTED_VALUE"""),210)</f>
        <v>210</v>
      </c>
      <c r="J718" s="235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</row>
    <row r="719" spans="1:26" ht="21" customHeight="1">
      <c r="A719" s="240" t="str">
        <f ca="1">IFERROR(__xludf.DUMMYFUNCTION("""COMPUTED_VALUE"""),"Paraíso")</f>
        <v>Paraíso</v>
      </c>
      <c r="B719" s="240" t="str">
        <f ca="1">IFERROR(__xludf.DUMMYFUNCTION("""COMPUTED_VALUE"""),"Pium")</f>
        <v>Pium</v>
      </c>
      <c r="C719" s="240" t="str">
        <f ca="1">IFERROR(__xludf.DUMMYFUNCTION("""COMPUTED_VALUE"""),"A.A. COLEGIO ESTADUAL BARTOLOMEU BUENO")</f>
        <v>A.A. COLEGIO ESTADUAL BARTOLOMEU BUENO</v>
      </c>
      <c r="D719" s="241" t="str">
        <f ca="1">IFERROR(__xludf.DUMMYFUNCTION("""COMPUTED_VALUE"""),"01071436000134")</f>
        <v>01071436000134</v>
      </c>
      <c r="E719" s="241" t="str">
        <f ca="1">IFERROR(__xludf.DUMMYFUNCTION("""COMPUTED_VALUE"""),"001")</f>
        <v>001</v>
      </c>
      <c r="F719" s="241" t="str">
        <f ca="1">IFERROR(__xludf.DUMMYFUNCTION("""COMPUTED_VALUE"""),"0804")</f>
        <v>0804</v>
      </c>
      <c r="G719" s="240" t="str">
        <f ca="1">IFERROR(__xludf.DUMMYFUNCTION("""COMPUTED_VALUE"""),"286206")</f>
        <v>286206</v>
      </c>
      <c r="H719" s="240" t="str">
        <f ca="1">IFERROR(__xludf.DUMMYFUNCTION("""COMPUTED_VALUE"""),"ENS MEDIO PARCIAL")</f>
        <v>ENS MEDIO PARCIAL</v>
      </c>
      <c r="I719" s="242">
        <f ca="1">IFERROR(__xludf.DUMMYFUNCTION("""COMPUTED_VALUE"""),5544)</f>
        <v>5544</v>
      </c>
      <c r="J719" s="235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</row>
    <row r="720" spans="1:26" ht="21" customHeight="1">
      <c r="A720" s="240" t="str">
        <f ca="1">IFERROR(__xludf.DUMMYFUNCTION("""COMPUTED_VALUE"""),"Paraíso")</f>
        <v>Paraíso</v>
      </c>
      <c r="B720" s="240" t="str">
        <f ca="1">IFERROR(__xludf.DUMMYFUNCTION("""COMPUTED_VALUE"""),"Pugmil")</f>
        <v>Pugmil</v>
      </c>
      <c r="C720" s="240" t="str">
        <f ca="1">IFERROR(__xludf.DUMMYFUNCTION("""COMPUTED_VALUE"""),"A.A. DA ESC. EST. DARCY RIBEIRO")</f>
        <v>A.A. DA ESC. EST. DARCY RIBEIRO</v>
      </c>
      <c r="D720" s="241" t="str">
        <f ca="1">IFERROR(__xludf.DUMMYFUNCTION("""COMPUTED_VALUE"""),"02382845000114")</f>
        <v>02382845000114</v>
      </c>
      <c r="E720" s="241" t="str">
        <f ca="1">IFERROR(__xludf.DUMMYFUNCTION("""COMPUTED_VALUE"""),"001")</f>
        <v>001</v>
      </c>
      <c r="F720" s="241" t="str">
        <f ca="1">IFERROR(__xludf.DUMMYFUNCTION("""COMPUTED_VALUE"""),"0804")</f>
        <v>0804</v>
      </c>
      <c r="G720" s="240" t="str">
        <f ca="1">IFERROR(__xludf.DUMMYFUNCTION("""COMPUTED_VALUE"""),"286648")</f>
        <v>286648</v>
      </c>
      <c r="H720" s="240" t="str">
        <f ca="1">IFERROR(__xludf.DUMMYFUNCTION("""COMPUTED_VALUE"""),"E.F. PARCIAL")</f>
        <v>E.F. PARCIAL</v>
      </c>
      <c r="I720" s="242">
        <f ca="1">IFERROR(__xludf.DUMMYFUNCTION("""COMPUTED_VALUE"""),1239)</f>
        <v>1239</v>
      </c>
      <c r="J720" s="235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</row>
    <row r="721" spans="1:26" ht="21" customHeight="1">
      <c r="A721" s="240" t="str">
        <f ca="1">IFERROR(__xludf.DUMMYFUNCTION("""COMPUTED_VALUE"""),"Paraíso")</f>
        <v>Paraíso</v>
      </c>
      <c r="B721" s="240" t="str">
        <f ca="1">IFERROR(__xludf.DUMMYFUNCTION("""COMPUTED_VALUE"""),"Pugmil")</f>
        <v>Pugmil</v>
      </c>
      <c r="C721" s="240" t="str">
        <f ca="1">IFERROR(__xludf.DUMMYFUNCTION("""COMPUTED_VALUE"""),"A.A. DA ESC. EST. DARCY RIBEIRO")</f>
        <v>A.A. DA ESC. EST. DARCY RIBEIRO</v>
      </c>
      <c r="D721" s="241" t="str">
        <f ca="1">IFERROR(__xludf.DUMMYFUNCTION("""COMPUTED_VALUE"""),"02382845000114")</f>
        <v>02382845000114</v>
      </c>
      <c r="E721" s="241" t="str">
        <f ca="1">IFERROR(__xludf.DUMMYFUNCTION("""COMPUTED_VALUE"""),"001")</f>
        <v>001</v>
      </c>
      <c r="F721" s="241" t="str">
        <f ca="1">IFERROR(__xludf.DUMMYFUNCTION("""COMPUTED_VALUE"""),"0804")</f>
        <v>0804</v>
      </c>
      <c r="G721" s="240" t="str">
        <f ca="1">IFERROR(__xludf.DUMMYFUNCTION("""COMPUTED_VALUE"""),"286648")</f>
        <v>286648</v>
      </c>
      <c r="H721" s="240" t="str">
        <f ca="1">IFERROR(__xludf.DUMMYFUNCTION("""COMPUTED_VALUE"""),"ENS MEDIO PARCIAL")</f>
        <v>ENS MEDIO PARCIAL</v>
      </c>
      <c r="I721" s="242">
        <f ca="1">IFERROR(__xludf.DUMMYFUNCTION("""COMPUTED_VALUE"""),2037)</f>
        <v>2037</v>
      </c>
      <c r="J721" s="235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</row>
    <row r="722" spans="1:26" ht="21" customHeight="1">
      <c r="A722" s="240" t="str">
        <f ca="1">IFERROR(__xludf.DUMMYFUNCTION("""COMPUTED_VALUE"""),"Paraíso")</f>
        <v>Paraíso</v>
      </c>
      <c r="B722" s="240" t="str">
        <f ca="1">IFERROR(__xludf.DUMMYFUNCTION("""COMPUTED_VALUE"""),"Pugmil")</f>
        <v>Pugmil</v>
      </c>
      <c r="C722" s="240" t="str">
        <f ca="1">IFERROR(__xludf.DUMMYFUNCTION("""COMPUTED_VALUE"""),"A.A. DA ESC. EST. DARCY RIBEIRO")</f>
        <v>A.A. DA ESC. EST. DARCY RIBEIRO</v>
      </c>
      <c r="D722" s="241" t="str">
        <f ca="1">IFERROR(__xludf.DUMMYFUNCTION("""COMPUTED_VALUE"""),"02382845000114")</f>
        <v>02382845000114</v>
      </c>
      <c r="E722" s="241" t="str">
        <f ca="1">IFERROR(__xludf.DUMMYFUNCTION("""COMPUTED_VALUE"""),"001")</f>
        <v>001</v>
      </c>
      <c r="F722" s="241" t="str">
        <f ca="1">IFERROR(__xludf.DUMMYFUNCTION("""COMPUTED_VALUE"""),"0804")</f>
        <v>0804</v>
      </c>
      <c r="G722" s="240" t="str">
        <f ca="1">IFERROR(__xludf.DUMMYFUNCTION("""COMPUTED_VALUE"""),"286648")</f>
        <v>286648</v>
      </c>
      <c r="H722" s="240" t="str">
        <f ca="1">IFERROR(__xludf.DUMMYFUNCTION("""COMPUTED_VALUE"""),"EJA")</f>
        <v>EJA</v>
      </c>
      <c r="I722" s="242">
        <f ca="1">IFERROR(__xludf.DUMMYFUNCTION("""COMPUTED_VALUE"""),966)</f>
        <v>966</v>
      </c>
      <c r="J722" s="235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</row>
    <row r="723" spans="1:26" ht="21" customHeight="1">
      <c r="A723" s="240" t="str">
        <f ca="1">IFERROR(__xludf.DUMMYFUNCTION("""COMPUTED_VALUE"""),"Pedro Afonso")</f>
        <v>Pedro Afonso</v>
      </c>
      <c r="B723" s="240" t="str">
        <f ca="1">IFERROR(__xludf.DUMMYFUNCTION("""COMPUTED_VALUE"""),"Bom Jesus do Tocantins")</f>
        <v>Bom Jesus do Tocantins</v>
      </c>
      <c r="C723" s="240" t="str">
        <f ca="1">IFERROR(__xludf.DUMMYFUNCTION("""COMPUTED_VALUE"""),"ASSOC. DE AP.A ESC. EST. ALFREDO NASSER")</f>
        <v>ASSOC. DE AP.A ESC. EST. ALFREDO NASSER</v>
      </c>
      <c r="D723" s="241" t="str">
        <f ca="1">IFERROR(__xludf.DUMMYFUNCTION("""COMPUTED_VALUE"""),"01138329000186")</f>
        <v>01138329000186</v>
      </c>
      <c r="E723" s="241" t="str">
        <f ca="1">IFERROR(__xludf.DUMMYFUNCTION("""COMPUTED_VALUE"""),"001")</f>
        <v>001</v>
      </c>
      <c r="F723" s="241" t="str">
        <f ca="1">IFERROR(__xludf.DUMMYFUNCTION("""COMPUTED_VALUE"""),"1595")</f>
        <v>1595</v>
      </c>
      <c r="G723" s="240" t="str">
        <f ca="1">IFERROR(__xludf.DUMMYFUNCTION("""COMPUTED_VALUE"""),"59277")</f>
        <v>59277</v>
      </c>
      <c r="H723" s="240" t="str">
        <f ca="1">IFERROR(__xludf.DUMMYFUNCTION("""COMPUTED_VALUE"""),"E.F. PARCIAL")</f>
        <v>E.F. PARCIAL</v>
      </c>
      <c r="I723" s="242">
        <f ca="1">IFERROR(__xludf.DUMMYFUNCTION("""COMPUTED_VALUE"""),5460)</f>
        <v>5460</v>
      </c>
      <c r="J723" s="235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</row>
    <row r="724" spans="1:26" ht="21" customHeight="1">
      <c r="A724" s="240" t="str">
        <f ca="1">IFERROR(__xludf.DUMMYFUNCTION("""COMPUTED_VALUE"""),"Pedro Afonso")</f>
        <v>Pedro Afonso</v>
      </c>
      <c r="B724" s="240" t="str">
        <f ca="1">IFERROR(__xludf.DUMMYFUNCTION("""COMPUTED_VALUE"""),"Bom Jesus do Tocantins")</f>
        <v>Bom Jesus do Tocantins</v>
      </c>
      <c r="C724" s="240" t="str">
        <f ca="1">IFERROR(__xludf.DUMMYFUNCTION("""COMPUTED_VALUE"""),"ASSOC. DE AP.A ESC. EST. ALFREDO NASSER")</f>
        <v>ASSOC. DE AP.A ESC. EST. ALFREDO NASSER</v>
      </c>
      <c r="D724" s="241" t="str">
        <f ca="1">IFERROR(__xludf.DUMMYFUNCTION("""COMPUTED_VALUE"""),"01138329000186")</f>
        <v>01138329000186</v>
      </c>
      <c r="E724" s="241" t="str">
        <f ca="1">IFERROR(__xludf.DUMMYFUNCTION("""COMPUTED_VALUE"""),"001")</f>
        <v>001</v>
      </c>
      <c r="F724" s="241" t="str">
        <f ca="1">IFERROR(__xludf.DUMMYFUNCTION("""COMPUTED_VALUE"""),"1595")</f>
        <v>1595</v>
      </c>
      <c r="G724" s="240" t="str">
        <f ca="1">IFERROR(__xludf.DUMMYFUNCTION("""COMPUTED_VALUE"""),"59277")</f>
        <v>59277</v>
      </c>
      <c r="H724" s="240" t="str">
        <f ca="1">IFERROR(__xludf.DUMMYFUNCTION("""COMPUTED_VALUE"""),"ENS MEDIO PARCIAL")</f>
        <v>ENS MEDIO PARCIAL</v>
      </c>
      <c r="I724" s="242">
        <f ca="1">IFERROR(__xludf.DUMMYFUNCTION("""COMPUTED_VALUE"""),4200)</f>
        <v>4200</v>
      </c>
      <c r="J724" s="235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</row>
    <row r="725" spans="1:26" ht="21" customHeight="1">
      <c r="A725" s="240" t="str">
        <f ca="1">IFERROR(__xludf.DUMMYFUNCTION("""COMPUTED_VALUE"""),"Pedro Afonso")</f>
        <v>Pedro Afonso</v>
      </c>
      <c r="B725" s="240" t="str">
        <f ca="1">IFERROR(__xludf.DUMMYFUNCTION("""COMPUTED_VALUE"""),"Centenario")</f>
        <v>Centenario</v>
      </c>
      <c r="C725" s="240" t="str">
        <f ca="1">IFERROR(__xludf.DUMMYFUNCTION("""COMPUTED_VALUE"""),"A. ESC. COM. DO COL. EST. OTONIEL C.DE JESUS")</f>
        <v>A. ESC. COM. DO COL. EST. OTONIEL C.DE JESUS</v>
      </c>
      <c r="D725" s="241" t="str">
        <f ca="1">IFERROR(__xludf.DUMMYFUNCTION("""COMPUTED_VALUE"""),"02008180000183")</f>
        <v>02008180000183</v>
      </c>
      <c r="E725" s="241" t="str">
        <f ca="1">IFERROR(__xludf.DUMMYFUNCTION("""COMPUTED_VALUE"""),"001")</f>
        <v>001</v>
      </c>
      <c r="F725" s="241" t="str">
        <f ca="1">IFERROR(__xludf.DUMMYFUNCTION("""COMPUTED_VALUE"""),"1595")</f>
        <v>1595</v>
      </c>
      <c r="G725" s="240" t="str">
        <f ca="1">IFERROR(__xludf.DUMMYFUNCTION("""COMPUTED_VALUE"""),"10081")</f>
        <v>10081</v>
      </c>
      <c r="H725" s="240" t="str">
        <f ca="1">IFERROR(__xludf.DUMMYFUNCTION("""COMPUTED_VALUE"""),"E.F. PARCIAL")</f>
        <v>E.F. PARCIAL</v>
      </c>
      <c r="I725" s="242">
        <f ca="1">IFERROR(__xludf.DUMMYFUNCTION("""COMPUTED_VALUE"""),714)</f>
        <v>714</v>
      </c>
      <c r="J725" s="235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</row>
    <row r="726" spans="1:26" ht="21" customHeight="1">
      <c r="A726" s="240" t="str">
        <f ca="1">IFERROR(__xludf.DUMMYFUNCTION("""COMPUTED_VALUE"""),"Pedro Afonso")</f>
        <v>Pedro Afonso</v>
      </c>
      <c r="B726" s="240" t="str">
        <f ca="1">IFERROR(__xludf.DUMMYFUNCTION("""COMPUTED_VALUE"""),"Centenario")</f>
        <v>Centenario</v>
      </c>
      <c r="C726" s="240" t="str">
        <f ca="1">IFERROR(__xludf.DUMMYFUNCTION("""COMPUTED_VALUE"""),"A. ESC. COM. DO COL. EST. OTONIEL C.DE JESUS")</f>
        <v>A. ESC. COM. DO COL. EST. OTONIEL C.DE JESUS</v>
      </c>
      <c r="D726" s="241" t="str">
        <f ca="1">IFERROR(__xludf.DUMMYFUNCTION("""COMPUTED_VALUE"""),"02008180000183")</f>
        <v>02008180000183</v>
      </c>
      <c r="E726" s="241" t="str">
        <f ca="1">IFERROR(__xludf.DUMMYFUNCTION("""COMPUTED_VALUE"""),"001")</f>
        <v>001</v>
      </c>
      <c r="F726" s="241" t="str">
        <f ca="1">IFERROR(__xludf.DUMMYFUNCTION("""COMPUTED_VALUE"""),"1595")</f>
        <v>1595</v>
      </c>
      <c r="G726" s="240" t="str">
        <f ca="1">IFERROR(__xludf.DUMMYFUNCTION("""COMPUTED_VALUE"""),"10081")</f>
        <v>10081</v>
      </c>
      <c r="H726" s="240" t="str">
        <f ca="1">IFERROR(__xludf.DUMMYFUNCTION("""COMPUTED_VALUE"""),"ENS MEDIO PARCIAL")</f>
        <v>ENS MEDIO PARCIAL</v>
      </c>
      <c r="I726" s="242">
        <f ca="1">IFERROR(__xludf.DUMMYFUNCTION("""COMPUTED_VALUE"""),2331)</f>
        <v>2331</v>
      </c>
      <c r="J726" s="235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</row>
    <row r="727" spans="1:26" ht="21" customHeight="1">
      <c r="A727" s="240" t="str">
        <f ca="1">IFERROR(__xludf.DUMMYFUNCTION("""COMPUTED_VALUE"""),"Pedro Afonso")</f>
        <v>Pedro Afonso</v>
      </c>
      <c r="B727" s="240" t="str">
        <f ca="1">IFERROR(__xludf.DUMMYFUNCTION("""COMPUTED_VALUE"""),"Itacaja")</f>
        <v>Itacaja</v>
      </c>
      <c r="C727" s="240" t="str">
        <f ca="1">IFERROR(__xludf.DUMMYFUNCTION("""COMPUTED_VALUE"""),"ASSOC. APOIO ESC. EST. ALMEIDA SARDINHA")</f>
        <v>ASSOC. APOIO ESC. EST. ALMEIDA SARDINHA</v>
      </c>
      <c r="D727" s="241" t="str">
        <f ca="1">IFERROR(__xludf.DUMMYFUNCTION("""COMPUTED_VALUE"""),"01138335000133")</f>
        <v>01138335000133</v>
      </c>
      <c r="E727" s="241" t="str">
        <f ca="1">IFERROR(__xludf.DUMMYFUNCTION("""COMPUTED_VALUE"""),"001")</f>
        <v>001</v>
      </c>
      <c r="F727" s="241" t="str">
        <f ca="1">IFERROR(__xludf.DUMMYFUNCTION("""COMPUTED_VALUE"""),"2094")</f>
        <v>2094</v>
      </c>
      <c r="G727" s="240" t="str">
        <f ca="1">IFERROR(__xludf.DUMMYFUNCTION("""COMPUTED_VALUE"""),"466484")</f>
        <v>466484</v>
      </c>
      <c r="H727" s="240" t="str">
        <f ca="1">IFERROR(__xludf.DUMMYFUNCTION("""COMPUTED_VALUE"""),"E.F. PARCIAL")</f>
        <v>E.F. PARCIAL</v>
      </c>
      <c r="I727" s="242">
        <f ca="1">IFERROR(__xludf.DUMMYFUNCTION("""COMPUTED_VALUE"""),1932)</f>
        <v>1932</v>
      </c>
      <c r="J727" s="235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</row>
    <row r="728" spans="1:26" ht="21" customHeight="1">
      <c r="A728" s="240" t="str">
        <f ca="1">IFERROR(__xludf.DUMMYFUNCTION("""COMPUTED_VALUE"""),"Pedro Afonso")</f>
        <v>Pedro Afonso</v>
      </c>
      <c r="B728" s="240" t="str">
        <f ca="1">IFERROR(__xludf.DUMMYFUNCTION("""COMPUTED_VALUE"""),"Itacaja")</f>
        <v>Itacaja</v>
      </c>
      <c r="C728" s="240" t="str">
        <f ca="1">IFERROR(__xludf.DUMMYFUNCTION("""COMPUTED_VALUE"""),"ASSOC. APOIO ESC. EST. ALMEIDA SARDINHA")</f>
        <v>ASSOC. APOIO ESC. EST. ALMEIDA SARDINHA</v>
      </c>
      <c r="D728" s="241" t="str">
        <f ca="1">IFERROR(__xludf.DUMMYFUNCTION("""COMPUTED_VALUE"""),"01138335000133")</f>
        <v>01138335000133</v>
      </c>
      <c r="E728" s="241" t="str">
        <f ca="1">IFERROR(__xludf.DUMMYFUNCTION("""COMPUTED_VALUE"""),"001")</f>
        <v>001</v>
      </c>
      <c r="F728" s="241" t="str">
        <f ca="1">IFERROR(__xludf.DUMMYFUNCTION("""COMPUTED_VALUE"""),"2094")</f>
        <v>2094</v>
      </c>
      <c r="G728" s="240" t="str">
        <f ca="1">IFERROR(__xludf.DUMMYFUNCTION("""COMPUTED_VALUE"""),"466484")</f>
        <v>466484</v>
      </c>
      <c r="H728" s="240" t="str">
        <f ca="1">IFERROR(__xludf.DUMMYFUNCTION("""COMPUTED_VALUE"""),"AEE")</f>
        <v>AEE</v>
      </c>
      <c r="I728" s="242">
        <f ca="1">IFERROR(__xludf.DUMMYFUNCTION("""COMPUTED_VALUE"""),168)</f>
        <v>168</v>
      </c>
      <c r="J728" s="235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</row>
    <row r="729" spans="1:26" ht="21" customHeight="1">
      <c r="A729" s="240" t="str">
        <f ca="1">IFERROR(__xludf.DUMMYFUNCTION("""COMPUTED_VALUE"""),"Pedro Afonso")</f>
        <v>Pedro Afonso</v>
      </c>
      <c r="B729" s="240" t="str">
        <f ca="1">IFERROR(__xludf.DUMMYFUNCTION("""COMPUTED_VALUE"""),"Itacaja")</f>
        <v>Itacaja</v>
      </c>
      <c r="C729" s="240" t="str">
        <f ca="1">IFERROR(__xludf.DUMMYFUNCTION("""COMPUTED_VALUE"""),"ASSOC. APOIO ESC. EST. ALMEIDA SARDINHA")</f>
        <v>ASSOC. APOIO ESC. EST. ALMEIDA SARDINHA</v>
      </c>
      <c r="D729" s="241" t="str">
        <f ca="1">IFERROR(__xludf.DUMMYFUNCTION("""COMPUTED_VALUE"""),"01138335000133")</f>
        <v>01138335000133</v>
      </c>
      <c r="E729" s="241" t="str">
        <f ca="1">IFERROR(__xludf.DUMMYFUNCTION("""COMPUTED_VALUE"""),"001")</f>
        <v>001</v>
      </c>
      <c r="F729" s="241" t="str">
        <f ca="1">IFERROR(__xludf.DUMMYFUNCTION("""COMPUTED_VALUE"""),"2094")</f>
        <v>2094</v>
      </c>
      <c r="G729" s="240" t="str">
        <f ca="1">IFERROR(__xludf.DUMMYFUNCTION("""COMPUTED_VALUE"""),"466484")</f>
        <v>466484</v>
      </c>
      <c r="H729" s="240" t="str">
        <f ca="1">IFERROR(__xludf.DUMMYFUNCTION("""COMPUTED_VALUE"""),"ENS MEDIO PARCIAL")</f>
        <v>ENS MEDIO PARCIAL</v>
      </c>
      <c r="I729" s="242">
        <f ca="1">IFERROR(__xludf.DUMMYFUNCTION("""COMPUTED_VALUE"""),1239)</f>
        <v>1239</v>
      </c>
      <c r="J729" s="235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</row>
    <row r="730" spans="1:26" ht="21" customHeight="1">
      <c r="A730" s="240" t="str">
        <f ca="1">IFERROR(__xludf.DUMMYFUNCTION("""COMPUTED_VALUE"""),"Pedro Afonso")</f>
        <v>Pedro Afonso</v>
      </c>
      <c r="B730" s="240" t="str">
        <f ca="1">IFERROR(__xludf.DUMMYFUNCTION("""COMPUTED_VALUE"""),"Itacaja")</f>
        <v>Itacaja</v>
      </c>
      <c r="C730" s="240" t="str">
        <f ca="1">IFERROR(__xludf.DUMMYFUNCTION("""COMPUTED_VALUE"""),"ASSOC. APOIO ESC. EST. ALMEIDA SARDINHA")</f>
        <v>ASSOC. APOIO ESC. EST. ALMEIDA SARDINHA</v>
      </c>
      <c r="D730" s="241" t="str">
        <f ca="1">IFERROR(__xludf.DUMMYFUNCTION("""COMPUTED_VALUE"""),"01138335000133")</f>
        <v>01138335000133</v>
      </c>
      <c r="E730" s="241" t="str">
        <f ca="1">IFERROR(__xludf.DUMMYFUNCTION("""COMPUTED_VALUE"""),"001")</f>
        <v>001</v>
      </c>
      <c r="F730" s="241" t="str">
        <f ca="1">IFERROR(__xludf.DUMMYFUNCTION("""COMPUTED_VALUE"""),"2094")</f>
        <v>2094</v>
      </c>
      <c r="G730" s="240" t="str">
        <f ca="1">IFERROR(__xludf.DUMMYFUNCTION("""COMPUTED_VALUE"""),"466484")</f>
        <v>466484</v>
      </c>
      <c r="H730" s="240" t="str">
        <f ca="1">IFERROR(__xludf.DUMMYFUNCTION("""COMPUTED_VALUE"""),"EJA")</f>
        <v>EJA</v>
      </c>
      <c r="I730" s="242">
        <f ca="1">IFERROR(__xludf.DUMMYFUNCTION("""COMPUTED_VALUE"""),945)</f>
        <v>945</v>
      </c>
      <c r="J730" s="235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</row>
    <row r="731" spans="1:26" ht="21" customHeight="1">
      <c r="A731" s="240" t="str">
        <f ca="1">IFERROR(__xludf.DUMMYFUNCTION("""COMPUTED_VALUE"""),"Pedro Afonso")</f>
        <v>Pedro Afonso</v>
      </c>
      <c r="B731" s="240" t="str">
        <f ca="1">IFERROR(__xludf.DUMMYFUNCTION("""COMPUTED_VALUE"""),"Itacaja")</f>
        <v>Itacaja</v>
      </c>
      <c r="C731" s="240" t="str">
        <f ca="1">IFERROR(__xludf.DUMMYFUNCTION("""COMPUTED_VALUE"""),"A.A. COLEGIO ESTADUAL DE ITACAJA")</f>
        <v>A.A. COLEGIO ESTADUAL DE ITACAJA</v>
      </c>
      <c r="D731" s="241" t="str">
        <f ca="1">IFERROR(__xludf.DUMMYFUNCTION("""COMPUTED_VALUE"""),"01138428000168")</f>
        <v>01138428000168</v>
      </c>
      <c r="E731" s="241" t="str">
        <f ca="1">IFERROR(__xludf.DUMMYFUNCTION("""COMPUTED_VALUE"""),"001")</f>
        <v>001</v>
      </c>
      <c r="F731" s="241" t="str">
        <f ca="1">IFERROR(__xludf.DUMMYFUNCTION("""COMPUTED_VALUE"""),"1595")</f>
        <v>1595</v>
      </c>
      <c r="G731" s="240" t="str">
        <f ca="1">IFERROR(__xludf.DUMMYFUNCTION("""COMPUTED_VALUE"""),"59773")</f>
        <v>59773</v>
      </c>
      <c r="H731" s="240" t="str">
        <f ca="1">IFERROR(__xludf.DUMMYFUNCTION("""COMPUTED_VALUE"""),"E.F. PARCIAL")</f>
        <v>E.F. PARCIAL</v>
      </c>
      <c r="I731" s="242">
        <f ca="1">IFERROR(__xludf.DUMMYFUNCTION("""COMPUTED_VALUE"""),6657)</f>
        <v>6657</v>
      </c>
      <c r="J731" s="235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</row>
    <row r="732" spans="1:26" ht="21" customHeight="1">
      <c r="A732" s="240" t="str">
        <f ca="1">IFERROR(__xludf.DUMMYFUNCTION("""COMPUTED_VALUE"""),"Pedro Afonso")</f>
        <v>Pedro Afonso</v>
      </c>
      <c r="B732" s="240" t="str">
        <f ca="1">IFERROR(__xludf.DUMMYFUNCTION("""COMPUTED_VALUE"""),"Itacaja")</f>
        <v>Itacaja</v>
      </c>
      <c r="C732" s="240" t="str">
        <f ca="1">IFERROR(__xludf.DUMMYFUNCTION("""COMPUTED_VALUE"""),"A.A. COLEGIO ESTADUAL DE ITACAJA")</f>
        <v>A.A. COLEGIO ESTADUAL DE ITACAJA</v>
      </c>
      <c r="D732" s="241" t="str">
        <f ca="1">IFERROR(__xludf.DUMMYFUNCTION("""COMPUTED_VALUE"""),"01138428000168")</f>
        <v>01138428000168</v>
      </c>
      <c r="E732" s="241" t="str">
        <f ca="1">IFERROR(__xludf.DUMMYFUNCTION("""COMPUTED_VALUE"""),"001")</f>
        <v>001</v>
      </c>
      <c r="F732" s="241" t="str">
        <f ca="1">IFERROR(__xludf.DUMMYFUNCTION("""COMPUTED_VALUE"""),"1595")</f>
        <v>1595</v>
      </c>
      <c r="G732" s="240" t="str">
        <f ca="1">IFERROR(__xludf.DUMMYFUNCTION("""COMPUTED_VALUE"""),"59773")</f>
        <v>59773</v>
      </c>
      <c r="H732" s="240" t="str">
        <f ca="1">IFERROR(__xludf.DUMMYFUNCTION("""COMPUTED_VALUE"""),"ENS MEDIO PARCIAL")</f>
        <v>ENS MEDIO PARCIAL</v>
      </c>
      <c r="I732" s="242">
        <f ca="1">IFERROR(__xludf.DUMMYFUNCTION("""COMPUTED_VALUE"""),4662)</f>
        <v>4662</v>
      </c>
      <c r="J732" s="235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</row>
    <row r="733" spans="1:26" ht="21" customHeight="1">
      <c r="A733" s="240" t="str">
        <f ca="1">IFERROR(__xludf.DUMMYFUNCTION("""COMPUTED_VALUE"""),"Pedro Afonso")</f>
        <v>Pedro Afonso</v>
      </c>
      <c r="B733" s="240" t="str">
        <f ca="1">IFERROR(__xludf.DUMMYFUNCTION("""COMPUTED_VALUE"""),"Itacajá")</f>
        <v>Itacajá</v>
      </c>
      <c r="C733" s="240" t="str">
        <f ca="1">IFERROR(__xludf.DUMMYFUNCTION("""COMPUTED_VALUE"""),"A.A. ESCOLAS ESTADUAIS INDIGENAS DE ITACAJA II")</f>
        <v>A.A. ESCOLAS ESTADUAIS INDIGENAS DE ITACAJA II</v>
      </c>
      <c r="D733" s="241" t="str">
        <f ca="1">IFERROR(__xludf.DUMMYFUNCTION("""COMPUTED_VALUE"""),"43551682000133")</f>
        <v>43551682000133</v>
      </c>
      <c r="E733" s="241" t="str">
        <f ca="1">IFERROR(__xludf.DUMMYFUNCTION("""COMPUTED_VALUE"""),"001")</f>
        <v>001</v>
      </c>
      <c r="F733" s="241" t="str">
        <f ca="1">IFERROR(__xludf.DUMMYFUNCTION("""COMPUTED_VALUE"""),"1595")</f>
        <v>1595</v>
      </c>
      <c r="G733" s="240" t="str">
        <f ca="1">IFERROR(__xludf.DUMMYFUNCTION("""COMPUTED_VALUE"""),"327905")</f>
        <v>327905</v>
      </c>
      <c r="H733" s="240" t="str">
        <f ca="1">IFERROR(__xludf.DUMMYFUNCTION("""COMPUTED_VALUE"""),"INDIGENA PARCIAL")</f>
        <v>INDIGENA PARCIAL</v>
      </c>
      <c r="I733" s="242">
        <f ca="1">IFERROR(__xludf.DUMMYFUNCTION("""COMPUTED_VALUE"""),3486)</f>
        <v>3486</v>
      </c>
      <c r="J733" s="235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</row>
    <row r="734" spans="1:26" ht="21" customHeight="1">
      <c r="A734" s="240" t="str">
        <f ca="1">IFERROR(__xludf.DUMMYFUNCTION("""COMPUTED_VALUE"""),"Pedro Afonso")</f>
        <v>Pedro Afonso</v>
      </c>
      <c r="B734" s="240" t="str">
        <f ca="1">IFERROR(__xludf.DUMMYFUNCTION("""COMPUTED_VALUE"""),"Pedro Afonso")</f>
        <v>Pedro Afonso</v>
      </c>
      <c r="C734" s="240" t="str">
        <f ca="1">IFERROR(__xludf.DUMMYFUNCTION("""COMPUTED_VALUE"""),"A. DE PAIS E MEST. DA ESC. EST. ANA AMORIM")</f>
        <v>A. DE PAIS E MEST. DA ESC. EST. ANA AMORIM</v>
      </c>
      <c r="D734" s="241" t="str">
        <f ca="1">IFERROR(__xludf.DUMMYFUNCTION("""COMPUTED_VALUE"""),"01990364000129")</f>
        <v>01990364000129</v>
      </c>
      <c r="E734" s="241" t="str">
        <f ca="1">IFERROR(__xludf.DUMMYFUNCTION("""COMPUTED_VALUE"""),"001")</f>
        <v>001</v>
      </c>
      <c r="F734" s="241" t="str">
        <f ca="1">IFERROR(__xludf.DUMMYFUNCTION("""COMPUTED_VALUE"""),"1595")</f>
        <v>1595</v>
      </c>
      <c r="G734" s="240" t="str">
        <f ca="1">IFERROR(__xludf.DUMMYFUNCTION("""COMPUTED_VALUE"""),"59722")</f>
        <v>59722</v>
      </c>
      <c r="H734" s="240" t="str">
        <f ca="1">IFERROR(__xludf.DUMMYFUNCTION("""COMPUTED_VALUE"""),"E.F. PARCIAL")</f>
        <v>E.F. PARCIAL</v>
      </c>
      <c r="I734" s="242">
        <f ca="1">IFERROR(__xludf.DUMMYFUNCTION("""COMPUTED_VALUE"""),10416)</f>
        <v>10416</v>
      </c>
      <c r="J734" s="235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</row>
    <row r="735" spans="1:26" ht="21" customHeight="1">
      <c r="A735" s="240" t="str">
        <f ca="1">IFERROR(__xludf.DUMMYFUNCTION("""COMPUTED_VALUE"""),"Pedro Afonso")</f>
        <v>Pedro Afonso</v>
      </c>
      <c r="B735" s="240" t="str">
        <f ca="1">IFERROR(__xludf.DUMMYFUNCTION("""COMPUTED_VALUE"""),"Pedro Afonso")</f>
        <v>Pedro Afonso</v>
      </c>
      <c r="C735" s="240" t="str">
        <f ca="1">IFERROR(__xludf.DUMMYFUNCTION("""COMPUTED_VALUE"""),"A. DE PAIS E MEST. DA ESC. EST. ANA AMORIM")</f>
        <v>A. DE PAIS E MEST. DA ESC. EST. ANA AMORIM</v>
      </c>
      <c r="D735" s="241" t="str">
        <f ca="1">IFERROR(__xludf.DUMMYFUNCTION("""COMPUTED_VALUE"""),"01990364000129")</f>
        <v>01990364000129</v>
      </c>
      <c r="E735" s="241" t="str">
        <f ca="1">IFERROR(__xludf.DUMMYFUNCTION("""COMPUTED_VALUE"""),"001")</f>
        <v>001</v>
      </c>
      <c r="F735" s="241" t="str">
        <f ca="1">IFERROR(__xludf.DUMMYFUNCTION("""COMPUTED_VALUE"""),"1595")</f>
        <v>1595</v>
      </c>
      <c r="G735" s="240" t="str">
        <f ca="1">IFERROR(__xludf.DUMMYFUNCTION("""COMPUTED_VALUE"""),"59722")</f>
        <v>59722</v>
      </c>
      <c r="H735" s="240" t="str">
        <f ca="1">IFERROR(__xludf.DUMMYFUNCTION("""COMPUTED_VALUE"""),"AEE")</f>
        <v>AEE</v>
      </c>
      <c r="I735" s="242">
        <f ca="1">IFERROR(__xludf.DUMMYFUNCTION("""COMPUTED_VALUE"""),294)</f>
        <v>294</v>
      </c>
      <c r="J735" s="235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</row>
    <row r="736" spans="1:26" ht="21" customHeight="1">
      <c r="A736" s="240" t="str">
        <f ca="1">IFERROR(__xludf.DUMMYFUNCTION("""COMPUTED_VALUE"""),"Pedro Afonso")</f>
        <v>Pedro Afonso</v>
      </c>
      <c r="B736" s="240" t="str">
        <f ca="1">IFERROR(__xludf.DUMMYFUNCTION("""COMPUTED_VALUE"""),"Pedro Afonso")</f>
        <v>Pedro Afonso</v>
      </c>
      <c r="C736" s="240" t="str">
        <f ca="1">IFERROR(__xludf.DUMMYFUNCTION("""COMPUTED_VALUE"""),"A. DE PAIS E MEST. DA ESC. EST. ANA AMORIM")</f>
        <v>A. DE PAIS E MEST. DA ESC. EST. ANA AMORIM</v>
      </c>
      <c r="D736" s="241" t="str">
        <f ca="1">IFERROR(__xludf.DUMMYFUNCTION("""COMPUTED_VALUE"""),"01990364000129")</f>
        <v>01990364000129</v>
      </c>
      <c r="E736" s="241" t="str">
        <f ca="1">IFERROR(__xludf.DUMMYFUNCTION("""COMPUTED_VALUE"""),"001")</f>
        <v>001</v>
      </c>
      <c r="F736" s="241" t="str">
        <f ca="1">IFERROR(__xludf.DUMMYFUNCTION("""COMPUTED_VALUE"""),"1595")</f>
        <v>1595</v>
      </c>
      <c r="G736" s="240" t="str">
        <f ca="1">IFERROR(__xludf.DUMMYFUNCTION("""COMPUTED_VALUE"""),"59722")</f>
        <v>59722</v>
      </c>
      <c r="H736" s="240" t="str">
        <f ca="1">IFERROR(__xludf.DUMMYFUNCTION("""COMPUTED_VALUE"""),"EJA")</f>
        <v>EJA</v>
      </c>
      <c r="I736" s="242">
        <f ca="1">IFERROR(__xludf.DUMMYFUNCTION("""COMPUTED_VALUE"""),2499)</f>
        <v>2499</v>
      </c>
      <c r="J736" s="235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</row>
    <row r="737" spans="1:26" ht="21" customHeight="1">
      <c r="A737" s="240" t="str">
        <f ca="1">IFERROR(__xludf.DUMMYFUNCTION("""COMPUTED_VALUE"""),"Pedro Afonso")</f>
        <v>Pedro Afonso</v>
      </c>
      <c r="B737" s="240" t="str">
        <f ca="1">IFERROR(__xludf.DUMMYFUNCTION("""COMPUTED_VALUE"""),"Pedro Afonso")</f>
        <v>Pedro Afonso</v>
      </c>
      <c r="C737" s="240" t="str">
        <f ca="1">IFERROR(__xludf.DUMMYFUNCTION("""COMPUTED_VALUE"""),"A.A. ESCOLAR DO COLEGIO EST.CRISTO REI")</f>
        <v>A.A. ESCOLAR DO COLEGIO EST.CRISTO REI</v>
      </c>
      <c r="D737" s="241" t="str">
        <f ca="1">IFERROR(__xludf.DUMMYFUNCTION("""COMPUTED_VALUE"""),"02250658000187")</f>
        <v>02250658000187</v>
      </c>
      <c r="E737" s="241" t="str">
        <f ca="1">IFERROR(__xludf.DUMMYFUNCTION("""COMPUTED_VALUE"""),"001")</f>
        <v>001</v>
      </c>
      <c r="F737" s="241" t="str">
        <f ca="1">IFERROR(__xludf.DUMMYFUNCTION("""COMPUTED_VALUE"""),"1595")</f>
        <v>1595</v>
      </c>
      <c r="G737" s="240" t="str">
        <f ca="1">IFERROR(__xludf.DUMMYFUNCTION("""COMPUTED_VALUE"""),"66141")</f>
        <v>66141</v>
      </c>
      <c r="H737" s="240" t="str">
        <f ca="1">IFERROR(__xludf.DUMMYFUNCTION("""COMPUTED_VALUE"""),"AEE")</f>
        <v>AEE</v>
      </c>
      <c r="I737" s="242">
        <f ca="1">IFERROR(__xludf.DUMMYFUNCTION("""COMPUTED_VALUE"""),126)</f>
        <v>126</v>
      </c>
      <c r="J737" s="235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</row>
    <row r="738" spans="1:26" ht="21" customHeight="1">
      <c r="A738" s="240" t="str">
        <f ca="1">IFERROR(__xludf.DUMMYFUNCTION("""COMPUTED_VALUE"""),"Pedro Afonso")</f>
        <v>Pedro Afonso</v>
      </c>
      <c r="B738" s="240" t="str">
        <f ca="1">IFERROR(__xludf.DUMMYFUNCTION("""COMPUTED_VALUE"""),"Pedro Afonso")</f>
        <v>Pedro Afonso</v>
      </c>
      <c r="C738" s="240" t="str">
        <f ca="1">IFERROR(__xludf.DUMMYFUNCTION("""COMPUTED_VALUE"""),"A.A. ESCOLAR DO COLEGIO EST.CRISTO REI")</f>
        <v>A.A. ESCOLAR DO COLEGIO EST.CRISTO REI</v>
      </c>
      <c r="D738" s="241" t="str">
        <f ca="1">IFERROR(__xludf.DUMMYFUNCTION("""COMPUTED_VALUE"""),"02250658000187")</f>
        <v>02250658000187</v>
      </c>
      <c r="E738" s="241" t="str">
        <f ca="1">IFERROR(__xludf.DUMMYFUNCTION("""COMPUTED_VALUE"""),"001")</f>
        <v>001</v>
      </c>
      <c r="F738" s="241" t="str">
        <f ca="1">IFERROR(__xludf.DUMMYFUNCTION("""COMPUTED_VALUE"""),"1595")</f>
        <v>1595</v>
      </c>
      <c r="G738" s="240" t="str">
        <f ca="1">IFERROR(__xludf.DUMMYFUNCTION("""COMPUTED_VALUE"""),"66141")</f>
        <v>66141</v>
      </c>
      <c r="H738" s="240" t="str">
        <f ca="1">IFERROR(__xludf.DUMMYFUNCTION("""COMPUTED_VALUE"""),"ENS MEDIO PARCIAL")</f>
        <v>ENS MEDIO PARCIAL</v>
      </c>
      <c r="I738" s="242">
        <f ca="1">IFERROR(__xludf.DUMMYFUNCTION("""COMPUTED_VALUE"""),11319)</f>
        <v>11319</v>
      </c>
      <c r="J738" s="235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</row>
    <row r="739" spans="1:26" ht="21" customHeight="1">
      <c r="A739" s="240" t="str">
        <f ca="1">IFERROR(__xludf.DUMMYFUNCTION("""COMPUTED_VALUE"""),"Pedro Afonso")</f>
        <v>Pedro Afonso</v>
      </c>
      <c r="B739" s="240" t="str">
        <f ca="1">IFERROR(__xludf.DUMMYFUNCTION("""COMPUTED_VALUE"""),"Pedro Afonso")</f>
        <v>Pedro Afonso</v>
      </c>
      <c r="C739" s="240" t="str">
        <f ca="1">IFERROR(__xludf.DUMMYFUNCTION("""COMPUTED_VALUE"""),"A.A. E. EST.IS.DA REG.DE ENS.DE GUARAI")</f>
        <v>A.A. E. EST.IS.DA REG.DE ENS.DE GUARAI</v>
      </c>
      <c r="D739" s="241" t="str">
        <f ca="1">IFERROR(__xludf.DUMMYFUNCTION("""COMPUTED_VALUE"""),"02508361000179")</f>
        <v>02508361000179</v>
      </c>
      <c r="E739" s="241" t="str">
        <f ca="1">IFERROR(__xludf.DUMMYFUNCTION("""COMPUTED_VALUE"""),"001")</f>
        <v>001</v>
      </c>
      <c r="F739" s="241" t="str">
        <f ca="1">IFERROR(__xludf.DUMMYFUNCTION("""COMPUTED_VALUE"""),"1595")</f>
        <v>1595</v>
      </c>
      <c r="G739" s="240" t="str">
        <f ca="1">IFERROR(__xludf.DUMMYFUNCTION("""COMPUTED_VALUE"""),"110663")</f>
        <v>110663</v>
      </c>
      <c r="H739" s="240" t="str">
        <f ca="1">IFERROR(__xludf.DUMMYFUNCTION("""COMPUTED_VALUE"""),"E.F. PARCIAL")</f>
        <v>E.F. PARCIAL</v>
      </c>
      <c r="I739" s="242">
        <f ca="1">IFERROR(__xludf.DUMMYFUNCTION("""COMPUTED_VALUE"""),1743)</f>
        <v>1743</v>
      </c>
      <c r="J739" s="235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</row>
    <row r="740" spans="1:26" ht="21" customHeight="1">
      <c r="A740" s="240" t="str">
        <f ca="1">IFERROR(__xludf.DUMMYFUNCTION("""COMPUTED_VALUE"""),"Pedro Afonso")</f>
        <v>Pedro Afonso</v>
      </c>
      <c r="B740" s="240" t="str">
        <f ca="1">IFERROR(__xludf.DUMMYFUNCTION("""COMPUTED_VALUE"""),"Pedro Afonso")</f>
        <v>Pedro Afonso</v>
      </c>
      <c r="C740" s="240" t="str">
        <f ca="1">IFERROR(__xludf.DUMMYFUNCTION("""COMPUTED_VALUE"""),"A.A. E. EST.IS.DA REG.DE ENS.DE GUARAI")</f>
        <v>A.A. E. EST.IS.DA REG.DE ENS.DE GUARAI</v>
      </c>
      <c r="D740" s="241" t="str">
        <f ca="1">IFERROR(__xludf.DUMMYFUNCTION("""COMPUTED_VALUE"""),"02508361000179")</f>
        <v>02508361000179</v>
      </c>
      <c r="E740" s="241" t="str">
        <f ca="1">IFERROR(__xludf.DUMMYFUNCTION("""COMPUTED_VALUE"""),"001")</f>
        <v>001</v>
      </c>
      <c r="F740" s="241" t="str">
        <f ca="1">IFERROR(__xludf.DUMMYFUNCTION("""COMPUTED_VALUE"""),"1595")</f>
        <v>1595</v>
      </c>
      <c r="G740" s="240" t="str">
        <f ca="1">IFERROR(__xludf.DUMMYFUNCTION("""COMPUTED_VALUE"""),"110663")</f>
        <v>110663</v>
      </c>
      <c r="H740" s="240" t="str">
        <f ca="1">IFERROR(__xludf.DUMMYFUNCTION("""COMPUTED_VALUE"""),"AEE")</f>
        <v>AEE</v>
      </c>
      <c r="I740" s="242">
        <f ca="1">IFERROR(__xludf.DUMMYFUNCTION("""COMPUTED_VALUE"""),63)</f>
        <v>63</v>
      </c>
      <c r="J740" s="235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</row>
    <row r="741" spans="1:26" ht="21" customHeight="1">
      <c r="A741" s="240" t="str">
        <f ca="1">IFERROR(__xludf.DUMMYFUNCTION("""COMPUTED_VALUE"""),"Pedro Afonso")</f>
        <v>Pedro Afonso</v>
      </c>
      <c r="B741" s="240" t="str">
        <f ca="1">IFERROR(__xludf.DUMMYFUNCTION("""COMPUTED_VALUE"""),"Pedro Afonso")</f>
        <v>Pedro Afonso</v>
      </c>
      <c r="C741" s="240" t="str">
        <f ca="1">IFERROR(__xludf.DUMMYFUNCTION("""COMPUTED_VALUE"""),"A.A. E. EST.IS.DA REG.DE ENS.DE GUARAI")</f>
        <v>A.A. E. EST.IS.DA REG.DE ENS.DE GUARAI</v>
      </c>
      <c r="D741" s="241" t="str">
        <f ca="1">IFERROR(__xludf.DUMMYFUNCTION("""COMPUTED_VALUE"""),"02508361000179")</f>
        <v>02508361000179</v>
      </c>
      <c r="E741" s="241" t="str">
        <f ca="1">IFERROR(__xludf.DUMMYFUNCTION("""COMPUTED_VALUE"""),"001")</f>
        <v>001</v>
      </c>
      <c r="F741" s="241" t="str">
        <f ca="1">IFERROR(__xludf.DUMMYFUNCTION("""COMPUTED_VALUE"""),"1595")</f>
        <v>1595</v>
      </c>
      <c r="G741" s="240" t="str">
        <f ca="1">IFERROR(__xludf.DUMMYFUNCTION("""COMPUTED_VALUE"""),"110663")</f>
        <v>110663</v>
      </c>
      <c r="H741" s="240" t="str">
        <f ca="1">IFERROR(__xludf.DUMMYFUNCTION("""COMPUTED_VALUE"""),"ENS MEDIO PARCIAL")</f>
        <v>ENS MEDIO PARCIAL</v>
      </c>
      <c r="I741" s="242">
        <f ca="1">IFERROR(__xludf.DUMMYFUNCTION("""COMPUTED_VALUE"""),735)</f>
        <v>735</v>
      </c>
      <c r="J741" s="235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</row>
    <row r="742" spans="1:26" ht="21" customHeight="1">
      <c r="A742" s="240" t="str">
        <f ca="1">IFERROR(__xludf.DUMMYFUNCTION("""COMPUTED_VALUE"""),"Pedro Afonso")</f>
        <v>Pedro Afonso</v>
      </c>
      <c r="B742" s="240" t="str">
        <f ca="1">IFERROR(__xludf.DUMMYFUNCTION("""COMPUTED_VALUE"""),"Pedro Afonso")</f>
        <v>Pedro Afonso</v>
      </c>
      <c r="C742" s="240" t="str">
        <f ca="1">IFERROR(__xludf.DUMMYFUNCTION("""COMPUTED_VALUE"""),"ASSOCIAÇÃO DE PAIS E AMIGOS DOS EXCEPCIONAIS DE PEDRO AFONSO")</f>
        <v>ASSOCIAÇÃO DE PAIS E AMIGOS DOS EXCEPCIONAIS DE PEDRO AFONSO</v>
      </c>
      <c r="D742" s="241" t="str">
        <f ca="1">IFERROR(__xludf.DUMMYFUNCTION("""COMPUTED_VALUE"""),"04406588000139")</f>
        <v>04406588000139</v>
      </c>
      <c r="E742" s="241" t="str">
        <f ca="1">IFERROR(__xludf.DUMMYFUNCTION("""COMPUTED_VALUE"""),"001")</f>
        <v>001</v>
      </c>
      <c r="F742" s="241" t="str">
        <f ca="1">IFERROR(__xludf.DUMMYFUNCTION("""COMPUTED_VALUE"""),"1595")</f>
        <v>1595</v>
      </c>
      <c r="G742" s="240" t="str">
        <f ca="1">IFERROR(__xludf.DUMMYFUNCTION("""COMPUTED_VALUE"""),"119105")</f>
        <v>119105</v>
      </c>
      <c r="H742" s="240" t="str">
        <f ca="1">IFERROR(__xludf.DUMMYFUNCTION("""COMPUTED_VALUE"""),"E.F. PARCIAL")</f>
        <v>E.F. PARCIAL</v>
      </c>
      <c r="I742" s="242">
        <f ca="1">IFERROR(__xludf.DUMMYFUNCTION("""COMPUTED_VALUE"""),105)</f>
        <v>105</v>
      </c>
    </row>
    <row r="743" spans="1:26" ht="21" customHeight="1">
      <c r="A743" s="240" t="str">
        <f ca="1">IFERROR(__xludf.DUMMYFUNCTION("""COMPUTED_VALUE"""),"Pedro Afonso")</f>
        <v>Pedro Afonso</v>
      </c>
      <c r="B743" s="240" t="str">
        <f ca="1">IFERROR(__xludf.DUMMYFUNCTION("""COMPUTED_VALUE"""),"Pedro Afonso")</f>
        <v>Pedro Afonso</v>
      </c>
      <c r="C743" s="240" t="str">
        <f ca="1">IFERROR(__xludf.DUMMYFUNCTION("""COMPUTED_VALUE"""),"ASSOCIAÇÃO DE PAIS E AMIGOS DOS EXCEPCIONAIS DE PEDRO AFONSO")</f>
        <v>ASSOCIAÇÃO DE PAIS E AMIGOS DOS EXCEPCIONAIS DE PEDRO AFONSO</v>
      </c>
      <c r="D743" s="241" t="str">
        <f ca="1">IFERROR(__xludf.DUMMYFUNCTION("""COMPUTED_VALUE"""),"04406588000139")</f>
        <v>04406588000139</v>
      </c>
      <c r="E743" s="241" t="str">
        <f ca="1">IFERROR(__xludf.DUMMYFUNCTION("""COMPUTED_VALUE"""),"001")</f>
        <v>001</v>
      </c>
      <c r="F743" s="241" t="str">
        <f ca="1">IFERROR(__xludf.DUMMYFUNCTION("""COMPUTED_VALUE"""),"1595")</f>
        <v>1595</v>
      </c>
      <c r="G743" s="240" t="str">
        <f ca="1">IFERROR(__xludf.DUMMYFUNCTION("""COMPUTED_VALUE"""),"119105")</f>
        <v>119105</v>
      </c>
      <c r="H743" s="240" t="str">
        <f ca="1">IFERROR(__xludf.DUMMYFUNCTION("""COMPUTED_VALUE"""),"AEE")</f>
        <v>AEE</v>
      </c>
      <c r="I743" s="242">
        <f ca="1">IFERROR(__xludf.DUMMYFUNCTION("""COMPUTED_VALUE"""),2688)</f>
        <v>2688</v>
      </c>
    </row>
    <row r="744" spans="1:26" ht="21" customHeight="1">
      <c r="A744" s="240" t="str">
        <f ca="1">IFERROR(__xludf.DUMMYFUNCTION("""COMPUTED_VALUE"""),"Pedro Afonso")</f>
        <v>Pedro Afonso</v>
      </c>
      <c r="B744" s="240" t="str">
        <f ca="1">IFERROR(__xludf.DUMMYFUNCTION("""COMPUTED_VALUE"""),"Pedro Afonso")</f>
        <v>Pedro Afonso</v>
      </c>
      <c r="C744" s="240" t="str">
        <f ca="1">IFERROR(__xludf.DUMMYFUNCTION("""COMPUTED_VALUE"""),"ASSOCIAÇÃO DE PAIS E AMIGOS DOS EXCEPCIONAIS DE PEDRO AFONSO")</f>
        <v>ASSOCIAÇÃO DE PAIS E AMIGOS DOS EXCEPCIONAIS DE PEDRO AFONSO</v>
      </c>
      <c r="D744" s="241" t="str">
        <f ca="1">IFERROR(__xludf.DUMMYFUNCTION("""COMPUTED_VALUE"""),"04406588000139")</f>
        <v>04406588000139</v>
      </c>
      <c r="E744" s="241" t="str">
        <f ca="1">IFERROR(__xludf.DUMMYFUNCTION("""COMPUTED_VALUE"""),"001")</f>
        <v>001</v>
      </c>
      <c r="F744" s="241" t="str">
        <f ca="1">IFERROR(__xludf.DUMMYFUNCTION("""COMPUTED_VALUE"""),"1595")</f>
        <v>1595</v>
      </c>
      <c r="G744" s="240" t="str">
        <f ca="1">IFERROR(__xludf.DUMMYFUNCTION("""COMPUTED_VALUE"""),"119105")</f>
        <v>119105</v>
      </c>
      <c r="H744" s="240" t="str">
        <f ca="1">IFERROR(__xludf.DUMMYFUNCTION("""COMPUTED_VALUE"""),"EJA")</f>
        <v>EJA</v>
      </c>
      <c r="I744" s="242">
        <f ca="1">IFERROR(__xludf.DUMMYFUNCTION("""COMPUTED_VALUE"""),2583)</f>
        <v>2583</v>
      </c>
    </row>
    <row r="745" spans="1:26" ht="21" customHeight="1">
      <c r="A745" s="240" t="str">
        <f ca="1">IFERROR(__xludf.DUMMYFUNCTION("""COMPUTED_VALUE"""),"Pedro Afonso")</f>
        <v>Pedro Afonso</v>
      </c>
      <c r="B745" s="240" t="str">
        <f ca="1">IFERROR(__xludf.DUMMYFUNCTION("""COMPUTED_VALUE"""),"Pedro Afonso")</f>
        <v>Pedro Afonso</v>
      </c>
      <c r="C745" s="240" t="str">
        <f ca="1">IFERROR(__xludf.DUMMYFUNCTION("""COMPUTED_VALUE"""),"A.A. EC.INDIGENAS")</f>
        <v>A.A. EC.INDIGENAS</v>
      </c>
      <c r="D745" s="241" t="str">
        <f ca="1">IFERROR(__xludf.DUMMYFUNCTION("""COMPUTED_VALUE"""),"06135108000178")</f>
        <v>06135108000178</v>
      </c>
      <c r="E745" s="241" t="str">
        <f ca="1">IFERROR(__xludf.DUMMYFUNCTION("""COMPUTED_VALUE"""),"001")</f>
        <v>001</v>
      </c>
      <c r="F745" s="241" t="str">
        <f ca="1">IFERROR(__xludf.DUMMYFUNCTION("""COMPUTED_VALUE"""),"1595")</f>
        <v>1595</v>
      </c>
      <c r="G745" s="240" t="str">
        <f ca="1">IFERROR(__xludf.DUMMYFUNCTION("""COMPUTED_VALUE"""),"114499")</f>
        <v>114499</v>
      </c>
      <c r="H745" s="240" t="str">
        <f ca="1">IFERROR(__xludf.DUMMYFUNCTION("""COMPUTED_VALUE"""),"INDIGENA PARCIAL")</f>
        <v>INDIGENA PARCIAL</v>
      </c>
      <c r="I745" s="242">
        <f ca="1">IFERROR(__xludf.DUMMYFUNCTION("""COMPUTED_VALUE"""),23247)</f>
        <v>23247</v>
      </c>
    </row>
    <row r="746" spans="1:26" ht="21" customHeight="1">
      <c r="A746" s="240" t="str">
        <f ca="1">IFERROR(__xludf.DUMMYFUNCTION("""COMPUTED_VALUE"""),"Pedro Afonso")</f>
        <v>Pedro Afonso</v>
      </c>
      <c r="B746" s="240" t="str">
        <f ca="1">IFERROR(__xludf.DUMMYFUNCTION("""COMPUTED_VALUE"""),"Pedro Afonso")</f>
        <v>Pedro Afonso</v>
      </c>
      <c r="C746" s="240" t="str">
        <f ca="1">IFERROR(__xludf.DUMMYFUNCTION("""COMPUTED_VALUE"""),"ASS. DE APOIO A ESCOLA ESTADUAL BOM TEMPO")</f>
        <v>ASS. DE APOIO A ESCOLA ESTADUAL BOM TEMPO</v>
      </c>
      <c r="D746" s="241" t="str">
        <f ca="1">IFERROR(__xludf.DUMMYFUNCTION("""COMPUTED_VALUE"""),"44776099000193")</f>
        <v>44776099000193</v>
      </c>
      <c r="E746" s="241" t="str">
        <f ca="1">IFERROR(__xludf.DUMMYFUNCTION("""COMPUTED_VALUE"""),"001")</f>
        <v>001</v>
      </c>
      <c r="F746" s="241" t="str">
        <f ca="1">IFERROR(__xludf.DUMMYFUNCTION("""COMPUTED_VALUE"""),"1595")</f>
        <v>1595</v>
      </c>
      <c r="G746" s="240" t="str">
        <f ca="1">IFERROR(__xludf.DUMMYFUNCTION("""COMPUTED_VALUE"""),"324981")</f>
        <v>324981</v>
      </c>
      <c r="H746" s="240" t="str">
        <f ca="1">IFERROR(__xludf.DUMMYFUNCTION("""COMPUTED_VALUE"""),"E.F. PARCIAL")</f>
        <v>E.F. PARCIAL</v>
      </c>
      <c r="I746" s="242">
        <f ca="1">IFERROR(__xludf.DUMMYFUNCTION("""COMPUTED_VALUE"""),861)</f>
        <v>861</v>
      </c>
    </row>
    <row r="747" spans="1:26" ht="21" customHeight="1">
      <c r="A747" s="240" t="str">
        <f ca="1">IFERROR(__xludf.DUMMYFUNCTION("""COMPUTED_VALUE"""),"Pedro Afonso")</f>
        <v>Pedro Afonso</v>
      </c>
      <c r="B747" s="240" t="str">
        <f ca="1">IFERROR(__xludf.DUMMYFUNCTION("""COMPUTED_VALUE"""),"Pedro Afonso")</f>
        <v>Pedro Afonso</v>
      </c>
      <c r="C747" s="240" t="str">
        <f ca="1">IFERROR(__xludf.DUMMYFUNCTION("""COMPUTED_VALUE"""),"ASS. DE APOIO A ESCOLA ESTADUAL BOM TEMPO")</f>
        <v>ASS. DE APOIO A ESCOLA ESTADUAL BOM TEMPO</v>
      </c>
      <c r="D747" s="241" t="str">
        <f ca="1">IFERROR(__xludf.DUMMYFUNCTION("""COMPUTED_VALUE"""),"44776099000193")</f>
        <v>44776099000193</v>
      </c>
      <c r="E747" s="241" t="str">
        <f ca="1">IFERROR(__xludf.DUMMYFUNCTION("""COMPUTED_VALUE"""),"001")</f>
        <v>001</v>
      </c>
      <c r="F747" s="241" t="str">
        <f ca="1">IFERROR(__xludf.DUMMYFUNCTION("""COMPUTED_VALUE"""),"1595")</f>
        <v>1595</v>
      </c>
      <c r="G747" s="240" t="str">
        <f ca="1">IFERROR(__xludf.DUMMYFUNCTION("""COMPUTED_VALUE"""),"324981")</f>
        <v>324981</v>
      </c>
      <c r="H747" s="240" t="str">
        <f ca="1">IFERROR(__xludf.DUMMYFUNCTION("""COMPUTED_VALUE"""),"ENS MEDIO PARCIAL")</f>
        <v>ENS MEDIO PARCIAL</v>
      </c>
      <c r="I747" s="242">
        <f ca="1">IFERROR(__xludf.DUMMYFUNCTION("""COMPUTED_VALUE"""),189)</f>
        <v>189</v>
      </c>
    </row>
    <row r="748" spans="1:26" ht="21" customHeight="1">
      <c r="A748" s="240" t="str">
        <f ca="1">IFERROR(__xludf.DUMMYFUNCTION("""COMPUTED_VALUE"""),"Pedro Afonso")</f>
        <v>Pedro Afonso</v>
      </c>
      <c r="B748" s="240" t="str">
        <f ca="1">IFERROR(__xludf.DUMMYFUNCTION("""COMPUTED_VALUE"""),"Pedro Afonso")</f>
        <v>Pedro Afonso</v>
      </c>
      <c r="C748" s="240" t="str">
        <f ca="1">IFERROR(__xludf.DUMMYFUNCTION("""COMPUTED_VALUE"""),"ASS. DE APOIO A ESCOLA ESTADUAL BOM TEMPO")</f>
        <v>ASS. DE APOIO A ESCOLA ESTADUAL BOM TEMPO</v>
      </c>
      <c r="D748" s="241" t="str">
        <f ca="1">IFERROR(__xludf.DUMMYFUNCTION("""COMPUTED_VALUE"""),"44776099000193")</f>
        <v>44776099000193</v>
      </c>
      <c r="E748" s="241" t="str">
        <f ca="1">IFERROR(__xludf.DUMMYFUNCTION("""COMPUTED_VALUE"""),"001")</f>
        <v>001</v>
      </c>
      <c r="F748" s="241" t="str">
        <f ca="1">IFERROR(__xludf.DUMMYFUNCTION("""COMPUTED_VALUE"""),"1595")</f>
        <v>1595</v>
      </c>
      <c r="G748" s="240" t="str">
        <f ca="1">IFERROR(__xludf.DUMMYFUNCTION("""COMPUTED_VALUE"""),"324981")</f>
        <v>324981</v>
      </c>
      <c r="H748" s="240" t="str">
        <f ca="1">IFERROR(__xludf.DUMMYFUNCTION("""COMPUTED_VALUE"""),"EJA")</f>
        <v>EJA</v>
      </c>
      <c r="I748" s="242">
        <f ca="1">IFERROR(__xludf.DUMMYFUNCTION("""COMPUTED_VALUE"""),294)</f>
        <v>294</v>
      </c>
    </row>
    <row r="749" spans="1:26" ht="21" customHeight="1">
      <c r="A749" s="240" t="str">
        <f ca="1">IFERROR(__xludf.DUMMYFUNCTION("""COMPUTED_VALUE"""),"Pedro Afonso")</f>
        <v>Pedro Afonso</v>
      </c>
      <c r="B749" s="240" t="str">
        <f ca="1">IFERROR(__xludf.DUMMYFUNCTION("""COMPUTED_VALUE"""),"Recursolandia")</f>
        <v>Recursolandia</v>
      </c>
      <c r="C749" s="240" t="str">
        <f ca="1">IFERROR(__xludf.DUMMYFUNCTION("""COMPUTED_VALUE"""),"ASS. DE A. A ESCOLA EST. RECURSO I")</f>
        <v>ASS. DE A. A ESCOLA EST. RECURSO I</v>
      </c>
      <c r="D749" s="241" t="str">
        <f ca="1">IFERROR(__xludf.DUMMYFUNCTION("""COMPUTED_VALUE"""),"02021097000144")</f>
        <v>02021097000144</v>
      </c>
      <c r="E749" s="241" t="str">
        <f ca="1">IFERROR(__xludf.DUMMYFUNCTION("""COMPUTED_VALUE"""),"001")</f>
        <v>001</v>
      </c>
      <c r="F749" s="241" t="str">
        <f ca="1">IFERROR(__xludf.DUMMYFUNCTION("""COMPUTED_VALUE"""),"1595")</f>
        <v>1595</v>
      </c>
      <c r="G749" s="240" t="str">
        <f ca="1">IFERROR(__xludf.DUMMYFUNCTION("""COMPUTED_VALUE"""),"11029")</f>
        <v>11029</v>
      </c>
      <c r="H749" s="240" t="str">
        <f ca="1">IFERROR(__xludf.DUMMYFUNCTION("""COMPUTED_VALUE"""),"E.F. PARCIAL")</f>
        <v>E.F. PARCIAL</v>
      </c>
      <c r="I749" s="242">
        <f ca="1">IFERROR(__xludf.DUMMYFUNCTION("""COMPUTED_VALUE"""),2541)</f>
        <v>2541</v>
      </c>
    </row>
    <row r="750" spans="1:26" ht="21" customHeight="1">
      <c r="A750" s="240" t="str">
        <f ca="1">IFERROR(__xludf.DUMMYFUNCTION("""COMPUTED_VALUE"""),"Pedro Afonso")</f>
        <v>Pedro Afonso</v>
      </c>
      <c r="B750" s="240" t="str">
        <f ca="1">IFERROR(__xludf.DUMMYFUNCTION("""COMPUTED_VALUE"""),"Recursolandia")</f>
        <v>Recursolandia</v>
      </c>
      <c r="C750" s="240" t="str">
        <f ca="1">IFERROR(__xludf.DUMMYFUNCTION("""COMPUTED_VALUE"""),"ASS. DE A. A ESCOLA EST. RECURSO I")</f>
        <v>ASS. DE A. A ESCOLA EST. RECURSO I</v>
      </c>
      <c r="D750" s="241" t="str">
        <f ca="1">IFERROR(__xludf.DUMMYFUNCTION("""COMPUTED_VALUE"""),"02021097000144")</f>
        <v>02021097000144</v>
      </c>
      <c r="E750" s="241" t="str">
        <f ca="1">IFERROR(__xludf.DUMMYFUNCTION("""COMPUTED_VALUE"""),"001")</f>
        <v>001</v>
      </c>
      <c r="F750" s="241" t="str">
        <f ca="1">IFERROR(__xludf.DUMMYFUNCTION("""COMPUTED_VALUE"""),"1595")</f>
        <v>1595</v>
      </c>
      <c r="G750" s="240" t="str">
        <f ca="1">IFERROR(__xludf.DUMMYFUNCTION("""COMPUTED_VALUE"""),"11029")</f>
        <v>11029</v>
      </c>
      <c r="H750" s="240" t="str">
        <f ca="1">IFERROR(__xludf.DUMMYFUNCTION("""COMPUTED_VALUE"""),"ENS MEDIO PARCIAL")</f>
        <v>ENS MEDIO PARCIAL</v>
      </c>
      <c r="I750" s="242">
        <f ca="1">IFERROR(__xludf.DUMMYFUNCTION("""COMPUTED_VALUE"""),4431)</f>
        <v>4431</v>
      </c>
    </row>
    <row r="751" spans="1:26" ht="21" customHeight="1">
      <c r="A751" s="240" t="str">
        <f ca="1">IFERROR(__xludf.DUMMYFUNCTION("""COMPUTED_VALUE"""),"Pedro Afonso")</f>
        <v>Pedro Afonso</v>
      </c>
      <c r="B751" s="240" t="str">
        <f ca="1">IFERROR(__xludf.DUMMYFUNCTION("""COMPUTED_VALUE"""),"Santa Maria do Tocantins")</f>
        <v>Santa Maria do Tocantins</v>
      </c>
      <c r="C751" s="240" t="str">
        <f ca="1">IFERROR(__xludf.DUMMYFUNCTION("""COMPUTED_VALUE"""),"A. A.AS ESC.DO COL. EST. SANTA MARIA")</f>
        <v>A. A.AS ESC.DO COL. EST. SANTA MARIA</v>
      </c>
      <c r="D751" s="241" t="str">
        <f ca="1">IFERROR(__xludf.DUMMYFUNCTION("""COMPUTED_VALUE"""),"02087933000193")</f>
        <v>02087933000193</v>
      </c>
      <c r="E751" s="241" t="str">
        <f ca="1">IFERROR(__xludf.DUMMYFUNCTION("""COMPUTED_VALUE"""),"001")</f>
        <v>001</v>
      </c>
      <c r="F751" s="241" t="str">
        <f ca="1">IFERROR(__xludf.DUMMYFUNCTION("""COMPUTED_VALUE"""),"1595")</f>
        <v>1595</v>
      </c>
      <c r="G751" s="240" t="str">
        <f ca="1">IFERROR(__xludf.DUMMYFUNCTION("""COMPUTED_VALUE"""),"83089")</f>
        <v>83089</v>
      </c>
      <c r="H751" s="240" t="str">
        <f ca="1">IFERROR(__xludf.DUMMYFUNCTION("""COMPUTED_VALUE"""),"E.F. PARCIAL")</f>
        <v>E.F. PARCIAL</v>
      </c>
      <c r="I751" s="242">
        <f ca="1">IFERROR(__xludf.DUMMYFUNCTION("""COMPUTED_VALUE"""),3045)</f>
        <v>3045</v>
      </c>
    </row>
    <row r="752" spans="1:26" ht="21" customHeight="1">
      <c r="A752" s="240" t="str">
        <f ca="1">IFERROR(__xludf.DUMMYFUNCTION("""COMPUTED_VALUE"""),"Pedro Afonso")</f>
        <v>Pedro Afonso</v>
      </c>
      <c r="B752" s="240" t="str">
        <f ca="1">IFERROR(__xludf.DUMMYFUNCTION("""COMPUTED_VALUE"""),"Santa Maria do Tocantins")</f>
        <v>Santa Maria do Tocantins</v>
      </c>
      <c r="C752" s="240" t="str">
        <f ca="1">IFERROR(__xludf.DUMMYFUNCTION("""COMPUTED_VALUE"""),"A. A.AS ESC.DO COL. EST. SANTA MARIA")</f>
        <v>A. A.AS ESC.DO COL. EST. SANTA MARIA</v>
      </c>
      <c r="D752" s="241" t="str">
        <f ca="1">IFERROR(__xludf.DUMMYFUNCTION("""COMPUTED_VALUE"""),"02087933000193")</f>
        <v>02087933000193</v>
      </c>
      <c r="E752" s="241" t="str">
        <f ca="1">IFERROR(__xludf.DUMMYFUNCTION("""COMPUTED_VALUE"""),"001")</f>
        <v>001</v>
      </c>
      <c r="F752" s="241" t="str">
        <f ca="1">IFERROR(__xludf.DUMMYFUNCTION("""COMPUTED_VALUE"""),"1595")</f>
        <v>1595</v>
      </c>
      <c r="G752" s="240" t="str">
        <f ca="1">IFERROR(__xludf.DUMMYFUNCTION("""COMPUTED_VALUE"""),"83089")</f>
        <v>83089</v>
      </c>
      <c r="H752" s="240" t="str">
        <f ca="1">IFERROR(__xludf.DUMMYFUNCTION("""COMPUTED_VALUE"""),"ENS MEDIO PARCIAL")</f>
        <v>ENS MEDIO PARCIAL</v>
      </c>
      <c r="I752" s="242">
        <f ca="1">IFERROR(__xludf.DUMMYFUNCTION("""COMPUTED_VALUE"""),2646)</f>
        <v>2646</v>
      </c>
    </row>
    <row r="753" spans="1:9" ht="21" customHeight="1">
      <c r="A753" s="240" t="str">
        <f ca="1">IFERROR(__xludf.DUMMYFUNCTION("""COMPUTED_VALUE"""),"Pedro Afonso")</f>
        <v>Pedro Afonso</v>
      </c>
      <c r="B753" s="240" t="str">
        <f ca="1">IFERROR(__xludf.DUMMYFUNCTION("""COMPUTED_VALUE"""),"Tupirama")</f>
        <v>Tupirama</v>
      </c>
      <c r="C753" s="240" t="str">
        <f ca="1">IFERROR(__xludf.DUMMYFUNCTION("""COMPUTED_VALUE"""),"A.A. A ESCOLA EST. MARIA DA GLORIA")</f>
        <v>A.A. A ESCOLA EST. MARIA DA GLORIA</v>
      </c>
      <c r="D753" s="241" t="str">
        <f ca="1">IFERROR(__xludf.DUMMYFUNCTION("""COMPUTED_VALUE"""),"02096555000104")</f>
        <v>02096555000104</v>
      </c>
      <c r="E753" s="241" t="str">
        <f ca="1">IFERROR(__xludf.DUMMYFUNCTION("""COMPUTED_VALUE"""),"001")</f>
        <v>001</v>
      </c>
      <c r="F753" s="241" t="str">
        <f ca="1">IFERROR(__xludf.DUMMYFUNCTION("""COMPUTED_VALUE"""),"2094")</f>
        <v>2094</v>
      </c>
      <c r="G753" s="240" t="str">
        <f ca="1">IFERROR(__xludf.DUMMYFUNCTION("""COMPUTED_VALUE"""),"50482")</f>
        <v>50482</v>
      </c>
      <c r="H753" s="240" t="str">
        <f ca="1">IFERROR(__xludf.DUMMYFUNCTION("""COMPUTED_VALUE"""),"ENS MEDIO PARCIAL")</f>
        <v>ENS MEDIO PARCIAL</v>
      </c>
      <c r="I753" s="242">
        <f ca="1">IFERROR(__xludf.DUMMYFUNCTION("""COMPUTED_VALUE"""),1281)</f>
        <v>1281</v>
      </c>
    </row>
    <row r="754" spans="1:9" ht="21" customHeight="1">
      <c r="A754" s="240" t="str">
        <f ca="1">IFERROR(__xludf.DUMMYFUNCTION("""COMPUTED_VALUE"""),"Porto Nacional")</f>
        <v>Porto Nacional</v>
      </c>
      <c r="B754" s="240" t="str">
        <f ca="1">IFERROR(__xludf.DUMMYFUNCTION("""COMPUTED_VALUE"""),"Brejinho de Nazare")</f>
        <v>Brejinho de Nazare</v>
      </c>
      <c r="C754" s="240" t="str">
        <f ca="1">IFERROR(__xludf.DUMMYFUNCTION("""COMPUTED_VALUE"""),"AS.DE APOIO A ESC. EST. JONAS PEREIRA LIMA")</f>
        <v>AS.DE APOIO A ESC. EST. JONAS PEREIRA LIMA</v>
      </c>
      <c r="D754" s="241" t="str">
        <f ca="1">IFERROR(__xludf.DUMMYFUNCTION("""COMPUTED_VALUE"""),"01148459000108")</f>
        <v>01148459000108</v>
      </c>
      <c r="E754" s="241" t="str">
        <f ca="1">IFERROR(__xludf.DUMMYFUNCTION("""COMPUTED_VALUE"""),"001")</f>
        <v>001</v>
      </c>
      <c r="F754" s="241" t="str">
        <f ca="1">IFERROR(__xludf.DUMMYFUNCTION("""COMPUTED_VALUE"""),"3976")</f>
        <v>3976</v>
      </c>
      <c r="G754" s="240" t="str">
        <f ca="1">IFERROR(__xludf.DUMMYFUNCTION("""COMPUTED_VALUE"""),"80489")</f>
        <v>80489</v>
      </c>
      <c r="H754" s="240" t="str">
        <f ca="1">IFERROR(__xludf.DUMMYFUNCTION("""COMPUTED_VALUE"""),"AEE")</f>
        <v>AEE</v>
      </c>
      <c r="I754" s="242">
        <f ca="1">IFERROR(__xludf.DUMMYFUNCTION("""COMPUTED_VALUE"""),273)</f>
        <v>273</v>
      </c>
    </row>
    <row r="755" spans="1:9" ht="21" customHeight="1">
      <c r="A755" s="240" t="str">
        <f ca="1">IFERROR(__xludf.DUMMYFUNCTION("""COMPUTED_VALUE"""),"Porto Nacional")</f>
        <v>Porto Nacional</v>
      </c>
      <c r="B755" s="240" t="str">
        <f ca="1">IFERROR(__xludf.DUMMYFUNCTION("""COMPUTED_VALUE"""),"Brejinho de Nazare")</f>
        <v>Brejinho de Nazare</v>
      </c>
      <c r="C755" s="240" t="str">
        <f ca="1">IFERROR(__xludf.DUMMYFUNCTION("""COMPUTED_VALUE"""),"A.A. DO COLEGIO ESTADUAL PADRAO")</f>
        <v>A.A. DO COLEGIO ESTADUAL PADRAO</v>
      </c>
      <c r="D755" s="241" t="str">
        <f ca="1">IFERROR(__xludf.DUMMYFUNCTION("""COMPUTED_VALUE"""),"01181175000105")</f>
        <v>01181175000105</v>
      </c>
      <c r="E755" s="241" t="str">
        <f ca="1">IFERROR(__xludf.DUMMYFUNCTION("""COMPUTED_VALUE"""),"001")</f>
        <v>001</v>
      </c>
      <c r="F755" s="241" t="str">
        <f ca="1">IFERROR(__xludf.DUMMYFUNCTION("""COMPUTED_VALUE"""),"3976")</f>
        <v>3976</v>
      </c>
      <c r="G755" s="240" t="str">
        <f ca="1">IFERROR(__xludf.DUMMYFUNCTION("""COMPUTED_VALUE"""),"51047")</f>
        <v>51047</v>
      </c>
      <c r="H755" s="240" t="str">
        <f ca="1">IFERROR(__xludf.DUMMYFUNCTION("""COMPUTED_VALUE"""),"EJA")</f>
        <v>EJA</v>
      </c>
      <c r="I755" s="242">
        <f ca="1">IFERROR(__xludf.DUMMYFUNCTION("""COMPUTED_VALUE"""),294)</f>
        <v>294</v>
      </c>
    </row>
    <row r="756" spans="1:9" ht="21" customHeight="1">
      <c r="A756" s="240" t="str">
        <f ca="1">IFERROR(__xludf.DUMMYFUNCTION("""COMPUTED_VALUE"""),"Porto Nacional")</f>
        <v>Porto Nacional</v>
      </c>
      <c r="B756" s="240" t="str">
        <f ca="1">IFERROR(__xludf.DUMMYFUNCTION("""COMPUTED_VALUE"""),"Chapada da Natividade")</f>
        <v>Chapada da Natividade</v>
      </c>
      <c r="C756" s="240" t="str">
        <f ca="1">IFERROR(__xludf.DUMMYFUNCTION("""COMPUTED_VALUE"""),"A. APOIO ESCOLA EST. FULGENCIO NUNES")</f>
        <v>A. APOIO ESCOLA EST. FULGENCIO NUNES</v>
      </c>
      <c r="D756" s="241" t="str">
        <f ca="1">IFERROR(__xludf.DUMMYFUNCTION("""COMPUTED_VALUE"""),"01257085000150")</f>
        <v>01257085000150</v>
      </c>
      <c r="E756" s="241" t="str">
        <f ca="1">IFERROR(__xludf.DUMMYFUNCTION("""COMPUTED_VALUE"""),"003")</f>
        <v>003</v>
      </c>
      <c r="F756" s="241" t="str">
        <f ca="1">IFERROR(__xludf.DUMMYFUNCTION("""COMPUTED_VALUE"""),"0037")</f>
        <v>0037</v>
      </c>
      <c r="G756" s="240" t="str">
        <f ca="1">IFERROR(__xludf.DUMMYFUNCTION("""COMPUTED_VALUE"""),"706153")</f>
        <v>706153</v>
      </c>
      <c r="H756" s="240" t="str">
        <f ca="1">IFERROR(__xludf.DUMMYFUNCTION("""COMPUTED_VALUE"""),"QUILOMBOLA")</f>
        <v>QUILOMBOLA</v>
      </c>
      <c r="I756" s="242">
        <f ca="1">IFERROR(__xludf.DUMMYFUNCTION("""COMPUTED_VALUE"""),6741)</f>
        <v>6741</v>
      </c>
    </row>
    <row r="757" spans="1:9" ht="21" customHeight="1">
      <c r="A757" s="240" t="str">
        <f ca="1">IFERROR(__xludf.DUMMYFUNCTION("""COMPUTED_VALUE"""),"Porto Nacional")</f>
        <v>Porto Nacional</v>
      </c>
      <c r="B757" s="240" t="str">
        <f ca="1">IFERROR(__xludf.DUMMYFUNCTION("""COMPUTED_VALUE"""),"Fatima")</f>
        <v>Fatima</v>
      </c>
      <c r="C757" s="240" t="str">
        <f ca="1">IFERROR(__xludf.DUMMYFUNCTION("""COMPUTED_VALUE"""),"A.A. ESCOLA ESTADUAL CONCEICAO BRITO")</f>
        <v>A.A. ESCOLA ESTADUAL CONCEICAO BRITO</v>
      </c>
      <c r="D757" s="241" t="str">
        <f ca="1">IFERROR(__xludf.DUMMYFUNCTION("""COMPUTED_VALUE"""),"01268285000109")</f>
        <v>01268285000109</v>
      </c>
      <c r="E757" s="241" t="str">
        <f ca="1">IFERROR(__xludf.DUMMYFUNCTION("""COMPUTED_VALUE"""),"001")</f>
        <v>001</v>
      </c>
      <c r="F757" s="241" t="str">
        <f ca="1">IFERROR(__xludf.DUMMYFUNCTION("""COMPUTED_VALUE"""),"4107")</f>
        <v>4107</v>
      </c>
      <c r="G757" s="240" t="str">
        <f ca="1">IFERROR(__xludf.DUMMYFUNCTION("""COMPUTED_VALUE"""),"50911")</f>
        <v>50911</v>
      </c>
      <c r="H757" s="240" t="str">
        <f ca="1">IFERROR(__xludf.DUMMYFUNCTION("""COMPUTED_VALUE"""),"E.F. PARCIAL")</f>
        <v>E.F. PARCIAL</v>
      </c>
      <c r="I757" s="242">
        <f ca="1">IFERROR(__xludf.DUMMYFUNCTION("""COMPUTED_VALUE"""),5754)</f>
        <v>5754</v>
      </c>
    </row>
    <row r="758" spans="1:9" ht="21" customHeight="1">
      <c r="A758" s="240" t="str">
        <f ca="1">IFERROR(__xludf.DUMMYFUNCTION("""COMPUTED_VALUE"""),"Porto Nacional")</f>
        <v>Porto Nacional</v>
      </c>
      <c r="B758" s="240" t="str">
        <f ca="1">IFERROR(__xludf.DUMMYFUNCTION("""COMPUTED_VALUE"""),"Fatima")</f>
        <v>Fatima</v>
      </c>
      <c r="C758" s="240" t="str">
        <f ca="1">IFERROR(__xludf.DUMMYFUNCTION("""COMPUTED_VALUE"""),"A.A. ESCOLA ESTADUAL CONCEICAO BRITO")</f>
        <v>A.A. ESCOLA ESTADUAL CONCEICAO BRITO</v>
      </c>
      <c r="D758" s="241" t="str">
        <f ca="1">IFERROR(__xludf.DUMMYFUNCTION("""COMPUTED_VALUE"""),"01268285000109")</f>
        <v>01268285000109</v>
      </c>
      <c r="E758" s="241" t="str">
        <f ca="1">IFERROR(__xludf.DUMMYFUNCTION("""COMPUTED_VALUE"""),"001")</f>
        <v>001</v>
      </c>
      <c r="F758" s="241" t="str">
        <f ca="1">IFERROR(__xludf.DUMMYFUNCTION("""COMPUTED_VALUE"""),"4107")</f>
        <v>4107</v>
      </c>
      <c r="G758" s="240" t="str">
        <f ca="1">IFERROR(__xludf.DUMMYFUNCTION("""COMPUTED_VALUE"""),"50911")</f>
        <v>50911</v>
      </c>
      <c r="H758" s="240" t="str">
        <f ca="1">IFERROR(__xludf.DUMMYFUNCTION("""COMPUTED_VALUE"""),"AEE")</f>
        <v>AEE</v>
      </c>
      <c r="I758" s="242">
        <f ca="1">IFERROR(__xludf.DUMMYFUNCTION("""COMPUTED_VALUE"""),210)</f>
        <v>210</v>
      </c>
    </row>
    <row r="759" spans="1:9" ht="21" customHeight="1">
      <c r="A759" s="240" t="str">
        <f ca="1">IFERROR(__xludf.DUMMYFUNCTION("""COMPUTED_VALUE"""),"Porto Nacional")</f>
        <v>Porto Nacional</v>
      </c>
      <c r="B759" s="240" t="str">
        <f ca="1">IFERROR(__xludf.DUMMYFUNCTION("""COMPUTED_VALUE"""),"Fatima")</f>
        <v>Fatima</v>
      </c>
      <c r="C759" s="240" t="str">
        <f ca="1">IFERROR(__xludf.DUMMYFUNCTION("""COMPUTED_VALUE"""),"A.A. ESCOLA ESTADUAL CONCEICAO BRITO")</f>
        <v>A.A. ESCOLA ESTADUAL CONCEICAO BRITO</v>
      </c>
      <c r="D759" s="241" t="str">
        <f ca="1">IFERROR(__xludf.DUMMYFUNCTION("""COMPUTED_VALUE"""),"01268285000109")</f>
        <v>01268285000109</v>
      </c>
      <c r="E759" s="241" t="str">
        <f ca="1">IFERROR(__xludf.DUMMYFUNCTION("""COMPUTED_VALUE"""),"001")</f>
        <v>001</v>
      </c>
      <c r="F759" s="241" t="str">
        <f ca="1">IFERROR(__xludf.DUMMYFUNCTION("""COMPUTED_VALUE"""),"4107")</f>
        <v>4107</v>
      </c>
      <c r="G759" s="240" t="str">
        <f ca="1">IFERROR(__xludf.DUMMYFUNCTION("""COMPUTED_VALUE"""),"50911")</f>
        <v>50911</v>
      </c>
      <c r="H759" s="240" t="str">
        <f ca="1">IFERROR(__xludf.DUMMYFUNCTION("""COMPUTED_VALUE"""),"ENS MEDIO PARCIAL")</f>
        <v>ENS MEDIO PARCIAL</v>
      </c>
      <c r="I759" s="242">
        <f ca="1">IFERROR(__xludf.DUMMYFUNCTION("""COMPUTED_VALUE"""),2898)</f>
        <v>2898</v>
      </c>
    </row>
    <row r="760" spans="1:9" ht="21" customHeight="1">
      <c r="A760" s="240" t="str">
        <f ca="1">IFERROR(__xludf.DUMMYFUNCTION("""COMPUTED_VALUE"""),"Porto Nacional")</f>
        <v>Porto Nacional</v>
      </c>
      <c r="B760" s="240" t="str">
        <f ca="1">IFERROR(__xludf.DUMMYFUNCTION("""COMPUTED_VALUE"""),"Fatima")</f>
        <v>Fatima</v>
      </c>
      <c r="C760" s="240" t="str">
        <f ca="1">IFERROR(__xludf.DUMMYFUNCTION("""COMPUTED_VALUE"""),"ASSOC. DE APOIO A ESCOLA ESPECIAL RENASCER")</f>
        <v>ASSOC. DE APOIO A ESCOLA ESPECIAL RENASCER</v>
      </c>
      <c r="D760" s="241" t="str">
        <f ca="1">IFERROR(__xludf.DUMMYFUNCTION("""COMPUTED_VALUE"""),"11726757000183")</f>
        <v>11726757000183</v>
      </c>
      <c r="E760" s="241" t="str">
        <f ca="1">IFERROR(__xludf.DUMMYFUNCTION("""COMPUTED_VALUE"""),"001")</f>
        <v>001</v>
      </c>
      <c r="F760" s="241" t="str">
        <f ca="1">IFERROR(__xludf.DUMMYFUNCTION("""COMPUTED_VALUE"""),"4107")</f>
        <v>4107</v>
      </c>
      <c r="G760" s="240" t="str">
        <f ca="1">IFERROR(__xludf.DUMMYFUNCTION("""COMPUTED_VALUE"""),"7991X")</f>
        <v>7991X</v>
      </c>
      <c r="H760" s="240" t="str">
        <f ca="1">IFERROR(__xludf.DUMMYFUNCTION("""COMPUTED_VALUE"""),"AEE")</f>
        <v>AEE</v>
      </c>
      <c r="I760" s="242">
        <f ca="1">IFERROR(__xludf.DUMMYFUNCTION("""COMPUTED_VALUE"""),672)</f>
        <v>672</v>
      </c>
    </row>
    <row r="761" spans="1:9" ht="21" customHeight="1">
      <c r="A761" s="240" t="str">
        <f ca="1">IFERROR(__xludf.DUMMYFUNCTION("""COMPUTED_VALUE"""),"Porto Nacional")</f>
        <v>Porto Nacional</v>
      </c>
      <c r="B761" s="240" t="str">
        <f ca="1">IFERROR(__xludf.DUMMYFUNCTION("""COMPUTED_VALUE"""),"Fatima")</f>
        <v>Fatima</v>
      </c>
      <c r="C761" s="240" t="str">
        <f ca="1">IFERROR(__xludf.DUMMYFUNCTION("""COMPUTED_VALUE"""),"ASSOC. DE APOIO A ESCOLA ESPECIAL RENASCER")</f>
        <v>ASSOC. DE APOIO A ESCOLA ESPECIAL RENASCER</v>
      </c>
      <c r="D761" s="241" t="str">
        <f ca="1">IFERROR(__xludf.DUMMYFUNCTION("""COMPUTED_VALUE"""),"11726757000183")</f>
        <v>11726757000183</v>
      </c>
      <c r="E761" s="241" t="str">
        <f ca="1">IFERROR(__xludf.DUMMYFUNCTION("""COMPUTED_VALUE"""),"001")</f>
        <v>001</v>
      </c>
      <c r="F761" s="241" t="str">
        <f ca="1">IFERROR(__xludf.DUMMYFUNCTION("""COMPUTED_VALUE"""),"4107")</f>
        <v>4107</v>
      </c>
      <c r="G761" s="240" t="str">
        <f ca="1">IFERROR(__xludf.DUMMYFUNCTION("""COMPUTED_VALUE"""),"7991X")</f>
        <v>7991X</v>
      </c>
      <c r="H761" s="240" t="str">
        <f ca="1">IFERROR(__xludf.DUMMYFUNCTION("""COMPUTED_VALUE"""),"EJA")</f>
        <v>EJA</v>
      </c>
      <c r="I761" s="242">
        <f ca="1">IFERROR(__xludf.DUMMYFUNCTION("""COMPUTED_VALUE"""),672)</f>
        <v>672</v>
      </c>
    </row>
    <row r="762" spans="1:9" ht="21" customHeight="1">
      <c r="A762" s="240" t="str">
        <f ca="1">IFERROR(__xludf.DUMMYFUNCTION("""COMPUTED_VALUE"""),"Porto Nacional")</f>
        <v>Porto Nacional</v>
      </c>
      <c r="B762" s="240" t="str">
        <f ca="1">IFERROR(__xludf.DUMMYFUNCTION("""COMPUTED_VALUE"""),"Ipueiras")</f>
        <v>Ipueiras</v>
      </c>
      <c r="C762" s="240" t="str">
        <f ca="1">IFERROR(__xludf.DUMMYFUNCTION("""COMPUTED_VALUE"""),"ASSOC. DE APOIO DA ESC. EST. FELIX CAMOA")</f>
        <v>ASSOC. DE APOIO DA ESC. EST. FELIX CAMOA</v>
      </c>
      <c r="D762" s="241" t="str">
        <f ca="1">IFERROR(__xludf.DUMMYFUNCTION("""COMPUTED_VALUE"""),"01469443000199")</f>
        <v>01469443000199</v>
      </c>
      <c r="E762" s="241" t="str">
        <f ca="1">IFERROR(__xludf.DUMMYFUNCTION("""COMPUTED_VALUE"""),"001")</f>
        <v>001</v>
      </c>
      <c r="F762" s="241" t="str">
        <f ca="1">IFERROR(__xludf.DUMMYFUNCTION("""COMPUTED_VALUE"""),"1117")</f>
        <v>1117</v>
      </c>
      <c r="G762" s="240" t="str">
        <f ca="1">IFERROR(__xludf.DUMMYFUNCTION("""COMPUTED_VALUE"""),"315052")</f>
        <v>315052</v>
      </c>
      <c r="H762" s="240" t="str">
        <f ca="1">IFERROR(__xludf.DUMMYFUNCTION("""COMPUTED_VALUE"""),"E.F. PARCIAL")</f>
        <v>E.F. PARCIAL</v>
      </c>
      <c r="I762" s="242">
        <f ca="1">IFERROR(__xludf.DUMMYFUNCTION("""COMPUTED_VALUE"""),252)</f>
        <v>252</v>
      </c>
    </row>
    <row r="763" spans="1:9" ht="21" customHeight="1">
      <c r="A763" s="240" t="str">
        <f ca="1">IFERROR(__xludf.DUMMYFUNCTION("""COMPUTED_VALUE"""),"Porto Nacional")</f>
        <v>Porto Nacional</v>
      </c>
      <c r="B763" s="240" t="str">
        <f ca="1">IFERROR(__xludf.DUMMYFUNCTION("""COMPUTED_VALUE"""),"Ipueiras")</f>
        <v>Ipueiras</v>
      </c>
      <c r="C763" s="240" t="str">
        <f ca="1">IFERROR(__xludf.DUMMYFUNCTION("""COMPUTED_VALUE"""),"ASSOC. DE APOIO DA ESC. EST. FELIX CAMOA")</f>
        <v>ASSOC. DE APOIO DA ESC. EST. FELIX CAMOA</v>
      </c>
      <c r="D763" s="241" t="str">
        <f ca="1">IFERROR(__xludf.DUMMYFUNCTION("""COMPUTED_VALUE"""),"01469443000199")</f>
        <v>01469443000199</v>
      </c>
      <c r="E763" s="241" t="str">
        <f ca="1">IFERROR(__xludf.DUMMYFUNCTION("""COMPUTED_VALUE"""),"001")</f>
        <v>001</v>
      </c>
      <c r="F763" s="241" t="str">
        <f ca="1">IFERROR(__xludf.DUMMYFUNCTION("""COMPUTED_VALUE"""),"1117")</f>
        <v>1117</v>
      </c>
      <c r="G763" s="240" t="str">
        <f ca="1">IFERROR(__xludf.DUMMYFUNCTION("""COMPUTED_VALUE"""),"315052")</f>
        <v>315052</v>
      </c>
      <c r="H763" s="240" t="str">
        <f ca="1">IFERROR(__xludf.DUMMYFUNCTION("""COMPUTED_VALUE"""),"AEE")</f>
        <v>AEE</v>
      </c>
      <c r="I763" s="242">
        <f ca="1">IFERROR(__xludf.DUMMYFUNCTION("""COMPUTED_VALUE"""),126)</f>
        <v>126</v>
      </c>
    </row>
    <row r="764" spans="1:9" ht="21" customHeight="1">
      <c r="A764" s="240" t="str">
        <f ca="1">IFERROR(__xludf.DUMMYFUNCTION("""COMPUTED_VALUE"""),"Porto Nacional")</f>
        <v>Porto Nacional</v>
      </c>
      <c r="B764" s="240" t="str">
        <f ca="1">IFERROR(__xludf.DUMMYFUNCTION("""COMPUTED_VALUE"""),"Ipueiras")</f>
        <v>Ipueiras</v>
      </c>
      <c r="C764" s="240" t="str">
        <f ca="1">IFERROR(__xludf.DUMMYFUNCTION("""COMPUTED_VALUE"""),"ASSOC. DE APOIO DA ESC. EST. FELIX CAMOA")</f>
        <v>ASSOC. DE APOIO DA ESC. EST. FELIX CAMOA</v>
      </c>
      <c r="D764" s="241" t="str">
        <f ca="1">IFERROR(__xludf.DUMMYFUNCTION("""COMPUTED_VALUE"""),"01469443000199")</f>
        <v>01469443000199</v>
      </c>
      <c r="E764" s="241" t="str">
        <f ca="1">IFERROR(__xludf.DUMMYFUNCTION("""COMPUTED_VALUE"""),"001")</f>
        <v>001</v>
      </c>
      <c r="F764" s="241" t="str">
        <f ca="1">IFERROR(__xludf.DUMMYFUNCTION("""COMPUTED_VALUE"""),"1117")</f>
        <v>1117</v>
      </c>
      <c r="G764" s="240" t="str">
        <f ca="1">IFERROR(__xludf.DUMMYFUNCTION("""COMPUTED_VALUE"""),"315052")</f>
        <v>315052</v>
      </c>
      <c r="H764" s="240" t="str">
        <f ca="1">IFERROR(__xludf.DUMMYFUNCTION("""COMPUTED_VALUE"""),"ENS MEDIO PARCIAL")</f>
        <v>ENS MEDIO PARCIAL</v>
      </c>
      <c r="I764" s="242">
        <f ca="1">IFERROR(__xludf.DUMMYFUNCTION("""COMPUTED_VALUE"""),1617)</f>
        <v>1617</v>
      </c>
    </row>
    <row r="765" spans="1:9" ht="21" customHeight="1">
      <c r="A765" s="240" t="str">
        <f ca="1">IFERROR(__xludf.DUMMYFUNCTION("""COMPUTED_VALUE"""),"Porto Nacional")</f>
        <v>Porto Nacional</v>
      </c>
      <c r="B765" s="240" t="str">
        <f ca="1">IFERROR(__xludf.DUMMYFUNCTION("""COMPUTED_VALUE"""),"Ipueiras")</f>
        <v>Ipueiras</v>
      </c>
      <c r="C765" s="240" t="str">
        <f ca="1">IFERROR(__xludf.DUMMYFUNCTION("""COMPUTED_VALUE"""),"ASSOC. DE APOIO DA ESC. EST. FELIX CAMOA")</f>
        <v>ASSOC. DE APOIO DA ESC. EST. FELIX CAMOA</v>
      </c>
      <c r="D765" s="241" t="str">
        <f ca="1">IFERROR(__xludf.DUMMYFUNCTION("""COMPUTED_VALUE"""),"01469443000199")</f>
        <v>01469443000199</v>
      </c>
      <c r="E765" s="241" t="str">
        <f ca="1">IFERROR(__xludf.DUMMYFUNCTION("""COMPUTED_VALUE"""),"001")</f>
        <v>001</v>
      </c>
      <c r="F765" s="241" t="str">
        <f ca="1">IFERROR(__xludf.DUMMYFUNCTION("""COMPUTED_VALUE"""),"1117")</f>
        <v>1117</v>
      </c>
      <c r="G765" s="240" t="str">
        <f ca="1">IFERROR(__xludf.DUMMYFUNCTION("""COMPUTED_VALUE"""),"315052")</f>
        <v>315052</v>
      </c>
      <c r="H765" s="240" t="str">
        <f ca="1">IFERROR(__xludf.DUMMYFUNCTION("""COMPUTED_VALUE"""),"EJA")</f>
        <v>EJA</v>
      </c>
      <c r="I765" s="242">
        <f ca="1">IFERROR(__xludf.DUMMYFUNCTION("""COMPUTED_VALUE"""),336)</f>
        <v>336</v>
      </c>
    </row>
    <row r="766" spans="1:9" ht="21" customHeight="1">
      <c r="A766" s="240" t="str">
        <f ca="1">IFERROR(__xludf.DUMMYFUNCTION("""COMPUTED_VALUE"""),"Porto Nacional")</f>
        <v>Porto Nacional</v>
      </c>
      <c r="B766" s="240" t="str">
        <f ca="1">IFERROR(__xludf.DUMMYFUNCTION("""COMPUTED_VALUE"""),"Monte do Carmo")</f>
        <v>Monte do Carmo</v>
      </c>
      <c r="C766" s="240" t="str">
        <f ca="1">IFERROR(__xludf.DUMMYFUNCTION("""COMPUTED_VALUE"""),"A.APOIO DA ESCOLA ESTADUAL MESTRA BELA")</f>
        <v>A.APOIO DA ESCOLA ESTADUAL MESTRA BELA</v>
      </c>
      <c r="D766" s="241" t="str">
        <f ca="1">IFERROR(__xludf.DUMMYFUNCTION("""COMPUTED_VALUE"""),"01071442000191")</f>
        <v>01071442000191</v>
      </c>
      <c r="E766" s="241" t="str">
        <f ca="1">IFERROR(__xludf.DUMMYFUNCTION("""COMPUTED_VALUE"""),"001")</f>
        <v>001</v>
      </c>
      <c r="F766" s="241" t="str">
        <f ca="1">IFERROR(__xludf.DUMMYFUNCTION("""COMPUTED_VALUE"""),"1117")</f>
        <v>1117</v>
      </c>
      <c r="G766" s="240" t="str">
        <f ca="1">IFERROR(__xludf.DUMMYFUNCTION("""COMPUTED_VALUE"""),"31286X")</f>
        <v>31286X</v>
      </c>
      <c r="H766" s="240" t="str">
        <f ca="1">IFERROR(__xludf.DUMMYFUNCTION("""COMPUTED_VALUE"""),"AEE")</f>
        <v>AEE</v>
      </c>
      <c r="I766" s="242">
        <f ca="1">IFERROR(__xludf.DUMMYFUNCTION("""COMPUTED_VALUE"""),147)</f>
        <v>147</v>
      </c>
    </row>
    <row r="767" spans="1:9" ht="21" customHeight="1">
      <c r="A767" s="240" t="str">
        <f ca="1">IFERROR(__xludf.DUMMYFUNCTION("""COMPUTED_VALUE"""),"Porto Nacional")</f>
        <v>Porto Nacional</v>
      </c>
      <c r="B767" s="240" t="str">
        <f ca="1">IFERROR(__xludf.DUMMYFUNCTION("""COMPUTED_VALUE"""),"Monte do Carmo")</f>
        <v>Monte do Carmo</v>
      </c>
      <c r="C767" s="240" t="str">
        <f ca="1">IFERROR(__xludf.DUMMYFUNCTION("""COMPUTED_VALUE"""),"ASSOC. APOIA A ESC. EST. PROF.DINA DE OLIVEIRA AMORIM")</f>
        <v>ASSOC. APOIA A ESC. EST. PROF.DINA DE OLIVEIRA AMORIM</v>
      </c>
      <c r="D767" s="241" t="str">
        <f ca="1">IFERROR(__xludf.DUMMYFUNCTION("""COMPUTED_VALUE"""),"16437349000125")</f>
        <v>16437349000125</v>
      </c>
      <c r="E767" s="241" t="str">
        <f ca="1">IFERROR(__xludf.DUMMYFUNCTION("""COMPUTED_VALUE"""),"001")</f>
        <v>001</v>
      </c>
      <c r="F767" s="241" t="str">
        <f ca="1">IFERROR(__xludf.DUMMYFUNCTION("""COMPUTED_VALUE"""),"1117")</f>
        <v>1117</v>
      </c>
      <c r="G767" s="240" t="str">
        <f ca="1">IFERROR(__xludf.DUMMYFUNCTION("""COMPUTED_VALUE"""),"339113")</f>
        <v>339113</v>
      </c>
      <c r="H767" s="240" t="str">
        <f ca="1">IFERROR(__xludf.DUMMYFUNCTION("""COMPUTED_VALUE"""),"E.F. PARCIAL")</f>
        <v>E.F. PARCIAL</v>
      </c>
      <c r="I767" s="242">
        <f ca="1">IFERROR(__xludf.DUMMYFUNCTION("""COMPUTED_VALUE"""),1743)</f>
        <v>1743</v>
      </c>
    </row>
    <row r="768" spans="1:9" ht="21" customHeight="1">
      <c r="A768" s="240" t="str">
        <f ca="1">IFERROR(__xludf.DUMMYFUNCTION("""COMPUTED_VALUE"""),"Porto Nacional")</f>
        <v>Porto Nacional</v>
      </c>
      <c r="B768" s="240" t="str">
        <f ca="1">IFERROR(__xludf.DUMMYFUNCTION("""COMPUTED_VALUE"""),"Natividade")</f>
        <v>Natividade</v>
      </c>
      <c r="C768" s="240" t="str">
        <f ca="1">IFERROR(__xludf.DUMMYFUNCTION("""COMPUTED_VALUE"""),"A.A. E. EST.NOSSA SENHORA DE FATIMA")</f>
        <v>A.A. E. EST.NOSSA SENHORA DE FATIMA</v>
      </c>
      <c r="D768" s="241" t="str">
        <f ca="1">IFERROR(__xludf.DUMMYFUNCTION("""COMPUTED_VALUE"""),"01064860000151")</f>
        <v>01064860000151</v>
      </c>
      <c r="E768" s="241" t="str">
        <f ca="1">IFERROR(__xludf.DUMMYFUNCTION("""COMPUTED_VALUE"""),"003")</f>
        <v>003</v>
      </c>
      <c r="F768" s="241" t="str">
        <f ca="1">IFERROR(__xludf.DUMMYFUNCTION("""COMPUTED_VALUE"""),"0037")</f>
        <v>0037</v>
      </c>
      <c r="G768" s="240" t="str">
        <f ca="1">IFERROR(__xludf.DUMMYFUNCTION("""COMPUTED_VALUE"""),"0702646")</f>
        <v>0702646</v>
      </c>
      <c r="H768" s="240" t="str">
        <f ca="1">IFERROR(__xludf.DUMMYFUNCTION("""COMPUTED_VALUE"""),"E.F. PARCIAL")</f>
        <v>E.F. PARCIAL</v>
      </c>
      <c r="I768" s="242">
        <f ca="1">IFERROR(__xludf.DUMMYFUNCTION("""COMPUTED_VALUE"""),6384)</f>
        <v>6384</v>
      </c>
    </row>
    <row r="769" spans="1:9" ht="21" customHeight="1">
      <c r="A769" s="240" t="str">
        <f ca="1">IFERROR(__xludf.DUMMYFUNCTION("""COMPUTED_VALUE"""),"Porto Nacional")</f>
        <v>Porto Nacional</v>
      </c>
      <c r="B769" s="240" t="str">
        <f ca="1">IFERROR(__xludf.DUMMYFUNCTION("""COMPUTED_VALUE"""),"Natividade")</f>
        <v>Natividade</v>
      </c>
      <c r="C769" s="240" t="str">
        <f ca="1">IFERROR(__xludf.DUMMYFUNCTION("""COMPUTED_VALUE"""),"A.A. E. EST.NOSSA SENHORA DE FATIMA")</f>
        <v>A.A. E. EST.NOSSA SENHORA DE FATIMA</v>
      </c>
      <c r="D769" s="241" t="str">
        <f ca="1">IFERROR(__xludf.DUMMYFUNCTION("""COMPUTED_VALUE"""),"01064860000151")</f>
        <v>01064860000151</v>
      </c>
      <c r="E769" s="241" t="str">
        <f ca="1">IFERROR(__xludf.DUMMYFUNCTION("""COMPUTED_VALUE"""),"003")</f>
        <v>003</v>
      </c>
      <c r="F769" s="241" t="str">
        <f ca="1">IFERROR(__xludf.DUMMYFUNCTION("""COMPUTED_VALUE"""),"0037")</f>
        <v>0037</v>
      </c>
      <c r="G769" s="240" t="str">
        <f ca="1">IFERROR(__xludf.DUMMYFUNCTION("""COMPUTED_VALUE"""),"0702646")</f>
        <v>0702646</v>
      </c>
      <c r="H769" s="240" t="str">
        <f ca="1">IFERROR(__xludf.DUMMYFUNCTION("""COMPUTED_VALUE"""),"AEE")</f>
        <v>AEE</v>
      </c>
      <c r="I769" s="242">
        <f ca="1">IFERROR(__xludf.DUMMYFUNCTION("""COMPUTED_VALUE"""),210)</f>
        <v>210</v>
      </c>
    </row>
    <row r="770" spans="1:9" ht="21" customHeight="1">
      <c r="A770" s="240" t="str">
        <f ca="1">IFERROR(__xludf.DUMMYFUNCTION("""COMPUTED_VALUE"""),"Porto Nacional")</f>
        <v>Porto Nacional</v>
      </c>
      <c r="B770" s="240" t="str">
        <f ca="1">IFERROR(__xludf.DUMMYFUNCTION("""COMPUTED_VALUE"""),"Natividade")</f>
        <v>Natividade</v>
      </c>
      <c r="C770" s="240" t="str">
        <f ca="1">IFERROR(__xludf.DUMMYFUNCTION("""COMPUTED_VALUE"""),"A.A. E. EST.NOSSA SENHORA DE FATIMA")</f>
        <v>A.A. E. EST.NOSSA SENHORA DE FATIMA</v>
      </c>
      <c r="D770" s="241" t="str">
        <f ca="1">IFERROR(__xludf.DUMMYFUNCTION("""COMPUTED_VALUE"""),"01064860000151")</f>
        <v>01064860000151</v>
      </c>
      <c r="E770" s="241" t="str">
        <f ca="1">IFERROR(__xludf.DUMMYFUNCTION("""COMPUTED_VALUE"""),"003")</f>
        <v>003</v>
      </c>
      <c r="F770" s="241" t="str">
        <f ca="1">IFERROR(__xludf.DUMMYFUNCTION("""COMPUTED_VALUE"""),"0037")</f>
        <v>0037</v>
      </c>
      <c r="G770" s="240" t="str">
        <f ca="1">IFERROR(__xludf.DUMMYFUNCTION("""COMPUTED_VALUE"""),"0702646")</f>
        <v>0702646</v>
      </c>
      <c r="H770" s="240" t="str">
        <f ca="1">IFERROR(__xludf.DUMMYFUNCTION("""COMPUTED_VALUE"""),"EJA")</f>
        <v>EJA</v>
      </c>
      <c r="I770" s="242">
        <f ca="1">IFERROR(__xludf.DUMMYFUNCTION("""COMPUTED_VALUE"""),294)</f>
        <v>294</v>
      </c>
    </row>
    <row r="771" spans="1:9" ht="21" customHeight="1">
      <c r="A771" s="240" t="str">
        <f ca="1">IFERROR(__xludf.DUMMYFUNCTION("""COMPUTED_VALUE"""),"Porto Nacional")</f>
        <v>Porto Nacional</v>
      </c>
      <c r="B771" s="240" t="str">
        <f ca="1">IFERROR(__xludf.DUMMYFUNCTION("""COMPUTED_VALUE"""),"Natividade")</f>
        <v>Natividade</v>
      </c>
      <c r="C771" s="240" t="str">
        <f ca="1">IFERROR(__xludf.DUMMYFUNCTION("""COMPUTED_VALUE"""),"ASS. APOIO ESC. EST. JOAQUIM LINO SUARTE")</f>
        <v>ASS. APOIO ESC. EST. JOAQUIM LINO SUARTE</v>
      </c>
      <c r="D771" s="241" t="str">
        <f ca="1">IFERROR(__xludf.DUMMYFUNCTION("""COMPUTED_VALUE"""),"01133708000183")</f>
        <v>01133708000183</v>
      </c>
      <c r="E771" s="241" t="str">
        <f ca="1">IFERROR(__xludf.DUMMYFUNCTION("""COMPUTED_VALUE"""),"003")</f>
        <v>003</v>
      </c>
      <c r="F771" s="241" t="str">
        <f ca="1">IFERROR(__xludf.DUMMYFUNCTION("""COMPUTED_VALUE"""),"0037")</f>
        <v>0037</v>
      </c>
      <c r="G771" s="240" t="str">
        <f ca="1">IFERROR(__xludf.DUMMYFUNCTION("""COMPUTED_VALUE"""),"0702670")</f>
        <v>0702670</v>
      </c>
      <c r="H771" s="240" t="str">
        <f ca="1">IFERROR(__xludf.DUMMYFUNCTION("""COMPUTED_VALUE"""),"E.F. PARCIAL")</f>
        <v>E.F. PARCIAL</v>
      </c>
      <c r="I771" s="242">
        <f ca="1">IFERROR(__xludf.DUMMYFUNCTION("""COMPUTED_VALUE"""),3549)</f>
        <v>3549</v>
      </c>
    </row>
    <row r="772" spans="1:9" ht="21" customHeight="1">
      <c r="A772" s="240" t="str">
        <f ca="1">IFERROR(__xludf.DUMMYFUNCTION("""COMPUTED_VALUE"""),"Porto Nacional")</f>
        <v>Porto Nacional</v>
      </c>
      <c r="B772" s="240" t="str">
        <f ca="1">IFERROR(__xludf.DUMMYFUNCTION("""COMPUTED_VALUE"""),"Natividade")</f>
        <v>Natividade</v>
      </c>
      <c r="C772" s="240" t="str">
        <f ca="1">IFERROR(__xludf.DUMMYFUNCTION("""COMPUTED_VALUE"""),"ASS. APOIO ESC. EST. JOAQUIM LINO SUARTE")</f>
        <v>ASS. APOIO ESC. EST. JOAQUIM LINO SUARTE</v>
      </c>
      <c r="D772" s="241" t="str">
        <f ca="1">IFERROR(__xludf.DUMMYFUNCTION("""COMPUTED_VALUE"""),"01133708000183")</f>
        <v>01133708000183</v>
      </c>
      <c r="E772" s="241" t="str">
        <f ca="1">IFERROR(__xludf.DUMMYFUNCTION("""COMPUTED_VALUE"""),"003")</f>
        <v>003</v>
      </c>
      <c r="F772" s="241" t="str">
        <f ca="1">IFERROR(__xludf.DUMMYFUNCTION("""COMPUTED_VALUE"""),"0037")</f>
        <v>0037</v>
      </c>
      <c r="G772" s="240" t="str">
        <f ca="1">IFERROR(__xludf.DUMMYFUNCTION("""COMPUTED_VALUE"""),"0702670")</f>
        <v>0702670</v>
      </c>
      <c r="H772" s="240" t="str">
        <f ca="1">IFERROR(__xludf.DUMMYFUNCTION("""COMPUTED_VALUE"""),"AEE")</f>
        <v>AEE</v>
      </c>
      <c r="I772" s="242">
        <f ca="1">IFERROR(__xludf.DUMMYFUNCTION("""COMPUTED_VALUE"""),252)</f>
        <v>252</v>
      </c>
    </row>
    <row r="773" spans="1:9" ht="21" customHeight="1">
      <c r="A773" s="240" t="str">
        <f ca="1">IFERROR(__xludf.DUMMYFUNCTION("""COMPUTED_VALUE"""),"Porto Nacional")</f>
        <v>Porto Nacional</v>
      </c>
      <c r="B773" s="240" t="str">
        <f ca="1">IFERROR(__xludf.DUMMYFUNCTION("""COMPUTED_VALUE"""),"Natividade")</f>
        <v>Natividade</v>
      </c>
      <c r="C773" s="240" t="str">
        <f ca="1">IFERROR(__xludf.DUMMYFUNCTION("""COMPUTED_VALUE"""),"ASS. APOIO ESC. EST. JOAQUIM LINO SUARTE")</f>
        <v>ASS. APOIO ESC. EST. JOAQUIM LINO SUARTE</v>
      </c>
      <c r="D773" s="241" t="str">
        <f ca="1">IFERROR(__xludf.DUMMYFUNCTION("""COMPUTED_VALUE"""),"01133708000183")</f>
        <v>01133708000183</v>
      </c>
      <c r="E773" s="241" t="str">
        <f ca="1">IFERROR(__xludf.DUMMYFUNCTION("""COMPUTED_VALUE"""),"003")</f>
        <v>003</v>
      </c>
      <c r="F773" s="241" t="str">
        <f ca="1">IFERROR(__xludf.DUMMYFUNCTION("""COMPUTED_VALUE"""),"0037")</f>
        <v>0037</v>
      </c>
      <c r="G773" s="240" t="str">
        <f ca="1">IFERROR(__xludf.DUMMYFUNCTION("""COMPUTED_VALUE"""),"0702670")</f>
        <v>0702670</v>
      </c>
      <c r="H773" s="240" t="str">
        <f ca="1">IFERROR(__xludf.DUMMYFUNCTION("""COMPUTED_VALUE"""),"ENS MEDIO PARCIAL")</f>
        <v>ENS MEDIO PARCIAL</v>
      </c>
      <c r="I773" s="242">
        <f ca="1">IFERROR(__xludf.DUMMYFUNCTION("""COMPUTED_VALUE"""),1008)</f>
        <v>1008</v>
      </c>
    </row>
    <row r="774" spans="1:9" ht="21" customHeight="1">
      <c r="A774" s="240" t="str">
        <f ca="1">IFERROR(__xludf.DUMMYFUNCTION("""COMPUTED_VALUE"""),"Porto Nacional")</f>
        <v>Porto Nacional</v>
      </c>
      <c r="B774" s="240" t="str">
        <f ca="1">IFERROR(__xludf.DUMMYFUNCTION("""COMPUTED_VALUE"""),"Natividade")</f>
        <v>Natividade</v>
      </c>
      <c r="C774" s="240" t="str">
        <f ca="1">IFERROR(__xludf.DUMMYFUNCTION("""COMPUTED_VALUE"""),"ASSOC. DE APOIO A ESC. ESPECIAL TIA CORACI DE SENA FERNANDES")</f>
        <v>ASSOC. DE APOIO A ESC. ESPECIAL TIA CORACI DE SENA FERNANDES</v>
      </c>
      <c r="D774" s="241" t="str">
        <f ca="1">IFERROR(__xludf.DUMMYFUNCTION("""COMPUTED_VALUE"""),"17163914000176")</f>
        <v>17163914000176</v>
      </c>
      <c r="E774" s="241" t="str">
        <f ca="1">IFERROR(__xludf.DUMMYFUNCTION("""COMPUTED_VALUE"""),"001")</f>
        <v>001</v>
      </c>
      <c r="F774" s="241" t="str">
        <f ca="1">IFERROR(__xludf.DUMMYFUNCTION("""COMPUTED_VALUE"""),"2334")</f>
        <v>2334</v>
      </c>
      <c r="G774" s="240" t="str">
        <f ca="1">IFERROR(__xludf.DUMMYFUNCTION("""COMPUTED_VALUE"""),"19860")</f>
        <v>19860</v>
      </c>
      <c r="H774" s="240" t="str">
        <f ca="1">IFERROR(__xludf.DUMMYFUNCTION("""COMPUTED_VALUE"""),"E.F. PARCIAL")</f>
        <v>E.F. PARCIAL</v>
      </c>
      <c r="I774" s="242">
        <f ca="1">IFERROR(__xludf.DUMMYFUNCTION("""COMPUTED_VALUE"""),147)</f>
        <v>147</v>
      </c>
    </row>
    <row r="775" spans="1:9" ht="21" customHeight="1">
      <c r="A775" s="240" t="str">
        <f ca="1">IFERROR(__xludf.DUMMYFUNCTION("""COMPUTED_VALUE"""),"Porto Nacional")</f>
        <v>Porto Nacional</v>
      </c>
      <c r="B775" s="240" t="str">
        <f ca="1">IFERROR(__xludf.DUMMYFUNCTION("""COMPUTED_VALUE"""),"Natividade")</f>
        <v>Natividade</v>
      </c>
      <c r="C775" s="240" t="str">
        <f ca="1">IFERROR(__xludf.DUMMYFUNCTION("""COMPUTED_VALUE"""),"ASSOC. DE APOIO A ESC. ESPECIAL TIA CORACI DE SENA FERNANDES")</f>
        <v>ASSOC. DE APOIO A ESC. ESPECIAL TIA CORACI DE SENA FERNANDES</v>
      </c>
      <c r="D775" s="241" t="str">
        <f ca="1">IFERROR(__xludf.DUMMYFUNCTION("""COMPUTED_VALUE"""),"17163914000176")</f>
        <v>17163914000176</v>
      </c>
      <c r="E775" s="241" t="str">
        <f ca="1">IFERROR(__xludf.DUMMYFUNCTION("""COMPUTED_VALUE"""),"001")</f>
        <v>001</v>
      </c>
      <c r="F775" s="241" t="str">
        <f ca="1">IFERROR(__xludf.DUMMYFUNCTION("""COMPUTED_VALUE"""),"2334")</f>
        <v>2334</v>
      </c>
      <c r="G775" s="240" t="str">
        <f ca="1">IFERROR(__xludf.DUMMYFUNCTION("""COMPUTED_VALUE"""),"19860")</f>
        <v>19860</v>
      </c>
      <c r="H775" s="240" t="str">
        <f ca="1">IFERROR(__xludf.DUMMYFUNCTION("""COMPUTED_VALUE"""),"AEE")</f>
        <v>AEE</v>
      </c>
      <c r="I775" s="242">
        <f ca="1">IFERROR(__xludf.DUMMYFUNCTION("""COMPUTED_VALUE"""),1029)</f>
        <v>1029</v>
      </c>
    </row>
    <row r="776" spans="1:9" ht="21" customHeight="1">
      <c r="A776" s="240" t="str">
        <f ca="1">IFERROR(__xludf.DUMMYFUNCTION("""COMPUTED_VALUE"""),"Porto Nacional")</f>
        <v>Porto Nacional</v>
      </c>
      <c r="B776" s="240" t="str">
        <f ca="1">IFERROR(__xludf.DUMMYFUNCTION("""COMPUTED_VALUE"""),"Natividade")</f>
        <v>Natividade</v>
      </c>
      <c r="C776" s="240" t="str">
        <f ca="1">IFERROR(__xludf.DUMMYFUNCTION("""COMPUTED_VALUE"""),"ASSOC. DE APOIO A ESC. ESPECIAL TIA CORACI DE SENA FERNANDES")</f>
        <v>ASSOC. DE APOIO A ESC. ESPECIAL TIA CORACI DE SENA FERNANDES</v>
      </c>
      <c r="D776" s="241" t="str">
        <f ca="1">IFERROR(__xludf.DUMMYFUNCTION("""COMPUTED_VALUE"""),"17163914000176")</f>
        <v>17163914000176</v>
      </c>
      <c r="E776" s="241" t="str">
        <f ca="1">IFERROR(__xludf.DUMMYFUNCTION("""COMPUTED_VALUE"""),"001")</f>
        <v>001</v>
      </c>
      <c r="F776" s="241" t="str">
        <f ca="1">IFERROR(__xludf.DUMMYFUNCTION("""COMPUTED_VALUE"""),"2334")</f>
        <v>2334</v>
      </c>
      <c r="G776" s="240" t="str">
        <f ca="1">IFERROR(__xludf.DUMMYFUNCTION("""COMPUTED_VALUE"""),"19860")</f>
        <v>19860</v>
      </c>
      <c r="H776" s="240" t="str">
        <f ca="1">IFERROR(__xludf.DUMMYFUNCTION("""COMPUTED_VALUE"""),"EJA")</f>
        <v>EJA</v>
      </c>
      <c r="I776" s="242">
        <f ca="1">IFERROR(__xludf.DUMMYFUNCTION("""COMPUTED_VALUE"""),945)</f>
        <v>945</v>
      </c>
    </row>
    <row r="777" spans="1:9" ht="21" customHeight="1">
      <c r="A777" s="240" t="str">
        <f ca="1">IFERROR(__xludf.DUMMYFUNCTION("""COMPUTED_VALUE"""),"Porto Nacional")</f>
        <v>Porto Nacional</v>
      </c>
      <c r="B777" s="240" t="str">
        <f ca="1">IFERROR(__xludf.DUMMYFUNCTION("""COMPUTED_VALUE"""),"Oliveira de Fatima")</f>
        <v>Oliveira de Fatima</v>
      </c>
      <c r="C777" s="240" t="str">
        <f ca="1">IFERROR(__xludf.DUMMYFUNCTION("""COMPUTED_VALUE"""),"ASS. DE APOIO DA ESC. EST.RIACHUELO")</f>
        <v>ASS. DE APOIO DA ESC. EST.RIACHUELO</v>
      </c>
      <c r="D777" s="241" t="str">
        <f ca="1">IFERROR(__xludf.DUMMYFUNCTION("""COMPUTED_VALUE"""),"01696068000110")</f>
        <v>01696068000110</v>
      </c>
      <c r="E777" s="241" t="str">
        <f ca="1">IFERROR(__xludf.DUMMYFUNCTION("""COMPUTED_VALUE"""),"001")</f>
        <v>001</v>
      </c>
      <c r="F777" s="241" t="str">
        <f ca="1">IFERROR(__xludf.DUMMYFUNCTION("""COMPUTED_VALUE"""),"4107")</f>
        <v>4107</v>
      </c>
      <c r="G777" s="240" t="str">
        <f ca="1">IFERROR(__xludf.DUMMYFUNCTION("""COMPUTED_VALUE"""),"319511")</f>
        <v>319511</v>
      </c>
      <c r="H777" s="240" t="str">
        <f ca="1">IFERROR(__xludf.DUMMYFUNCTION("""COMPUTED_VALUE"""),"E.F. PARCIAL")</f>
        <v>E.F. PARCIAL</v>
      </c>
      <c r="I777" s="242">
        <f ca="1">IFERROR(__xludf.DUMMYFUNCTION("""COMPUTED_VALUE"""),441)</f>
        <v>441</v>
      </c>
    </row>
    <row r="778" spans="1:9" ht="21" customHeight="1">
      <c r="A778" s="240" t="str">
        <f ca="1">IFERROR(__xludf.DUMMYFUNCTION("""COMPUTED_VALUE"""),"Porto Nacional")</f>
        <v>Porto Nacional</v>
      </c>
      <c r="B778" s="240" t="str">
        <f ca="1">IFERROR(__xludf.DUMMYFUNCTION("""COMPUTED_VALUE"""),"Oliveira de Fatima")</f>
        <v>Oliveira de Fatima</v>
      </c>
      <c r="C778" s="240" t="str">
        <f ca="1">IFERROR(__xludf.DUMMYFUNCTION("""COMPUTED_VALUE"""),"ASS. DE APOIO DA ESC. EST.RIACHUELO")</f>
        <v>ASS. DE APOIO DA ESC. EST.RIACHUELO</v>
      </c>
      <c r="D778" s="241" t="str">
        <f ca="1">IFERROR(__xludf.DUMMYFUNCTION("""COMPUTED_VALUE"""),"01696068000110")</f>
        <v>01696068000110</v>
      </c>
      <c r="E778" s="241" t="str">
        <f ca="1">IFERROR(__xludf.DUMMYFUNCTION("""COMPUTED_VALUE"""),"001")</f>
        <v>001</v>
      </c>
      <c r="F778" s="241" t="str">
        <f ca="1">IFERROR(__xludf.DUMMYFUNCTION("""COMPUTED_VALUE"""),"4107")</f>
        <v>4107</v>
      </c>
      <c r="G778" s="240" t="str">
        <f ca="1">IFERROR(__xludf.DUMMYFUNCTION("""COMPUTED_VALUE"""),"319511")</f>
        <v>319511</v>
      </c>
      <c r="H778" s="240" t="str">
        <f ca="1">IFERROR(__xludf.DUMMYFUNCTION("""COMPUTED_VALUE"""),"ENS MEDIO PARCIAL")</f>
        <v>ENS MEDIO PARCIAL</v>
      </c>
      <c r="I778" s="242">
        <f ca="1">IFERROR(__xludf.DUMMYFUNCTION("""COMPUTED_VALUE"""),1113)</f>
        <v>1113</v>
      </c>
    </row>
    <row r="779" spans="1:9" ht="21" customHeight="1">
      <c r="A779" s="240" t="str">
        <f ca="1">IFERROR(__xludf.DUMMYFUNCTION("""COMPUTED_VALUE"""),"Porto Nacional")</f>
        <v>Porto Nacional</v>
      </c>
      <c r="B779" s="240" t="str">
        <f ca="1">IFERROR(__xludf.DUMMYFUNCTION("""COMPUTED_VALUE"""),"Oliveira de Fatima")</f>
        <v>Oliveira de Fatima</v>
      </c>
      <c r="C779" s="240" t="str">
        <f ca="1">IFERROR(__xludf.DUMMYFUNCTION("""COMPUTED_VALUE"""),"ASS. DE APOIO DA ESC. EST.RIACHUELO")</f>
        <v>ASS. DE APOIO DA ESC. EST.RIACHUELO</v>
      </c>
      <c r="D779" s="241" t="str">
        <f ca="1">IFERROR(__xludf.DUMMYFUNCTION("""COMPUTED_VALUE"""),"01696068000110")</f>
        <v>01696068000110</v>
      </c>
      <c r="E779" s="241" t="str">
        <f ca="1">IFERROR(__xludf.DUMMYFUNCTION("""COMPUTED_VALUE"""),"001")</f>
        <v>001</v>
      </c>
      <c r="F779" s="241" t="str">
        <f ca="1">IFERROR(__xludf.DUMMYFUNCTION("""COMPUTED_VALUE"""),"4107")</f>
        <v>4107</v>
      </c>
      <c r="G779" s="240" t="str">
        <f ca="1">IFERROR(__xludf.DUMMYFUNCTION("""COMPUTED_VALUE"""),"319511")</f>
        <v>319511</v>
      </c>
      <c r="H779" s="240" t="str">
        <f ca="1">IFERROR(__xludf.DUMMYFUNCTION("""COMPUTED_VALUE"""),"EJA")</f>
        <v>EJA</v>
      </c>
      <c r="I779" s="242">
        <f ca="1">IFERROR(__xludf.DUMMYFUNCTION("""COMPUTED_VALUE"""),336)</f>
        <v>336</v>
      </c>
    </row>
    <row r="780" spans="1:9" ht="21" customHeight="1">
      <c r="A780" s="240" t="str">
        <f ca="1">IFERROR(__xludf.DUMMYFUNCTION("""COMPUTED_VALUE"""),"Porto Nacional")</f>
        <v>Porto Nacional</v>
      </c>
      <c r="B780" s="240" t="str">
        <f ca="1">IFERROR(__xludf.DUMMYFUNCTION("""COMPUTED_VALUE"""),"Pindorama do Tocantins")</f>
        <v>Pindorama do Tocantins</v>
      </c>
      <c r="C780" s="240" t="str">
        <f ca="1">IFERROR(__xludf.DUMMYFUNCTION("""COMPUTED_VALUE"""),"A.A. E. E. DEP.JOSE A. DE ASSIS")</f>
        <v>A.A. E. E. DEP.JOSE A. DE ASSIS</v>
      </c>
      <c r="D780" s="241" t="str">
        <f ca="1">IFERROR(__xludf.DUMMYFUNCTION("""COMPUTED_VALUE"""),"01066411000142")</f>
        <v>01066411000142</v>
      </c>
      <c r="E780" s="241" t="str">
        <f ca="1">IFERROR(__xludf.DUMMYFUNCTION("""COMPUTED_VALUE"""),"001")</f>
        <v>001</v>
      </c>
      <c r="F780" s="241" t="str">
        <f ca="1">IFERROR(__xludf.DUMMYFUNCTION("""COMPUTED_VALUE"""),"1117")</f>
        <v>1117</v>
      </c>
      <c r="G780" s="240" t="str">
        <f ca="1">IFERROR(__xludf.DUMMYFUNCTION("""COMPUTED_VALUE"""),"312770")</f>
        <v>312770</v>
      </c>
      <c r="H780" s="240" t="str">
        <f ca="1">IFERROR(__xludf.DUMMYFUNCTION("""COMPUTED_VALUE"""),"E.F. PARCIAL")</f>
        <v>E.F. PARCIAL</v>
      </c>
      <c r="I780" s="242">
        <f ca="1">IFERROR(__xludf.DUMMYFUNCTION("""COMPUTED_VALUE"""),3003)</f>
        <v>3003</v>
      </c>
    </row>
    <row r="781" spans="1:9" ht="21" customHeight="1">
      <c r="A781" s="240" t="str">
        <f ca="1">IFERROR(__xludf.DUMMYFUNCTION("""COMPUTED_VALUE"""),"Porto Nacional")</f>
        <v>Porto Nacional</v>
      </c>
      <c r="B781" s="240" t="str">
        <f ca="1">IFERROR(__xludf.DUMMYFUNCTION("""COMPUTED_VALUE"""),"Pindorama do Tocantins")</f>
        <v>Pindorama do Tocantins</v>
      </c>
      <c r="C781" s="240" t="str">
        <f ca="1">IFERROR(__xludf.DUMMYFUNCTION("""COMPUTED_VALUE"""),"A.A. E. E. DEP.JOSE A. DE ASSIS")</f>
        <v>A.A. E. E. DEP.JOSE A. DE ASSIS</v>
      </c>
      <c r="D781" s="241" t="str">
        <f ca="1">IFERROR(__xludf.DUMMYFUNCTION("""COMPUTED_VALUE"""),"01066411000142")</f>
        <v>01066411000142</v>
      </c>
      <c r="E781" s="241" t="str">
        <f ca="1">IFERROR(__xludf.DUMMYFUNCTION("""COMPUTED_VALUE"""),"001")</f>
        <v>001</v>
      </c>
      <c r="F781" s="241" t="str">
        <f ca="1">IFERROR(__xludf.DUMMYFUNCTION("""COMPUTED_VALUE"""),"1117")</f>
        <v>1117</v>
      </c>
      <c r="G781" s="240" t="str">
        <f ca="1">IFERROR(__xludf.DUMMYFUNCTION("""COMPUTED_VALUE"""),"312770")</f>
        <v>312770</v>
      </c>
      <c r="H781" s="240" t="str">
        <f ca="1">IFERROR(__xludf.DUMMYFUNCTION("""COMPUTED_VALUE"""),"AEE")</f>
        <v>AEE</v>
      </c>
      <c r="I781" s="242">
        <f ca="1">IFERROR(__xludf.DUMMYFUNCTION("""COMPUTED_VALUE"""),231)</f>
        <v>231</v>
      </c>
    </row>
    <row r="782" spans="1:9" ht="21" customHeight="1">
      <c r="A782" s="240" t="str">
        <f ca="1">IFERROR(__xludf.DUMMYFUNCTION("""COMPUTED_VALUE"""),"Porto Nacional")</f>
        <v>Porto Nacional</v>
      </c>
      <c r="B782" s="240" t="str">
        <f ca="1">IFERROR(__xludf.DUMMYFUNCTION("""COMPUTED_VALUE"""),"Pindorama do Tocantins")</f>
        <v>Pindorama do Tocantins</v>
      </c>
      <c r="C782" s="240" t="str">
        <f ca="1">IFERROR(__xludf.DUMMYFUNCTION("""COMPUTED_VALUE"""),"A.A. E. E. DEP.JOSE A. DE ASSIS")</f>
        <v>A.A. E. E. DEP.JOSE A. DE ASSIS</v>
      </c>
      <c r="D782" s="241" t="str">
        <f ca="1">IFERROR(__xludf.DUMMYFUNCTION("""COMPUTED_VALUE"""),"01066411000142")</f>
        <v>01066411000142</v>
      </c>
      <c r="E782" s="241" t="str">
        <f ca="1">IFERROR(__xludf.DUMMYFUNCTION("""COMPUTED_VALUE"""),"001")</f>
        <v>001</v>
      </c>
      <c r="F782" s="241" t="str">
        <f ca="1">IFERROR(__xludf.DUMMYFUNCTION("""COMPUTED_VALUE"""),"1117")</f>
        <v>1117</v>
      </c>
      <c r="G782" s="240" t="str">
        <f ca="1">IFERROR(__xludf.DUMMYFUNCTION("""COMPUTED_VALUE"""),"312770")</f>
        <v>312770</v>
      </c>
      <c r="H782" s="240" t="str">
        <f ca="1">IFERROR(__xludf.DUMMYFUNCTION("""COMPUTED_VALUE"""),"ENS MEDIO PARCIAL")</f>
        <v>ENS MEDIO PARCIAL</v>
      </c>
      <c r="I782" s="242">
        <f ca="1">IFERROR(__xludf.DUMMYFUNCTION("""COMPUTED_VALUE"""),756)</f>
        <v>756</v>
      </c>
    </row>
    <row r="783" spans="1:9" ht="21" customHeight="1">
      <c r="A783" s="240" t="str">
        <f ca="1">IFERROR(__xludf.DUMMYFUNCTION("""COMPUTED_VALUE"""),"Porto Nacional")</f>
        <v>Porto Nacional</v>
      </c>
      <c r="B783" s="240" t="str">
        <f ca="1">IFERROR(__xludf.DUMMYFUNCTION("""COMPUTED_VALUE"""),"Ponte Alta do Tocantins")</f>
        <v>Ponte Alta do Tocantins</v>
      </c>
      <c r="C783" s="240" t="str">
        <f ca="1">IFERROR(__xludf.DUMMYFUNCTION("""COMPUTED_VALUE"""),"ASS. APOIO DA ESCOLA EST. ALCIDES RUFO")</f>
        <v>ASS. APOIO DA ESCOLA EST. ALCIDES RUFO</v>
      </c>
      <c r="D783" s="241" t="str">
        <f ca="1">IFERROR(__xludf.DUMMYFUNCTION("""COMPUTED_VALUE"""),"01192931000100")</f>
        <v>01192931000100</v>
      </c>
      <c r="E783" s="241" t="str">
        <f ca="1">IFERROR(__xludf.DUMMYFUNCTION("""COMPUTED_VALUE"""),"001")</f>
        <v>001</v>
      </c>
      <c r="F783" s="241" t="str">
        <f ca="1">IFERROR(__xludf.DUMMYFUNCTION("""COMPUTED_VALUE"""),"1117")</f>
        <v>1117</v>
      </c>
      <c r="G783" s="240" t="str">
        <f ca="1">IFERROR(__xludf.DUMMYFUNCTION("""COMPUTED_VALUE"""),"313785")</f>
        <v>313785</v>
      </c>
      <c r="H783" s="240" t="str">
        <f ca="1">IFERROR(__xludf.DUMMYFUNCTION("""COMPUTED_VALUE"""),"E.F. PARCIAL")</f>
        <v>E.F. PARCIAL</v>
      </c>
      <c r="I783" s="242">
        <f ca="1">IFERROR(__xludf.DUMMYFUNCTION("""COMPUTED_VALUE"""),5586)</f>
        <v>5586</v>
      </c>
    </row>
    <row r="784" spans="1:9" ht="21" customHeight="1">
      <c r="A784" s="240" t="str">
        <f ca="1">IFERROR(__xludf.DUMMYFUNCTION("""COMPUTED_VALUE"""),"Porto Nacional")</f>
        <v>Porto Nacional</v>
      </c>
      <c r="B784" s="240" t="str">
        <f ca="1">IFERROR(__xludf.DUMMYFUNCTION("""COMPUTED_VALUE"""),"Ponte Alta do Tocantins")</f>
        <v>Ponte Alta do Tocantins</v>
      </c>
      <c r="C784" s="240" t="str">
        <f ca="1">IFERROR(__xludf.DUMMYFUNCTION("""COMPUTED_VALUE"""),"ASS. A. AO COL. EST. ODOLFO SOARES")</f>
        <v>ASS. A. AO COL. EST. ODOLFO SOARES</v>
      </c>
      <c r="D784" s="241" t="str">
        <f ca="1">IFERROR(__xludf.DUMMYFUNCTION("""COMPUTED_VALUE"""),"01342866000143")</f>
        <v>01342866000143</v>
      </c>
      <c r="E784" s="241" t="str">
        <f ca="1">IFERROR(__xludf.DUMMYFUNCTION("""COMPUTED_VALUE"""),"001")</f>
        <v>001</v>
      </c>
      <c r="F784" s="241" t="str">
        <f ca="1">IFERROR(__xludf.DUMMYFUNCTION("""COMPUTED_VALUE"""),"1117")</f>
        <v>1117</v>
      </c>
      <c r="G784" s="240" t="str">
        <f ca="1">IFERROR(__xludf.DUMMYFUNCTION("""COMPUTED_VALUE"""),"333921")</f>
        <v>333921</v>
      </c>
      <c r="H784" s="240" t="str">
        <f ca="1">IFERROR(__xludf.DUMMYFUNCTION("""COMPUTED_VALUE"""),"E.F. PARCIAL")</f>
        <v>E.F. PARCIAL</v>
      </c>
      <c r="I784" s="242">
        <f ca="1">IFERROR(__xludf.DUMMYFUNCTION("""COMPUTED_VALUE"""),6510)</f>
        <v>6510</v>
      </c>
    </row>
    <row r="785" spans="1:9" ht="21" customHeight="1">
      <c r="A785" s="240" t="str">
        <f ca="1">IFERROR(__xludf.DUMMYFUNCTION("""COMPUTED_VALUE"""),"Porto Nacional")</f>
        <v>Porto Nacional</v>
      </c>
      <c r="B785" s="240" t="str">
        <f ca="1">IFERROR(__xludf.DUMMYFUNCTION("""COMPUTED_VALUE"""),"Ponte Alta do Tocantins")</f>
        <v>Ponte Alta do Tocantins</v>
      </c>
      <c r="C785" s="240" t="str">
        <f ca="1">IFERROR(__xludf.DUMMYFUNCTION("""COMPUTED_VALUE"""),"ASS. A. AO COL. EST. ODOLFO SOARES")</f>
        <v>ASS. A. AO COL. EST. ODOLFO SOARES</v>
      </c>
      <c r="D785" s="241" t="str">
        <f ca="1">IFERROR(__xludf.DUMMYFUNCTION("""COMPUTED_VALUE"""),"01342866000143")</f>
        <v>01342866000143</v>
      </c>
      <c r="E785" s="241" t="str">
        <f ca="1">IFERROR(__xludf.DUMMYFUNCTION("""COMPUTED_VALUE"""),"001")</f>
        <v>001</v>
      </c>
      <c r="F785" s="241" t="str">
        <f ca="1">IFERROR(__xludf.DUMMYFUNCTION("""COMPUTED_VALUE"""),"1117")</f>
        <v>1117</v>
      </c>
      <c r="G785" s="240" t="str">
        <f ca="1">IFERROR(__xludf.DUMMYFUNCTION("""COMPUTED_VALUE"""),"333921")</f>
        <v>333921</v>
      </c>
      <c r="H785" s="240" t="str">
        <f ca="1">IFERROR(__xludf.DUMMYFUNCTION("""COMPUTED_VALUE"""),"AEE")</f>
        <v>AEE</v>
      </c>
      <c r="I785" s="242">
        <f ca="1">IFERROR(__xludf.DUMMYFUNCTION("""COMPUTED_VALUE"""),315)</f>
        <v>315</v>
      </c>
    </row>
    <row r="786" spans="1:9" ht="21" customHeight="1">
      <c r="A786" s="240" t="str">
        <f ca="1">IFERROR(__xludf.DUMMYFUNCTION("""COMPUTED_VALUE"""),"Porto Nacional")</f>
        <v>Porto Nacional</v>
      </c>
      <c r="B786" s="240" t="str">
        <f ca="1">IFERROR(__xludf.DUMMYFUNCTION("""COMPUTED_VALUE"""),"Ponte Alta do Tocantins")</f>
        <v>Ponte Alta do Tocantins</v>
      </c>
      <c r="C786" s="240" t="str">
        <f ca="1">IFERROR(__xludf.DUMMYFUNCTION("""COMPUTED_VALUE"""),"ASS. A. AO COL. EST. ODOLFO SOARES")</f>
        <v>ASS. A. AO COL. EST. ODOLFO SOARES</v>
      </c>
      <c r="D786" s="241" t="str">
        <f ca="1">IFERROR(__xludf.DUMMYFUNCTION("""COMPUTED_VALUE"""),"01342866000143")</f>
        <v>01342866000143</v>
      </c>
      <c r="E786" s="241" t="str">
        <f ca="1">IFERROR(__xludf.DUMMYFUNCTION("""COMPUTED_VALUE"""),"001")</f>
        <v>001</v>
      </c>
      <c r="F786" s="241" t="str">
        <f ca="1">IFERROR(__xludf.DUMMYFUNCTION("""COMPUTED_VALUE"""),"1117")</f>
        <v>1117</v>
      </c>
      <c r="G786" s="240" t="str">
        <f ca="1">IFERROR(__xludf.DUMMYFUNCTION("""COMPUTED_VALUE"""),"333921")</f>
        <v>333921</v>
      </c>
      <c r="H786" s="240" t="str">
        <f ca="1">IFERROR(__xludf.DUMMYFUNCTION("""COMPUTED_VALUE"""),"ENS MEDIO PARCIAL")</f>
        <v>ENS MEDIO PARCIAL</v>
      </c>
      <c r="I786" s="242">
        <f ca="1">IFERROR(__xludf.DUMMYFUNCTION("""COMPUTED_VALUE"""),7035)</f>
        <v>7035</v>
      </c>
    </row>
    <row r="787" spans="1:9" ht="21" customHeight="1">
      <c r="A787" s="240" t="str">
        <f ca="1">IFERROR(__xludf.DUMMYFUNCTION("""COMPUTED_VALUE"""),"Porto Nacional")</f>
        <v>Porto Nacional</v>
      </c>
      <c r="B787" s="240" t="str">
        <f ca="1">IFERROR(__xludf.DUMMYFUNCTION("""COMPUTED_VALUE"""),"Ponte Alta do Tocantins")</f>
        <v>Ponte Alta do Tocantins</v>
      </c>
      <c r="C787" s="240" t="str">
        <f ca="1">IFERROR(__xludf.DUMMYFUNCTION("""COMPUTED_VALUE"""),"ASS. DE APOIO A ESCOLA EST. ESPECIAL AMILSON FRAZÃO DOS REIS")</f>
        <v>ASS. DE APOIO A ESCOLA EST. ESPECIAL AMILSON FRAZÃO DOS REIS</v>
      </c>
      <c r="D787" s="241" t="str">
        <f ca="1">IFERROR(__xludf.DUMMYFUNCTION("""COMPUTED_VALUE"""),"20309905000155")</f>
        <v>20309905000155</v>
      </c>
      <c r="E787" s="241" t="str">
        <f ca="1">IFERROR(__xludf.DUMMYFUNCTION("""COMPUTED_VALUE"""),"001")</f>
        <v>001</v>
      </c>
      <c r="F787" s="241" t="str">
        <f ca="1">IFERROR(__xludf.DUMMYFUNCTION("""COMPUTED_VALUE"""),"1117")</f>
        <v>1117</v>
      </c>
      <c r="G787" s="240" t="str">
        <f ca="1">IFERROR(__xludf.DUMMYFUNCTION("""COMPUTED_VALUE"""),"567426")</f>
        <v>567426</v>
      </c>
      <c r="H787" s="240" t="str">
        <f ca="1">IFERROR(__xludf.DUMMYFUNCTION("""COMPUTED_VALUE"""),"E.F. PARCIAL")</f>
        <v>E.F. PARCIAL</v>
      </c>
      <c r="I787" s="242">
        <f ca="1">IFERROR(__xludf.DUMMYFUNCTION("""COMPUTED_VALUE"""),168)</f>
        <v>168</v>
      </c>
    </row>
    <row r="788" spans="1:9" ht="21" customHeight="1">
      <c r="A788" s="240" t="str">
        <f ca="1">IFERROR(__xludf.DUMMYFUNCTION("""COMPUTED_VALUE"""),"Porto Nacional")</f>
        <v>Porto Nacional</v>
      </c>
      <c r="B788" s="240" t="str">
        <f ca="1">IFERROR(__xludf.DUMMYFUNCTION("""COMPUTED_VALUE"""),"Ponte Alta do Tocantins")</f>
        <v>Ponte Alta do Tocantins</v>
      </c>
      <c r="C788" s="240" t="str">
        <f ca="1">IFERROR(__xludf.DUMMYFUNCTION("""COMPUTED_VALUE"""),"ASS. DE APOIO A ESCOLA EST. ESPECIAL AMILSON FRAZÃO DOS REIS")</f>
        <v>ASS. DE APOIO A ESCOLA EST. ESPECIAL AMILSON FRAZÃO DOS REIS</v>
      </c>
      <c r="D788" s="241" t="str">
        <f ca="1">IFERROR(__xludf.DUMMYFUNCTION("""COMPUTED_VALUE"""),"20309905000155")</f>
        <v>20309905000155</v>
      </c>
      <c r="E788" s="241" t="str">
        <f ca="1">IFERROR(__xludf.DUMMYFUNCTION("""COMPUTED_VALUE"""),"001")</f>
        <v>001</v>
      </c>
      <c r="F788" s="241" t="str">
        <f ca="1">IFERROR(__xludf.DUMMYFUNCTION("""COMPUTED_VALUE"""),"1117")</f>
        <v>1117</v>
      </c>
      <c r="G788" s="240" t="str">
        <f ca="1">IFERROR(__xludf.DUMMYFUNCTION("""COMPUTED_VALUE"""),"567426")</f>
        <v>567426</v>
      </c>
      <c r="H788" s="240" t="str">
        <f ca="1">IFERROR(__xludf.DUMMYFUNCTION("""COMPUTED_VALUE"""),"AEE")</f>
        <v>AEE</v>
      </c>
      <c r="I788" s="242">
        <f ca="1">IFERROR(__xludf.DUMMYFUNCTION("""COMPUTED_VALUE"""),840)</f>
        <v>840</v>
      </c>
    </row>
    <row r="789" spans="1:9" ht="21" customHeight="1">
      <c r="A789" s="240" t="str">
        <f ca="1">IFERROR(__xludf.DUMMYFUNCTION("""COMPUTED_VALUE"""),"Porto Nacional")</f>
        <v>Porto Nacional</v>
      </c>
      <c r="B789" s="240" t="str">
        <f ca="1">IFERROR(__xludf.DUMMYFUNCTION("""COMPUTED_VALUE"""),"Ponte Alta do Tocantins")</f>
        <v>Ponte Alta do Tocantins</v>
      </c>
      <c r="C789" s="240" t="str">
        <f ca="1">IFERROR(__xludf.DUMMYFUNCTION("""COMPUTED_VALUE"""),"ASS. DE APOIO A ESCOLA EST. ESPECIAL AMILSON FRAZÃO DOS REIS")</f>
        <v>ASS. DE APOIO A ESCOLA EST. ESPECIAL AMILSON FRAZÃO DOS REIS</v>
      </c>
      <c r="D789" s="241" t="str">
        <f ca="1">IFERROR(__xludf.DUMMYFUNCTION("""COMPUTED_VALUE"""),"20309905000155")</f>
        <v>20309905000155</v>
      </c>
      <c r="E789" s="241" t="str">
        <f ca="1">IFERROR(__xludf.DUMMYFUNCTION("""COMPUTED_VALUE"""),"001")</f>
        <v>001</v>
      </c>
      <c r="F789" s="241" t="str">
        <f ca="1">IFERROR(__xludf.DUMMYFUNCTION("""COMPUTED_VALUE"""),"1117")</f>
        <v>1117</v>
      </c>
      <c r="G789" s="240" t="str">
        <f ca="1">IFERROR(__xludf.DUMMYFUNCTION("""COMPUTED_VALUE"""),"567426")</f>
        <v>567426</v>
      </c>
      <c r="H789" s="240" t="str">
        <f ca="1">IFERROR(__xludf.DUMMYFUNCTION("""COMPUTED_VALUE"""),"EJA")</f>
        <v>EJA</v>
      </c>
      <c r="I789" s="242">
        <f ca="1">IFERROR(__xludf.DUMMYFUNCTION("""COMPUTED_VALUE"""),924)</f>
        <v>924</v>
      </c>
    </row>
    <row r="790" spans="1:9" ht="21" customHeight="1">
      <c r="A790" s="240" t="str">
        <f ca="1">IFERROR(__xludf.DUMMYFUNCTION("""COMPUTED_VALUE"""),"Porto Nacional")</f>
        <v>Porto Nacional</v>
      </c>
      <c r="B790" s="240" t="str">
        <f ca="1">IFERROR(__xludf.DUMMYFUNCTION("""COMPUTED_VALUE"""),"Porto Nacional")</f>
        <v>Porto Nacional</v>
      </c>
      <c r="C790" s="240" t="str">
        <f ca="1">IFERROR(__xludf.DUMMYFUNCTION("""COMPUTED_VALUE"""),"A. ESC. COM./ESC. EST. D.DOMINGOS CARREROT")</f>
        <v>A. ESC. COM./ESC. EST. D.DOMINGOS CARREROT</v>
      </c>
      <c r="D790" s="241" t="str">
        <f ca="1">IFERROR(__xludf.DUMMYFUNCTION("""COMPUTED_VALUE"""),"00900197000115")</f>
        <v>00900197000115</v>
      </c>
      <c r="E790" s="241" t="str">
        <f ca="1">IFERROR(__xludf.DUMMYFUNCTION("""COMPUTED_VALUE"""),"104")</f>
        <v>104</v>
      </c>
      <c r="F790" s="241" t="str">
        <f ca="1">IFERROR(__xludf.DUMMYFUNCTION("""COMPUTED_VALUE"""),"1829")</f>
        <v>1829</v>
      </c>
      <c r="G790" s="240" t="str">
        <f ca="1">IFERROR(__xludf.DUMMYFUNCTION("""COMPUTED_VALUE"""),"305914")</f>
        <v>305914</v>
      </c>
      <c r="H790" s="240" t="str">
        <f ca="1">IFERROR(__xludf.DUMMYFUNCTION("""COMPUTED_VALUE"""),"E.F. PARCIAL")</f>
        <v>E.F. PARCIAL</v>
      </c>
      <c r="I790" s="242">
        <f ca="1">IFERROR(__xludf.DUMMYFUNCTION("""COMPUTED_VALUE"""),7455)</f>
        <v>7455</v>
      </c>
    </row>
    <row r="791" spans="1:9" ht="21" customHeight="1">
      <c r="A791" s="240" t="str">
        <f ca="1">IFERROR(__xludf.DUMMYFUNCTION("""COMPUTED_VALUE"""),"Porto Nacional")</f>
        <v>Porto Nacional</v>
      </c>
      <c r="B791" s="240" t="str">
        <f ca="1">IFERROR(__xludf.DUMMYFUNCTION("""COMPUTED_VALUE"""),"Porto Nacional")</f>
        <v>Porto Nacional</v>
      </c>
      <c r="C791" s="240" t="str">
        <f ca="1">IFERROR(__xludf.DUMMYFUNCTION("""COMPUTED_VALUE"""),"A. ESC. COM./ESC. EST. D.DOMINGOS CARREROT")</f>
        <v>A. ESC. COM./ESC. EST. D.DOMINGOS CARREROT</v>
      </c>
      <c r="D791" s="241" t="str">
        <f ca="1">IFERROR(__xludf.DUMMYFUNCTION("""COMPUTED_VALUE"""),"00900197000115")</f>
        <v>00900197000115</v>
      </c>
      <c r="E791" s="241" t="str">
        <f ca="1">IFERROR(__xludf.DUMMYFUNCTION("""COMPUTED_VALUE"""),"104")</f>
        <v>104</v>
      </c>
      <c r="F791" s="241" t="str">
        <f ca="1">IFERROR(__xludf.DUMMYFUNCTION("""COMPUTED_VALUE"""),"1829")</f>
        <v>1829</v>
      </c>
      <c r="G791" s="240" t="str">
        <f ca="1">IFERROR(__xludf.DUMMYFUNCTION("""COMPUTED_VALUE"""),"305914")</f>
        <v>305914</v>
      </c>
      <c r="H791" s="240" t="str">
        <f ca="1">IFERROR(__xludf.DUMMYFUNCTION("""COMPUTED_VALUE"""),"AEE")</f>
        <v>AEE</v>
      </c>
      <c r="I791" s="242">
        <f ca="1">IFERROR(__xludf.DUMMYFUNCTION("""COMPUTED_VALUE"""),273)</f>
        <v>273</v>
      </c>
    </row>
    <row r="792" spans="1:9" ht="21" customHeight="1">
      <c r="A792" s="240" t="str">
        <f ca="1">IFERROR(__xludf.DUMMYFUNCTION("""COMPUTED_VALUE"""),"Porto Nacional")</f>
        <v>Porto Nacional</v>
      </c>
      <c r="B792" s="240" t="str">
        <f ca="1">IFERROR(__xludf.DUMMYFUNCTION("""COMPUTED_VALUE"""),"Porto Nacional")</f>
        <v>Porto Nacional</v>
      </c>
      <c r="C792" s="240" t="str">
        <f ca="1">IFERROR(__xludf.DUMMYFUNCTION("""COMPUTED_VALUE"""),"A. E. COM. ESC. CONV. ANGELICA R. ARANHA")</f>
        <v>A. E. COM. ESC. CONV. ANGELICA R. ARANHA</v>
      </c>
      <c r="D792" s="241" t="str">
        <f ca="1">IFERROR(__xludf.DUMMYFUNCTION("""COMPUTED_VALUE"""),"01075455000139")</f>
        <v>01075455000139</v>
      </c>
      <c r="E792" s="241" t="str">
        <f ca="1">IFERROR(__xludf.DUMMYFUNCTION("""COMPUTED_VALUE"""),"104")</f>
        <v>104</v>
      </c>
      <c r="F792" s="241" t="str">
        <f ca="1">IFERROR(__xludf.DUMMYFUNCTION("""COMPUTED_VALUE"""),"1829")</f>
        <v>1829</v>
      </c>
      <c r="G792" s="240" t="str">
        <f ca="1">IFERROR(__xludf.DUMMYFUNCTION("""COMPUTED_VALUE"""),"307313")</f>
        <v>307313</v>
      </c>
      <c r="H792" s="240" t="str">
        <f ca="1">IFERROR(__xludf.DUMMYFUNCTION("""COMPUTED_VALUE"""),"E.F. PARCIAL")</f>
        <v>E.F. PARCIAL</v>
      </c>
      <c r="I792" s="242">
        <f ca="1">IFERROR(__xludf.DUMMYFUNCTION("""COMPUTED_VALUE"""),3003)</f>
        <v>3003</v>
      </c>
    </row>
    <row r="793" spans="1:9" ht="21" customHeight="1">
      <c r="A793" s="240" t="str">
        <f ca="1">IFERROR(__xludf.DUMMYFUNCTION("""COMPUTED_VALUE"""),"Porto Nacional")</f>
        <v>Porto Nacional</v>
      </c>
      <c r="B793" s="240" t="str">
        <f ca="1">IFERROR(__xludf.DUMMYFUNCTION("""COMPUTED_VALUE"""),"Porto Nacional")</f>
        <v>Porto Nacional</v>
      </c>
      <c r="C793" s="240" t="str">
        <f ca="1">IFERROR(__xludf.DUMMYFUNCTION("""COMPUTED_VALUE"""),"A. E. COM. ESC. CONV. ANGELICA R. ARANHA")</f>
        <v>A. E. COM. ESC. CONV. ANGELICA R. ARANHA</v>
      </c>
      <c r="D793" s="241" t="str">
        <f ca="1">IFERROR(__xludf.DUMMYFUNCTION("""COMPUTED_VALUE"""),"01075455000139")</f>
        <v>01075455000139</v>
      </c>
      <c r="E793" s="241" t="str">
        <f ca="1">IFERROR(__xludf.DUMMYFUNCTION("""COMPUTED_VALUE"""),"104")</f>
        <v>104</v>
      </c>
      <c r="F793" s="241" t="str">
        <f ca="1">IFERROR(__xludf.DUMMYFUNCTION("""COMPUTED_VALUE"""),"1829")</f>
        <v>1829</v>
      </c>
      <c r="G793" s="240" t="str">
        <f ca="1">IFERROR(__xludf.DUMMYFUNCTION("""COMPUTED_VALUE"""),"307313")</f>
        <v>307313</v>
      </c>
      <c r="H793" s="240" t="str">
        <f ca="1">IFERROR(__xludf.DUMMYFUNCTION("""COMPUTED_VALUE"""),"AEE")</f>
        <v>AEE</v>
      </c>
      <c r="I793" s="242">
        <f ca="1">IFERROR(__xludf.DUMMYFUNCTION("""COMPUTED_VALUE"""),273)</f>
        <v>273</v>
      </c>
    </row>
    <row r="794" spans="1:9" ht="21" customHeight="1">
      <c r="A794" s="240" t="str">
        <f ca="1">IFERROR(__xludf.DUMMYFUNCTION("""COMPUTED_VALUE"""),"Porto Nacional")</f>
        <v>Porto Nacional</v>
      </c>
      <c r="B794" s="240" t="str">
        <f ca="1">IFERROR(__xludf.DUMMYFUNCTION("""COMPUTED_VALUE"""),"Porto Nacional")</f>
        <v>Porto Nacional</v>
      </c>
      <c r="C794" s="240" t="str">
        <f ca="1">IFERROR(__xludf.DUMMYFUNCTION("""COMPUTED_VALUE"""),"A. E. COM. ESC. CONV. ANGELICA R. ARANHA")</f>
        <v>A. E. COM. ESC. CONV. ANGELICA R. ARANHA</v>
      </c>
      <c r="D794" s="241" t="str">
        <f ca="1">IFERROR(__xludf.DUMMYFUNCTION("""COMPUTED_VALUE"""),"01075455000139")</f>
        <v>01075455000139</v>
      </c>
      <c r="E794" s="241" t="str">
        <f ca="1">IFERROR(__xludf.DUMMYFUNCTION("""COMPUTED_VALUE"""),"104")</f>
        <v>104</v>
      </c>
      <c r="F794" s="241" t="str">
        <f ca="1">IFERROR(__xludf.DUMMYFUNCTION("""COMPUTED_VALUE"""),"1829")</f>
        <v>1829</v>
      </c>
      <c r="G794" s="240" t="str">
        <f ca="1">IFERROR(__xludf.DUMMYFUNCTION("""COMPUTED_VALUE"""),"307313")</f>
        <v>307313</v>
      </c>
      <c r="H794" s="240" t="str">
        <f ca="1">IFERROR(__xludf.DUMMYFUNCTION("""COMPUTED_VALUE"""),"ENS MEDIO PARCIAL")</f>
        <v>ENS MEDIO PARCIAL</v>
      </c>
      <c r="I794" s="242">
        <f ca="1">IFERROR(__xludf.DUMMYFUNCTION("""COMPUTED_VALUE"""),1491)</f>
        <v>1491</v>
      </c>
    </row>
    <row r="795" spans="1:9" ht="21" customHeight="1">
      <c r="A795" s="240" t="str">
        <f ca="1">IFERROR(__xludf.DUMMYFUNCTION("""COMPUTED_VALUE"""),"Porto Nacional")</f>
        <v>Porto Nacional</v>
      </c>
      <c r="B795" s="240" t="str">
        <f ca="1">IFERROR(__xludf.DUMMYFUNCTION("""COMPUTED_VALUE"""),"Porto Nacional")</f>
        <v>Porto Nacional</v>
      </c>
      <c r="C795" s="240" t="str">
        <f ca="1">IFERROR(__xludf.DUMMYFUNCTION("""COMPUTED_VALUE"""),"A. ESCOLAR COMUN. DA ESC. CONV. BRASIL")</f>
        <v>A. ESCOLAR COMUN. DA ESC. CONV. BRASIL</v>
      </c>
      <c r="D795" s="241" t="str">
        <f ca="1">IFERROR(__xludf.DUMMYFUNCTION("""COMPUTED_VALUE"""),"01112471000154")</f>
        <v>01112471000154</v>
      </c>
      <c r="E795" s="241" t="str">
        <f ca="1">IFERROR(__xludf.DUMMYFUNCTION("""COMPUTED_VALUE"""),"104")</f>
        <v>104</v>
      </c>
      <c r="F795" s="241" t="str">
        <f ca="1">IFERROR(__xludf.DUMMYFUNCTION("""COMPUTED_VALUE"""),"1829")</f>
        <v>1829</v>
      </c>
      <c r="G795" s="240" t="str">
        <f ca="1">IFERROR(__xludf.DUMMYFUNCTION("""COMPUTED_VALUE"""),"307402")</f>
        <v>307402</v>
      </c>
      <c r="H795" s="240" t="str">
        <f ca="1">IFERROR(__xludf.DUMMYFUNCTION("""COMPUTED_VALUE"""),"E.F. PARCIAL")</f>
        <v>E.F. PARCIAL</v>
      </c>
      <c r="I795" s="242">
        <f ca="1">IFERROR(__xludf.DUMMYFUNCTION("""COMPUTED_VALUE"""),1827)</f>
        <v>1827</v>
      </c>
    </row>
    <row r="796" spans="1:9" ht="21" customHeight="1">
      <c r="A796" s="240" t="str">
        <f ca="1">IFERROR(__xludf.DUMMYFUNCTION("""COMPUTED_VALUE"""),"Porto Nacional")</f>
        <v>Porto Nacional</v>
      </c>
      <c r="B796" s="240" t="str">
        <f ca="1">IFERROR(__xludf.DUMMYFUNCTION("""COMPUTED_VALUE"""),"Porto Nacional")</f>
        <v>Porto Nacional</v>
      </c>
      <c r="C796" s="240" t="str">
        <f ca="1">IFERROR(__xludf.DUMMYFUNCTION("""COMPUTED_VALUE"""),"A. ESCOLAR COMUN. DA ESC. CONV. BRASIL")</f>
        <v>A. ESCOLAR COMUN. DA ESC. CONV. BRASIL</v>
      </c>
      <c r="D796" s="241" t="str">
        <f ca="1">IFERROR(__xludf.DUMMYFUNCTION("""COMPUTED_VALUE"""),"01112471000154")</f>
        <v>01112471000154</v>
      </c>
      <c r="E796" s="241" t="str">
        <f ca="1">IFERROR(__xludf.DUMMYFUNCTION("""COMPUTED_VALUE"""),"104")</f>
        <v>104</v>
      </c>
      <c r="F796" s="241" t="str">
        <f ca="1">IFERROR(__xludf.DUMMYFUNCTION("""COMPUTED_VALUE"""),"1829")</f>
        <v>1829</v>
      </c>
      <c r="G796" s="240" t="str">
        <f ca="1">IFERROR(__xludf.DUMMYFUNCTION("""COMPUTED_VALUE"""),"307402")</f>
        <v>307402</v>
      </c>
      <c r="H796" s="240" t="str">
        <f ca="1">IFERROR(__xludf.DUMMYFUNCTION("""COMPUTED_VALUE"""),"ENS MEDIO PARCIAL")</f>
        <v>ENS MEDIO PARCIAL</v>
      </c>
      <c r="I796" s="242">
        <f ca="1">IFERROR(__xludf.DUMMYFUNCTION("""COMPUTED_VALUE"""),1113)</f>
        <v>1113</v>
      </c>
    </row>
    <row r="797" spans="1:9" ht="21" customHeight="1">
      <c r="A797" s="240" t="str">
        <f ca="1">IFERROR(__xludf.DUMMYFUNCTION("""COMPUTED_VALUE"""),"Porto Nacional")</f>
        <v>Porto Nacional</v>
      </c>
      <c r="B797" s="240" t="str">
        <f ca="1">IFERROR(__xludf.DUMMYFUNCTION("""COMPUTED_VALUE"""),"Porto Nacional")</f>
        <v>Porto Nacional</v>
      </c>
      <c r="C797" s="240" t="str">
        <f ca="1">IFERROR(__xludf.DUMMYFUNCTION("""COMPUTED_VALUE"""),"ASSOC. DE APOIO AO CEM FELIX CAMOA I")</f>
        <v>ASSOC. DE APOIO AO CEM FELIX CAMOA I</v>
      </c>
      <c r="D797" s="241" t="str">
        <f ca="1">IFERROR(__xludf.DUMMYFUNCTION("""COMPUTED_VALUE"""),"01112476000187")</f>
        <v>01112476000187</v>
      </c>
      <c r="E797" s="241" t="str">
        <f ca="1">IFERROR(__xludf.DUMMYFUNCTION("""COMPUTED_VALUE"""),"104")</f>
        <v>104</v>
      </c>
      <c r="F797" s="241" t="str">
        <f ca="1">IFERROR(__xludf.DUMMYFUNCTION("""COMPUTED_VALUE"""),"1829")</f>
        <v>1829</v>
      </c>
      <c r="G797" s="240" t="str">
        <f ca="1">IFERROR(__xludf.DUMMYFUNCTION("""COMPUTED_VALUE"""),"3050011")</f>
        <v>3050011</v>
      </c>
      <c r="H797" s="240" t="str">
        <f ca="1">IFERROR(__xludf.DUMMYFUNCTION("""COMPUTED_VALUE"""),"AEE")</f>
        <v>AEE</v>
      </c>
      <c r="I797" s="242">
        <f ca="1">IFERROR(__xludf.DUMMYFUNCTION("""COMPUTED_VALUE"""),126)</f>
        <v>126</v>
      </c>
    </row>
    <row r="798" spans="1:9" ht="21" customHeight="1">
      <c r="A798" s="240" t="str">
        <f ca="1">IFERROR(__xludf.DUMMYFUNCTION("""COMPUTED_VALUE"""),"Porto Nacional")</f>
        <v>Porto Nacional</v>
      </c>
      <c r="B798" s="240" t="str">
        <f ca="1">IFERROR(__xludf.DUMMYFUNCTION("""COMPUTED_VALUE"""),"Porto Nacional")</f>
        <v>Porto Nacional</v>
      </c>
      <c r="C798" s="240" t="str">
        <f ca="1">IFERROR(__xludf.DUMMYFUNCTION("""COMPUTED_VALUE"""),"A. ESCOL.COM. ESC. EST. MAL.ARTUR C.E SILVA")</f>
        <v>A. ESCOL.COM. ESC. EST. MAL.ARTUR C.E SILVA</v>
      </c>
      <c r="D798" s="241" t="str">
        <f ca="1">IFERROR(__xludf.DUMMYFUNCTION("""COMPUTED_VALUE"""),"01112763000197")</f>
        <v>01112763000197</v>
      </c>
      <c r="E798" s="241" t="str">
        <f ca="1">IFERROR(__xludf.DUMMYFUNCTION("""COMPUTED_VALUE"""),"104")</f>
        <v>104</v>
      </c>
      <c r="F798" s="241" t="str">
        <f ca="1">IFERROR(__xludf.DUMMYFUNCTION("""COMPUTED_VALUE"""),"1829")</f>
        <v>1829</v>
      </c>
      <c r="G798" s="240" t="str">
        <f ca="1">IFERROR(__xludf.DUMMYFUNCTION("""COMPUTED_VALUE"""),"307364")</f>
        <v>307364</v>
      </c>
      <c r="H798" s="240" t="str">
        <f ca="1">IFERROR(__xludf.DUMMYFUNCTION("""COMPUTED_VALUE"""),"E.F. PARCIAL")</f>
        <v>E.F. PARCIAL</v>
      </c>
      <c r="I798" s="242">
        <f ca="1">IFERROR(__xludf.DUMMYFUNCTION("""COMPUTED_VALUE"""),4746)</f>
        <v>4746</v>
      </c>
    </row>
    <row r="799" spans="1:9" ht="21" customHeight="1">
      <c r="A799" s="240" t="str">
        <f ca="1">IFERROR(__xludf.DUMMYFUNCTION("""COMPUTED_VALUE"""),"Porto Nacional")</f>
        <v>Porto Nacional</v>
      </c>
      <c r="B799" s="240" t="str">
        <f ca="1">IFERROR(__xludf.DUMMYFUNCTION("""COMPUTED_VALUE"""),"Porto Nacional")</f>
        <v>Porto Nacional</v>
      </c>
      <c r="C799" s="240" t="str">
        <f ca="1">IFERROR(__xludf.DUMMYFUNCTION("""COMPUTED_VALUE"""),"A. ESCOL.COM. ESC. EST. MAL.ARTUR C.E SILVA")</f>
        <v>A. ESCOL.COM. ESC. EST. MAL.ARTUR C.E SILVA</v>
      </c>
      <c r="D799" s="241" t="str">
        <f ca="1">IFERROR(__xludf.DUMMYFUNCTION("""COMPUTED_VALUE"""),"01112763000197")</f>
        <v>01112763000197</v>
      </c>
      <c r="E799" s="241" t="str">
        <f ca="1">IFERROR(__xludf.DUMMYFUNCTION("""COMPUTED_VALUE"""),"104")</f>
        <v>104</v>
      </c>
      <c r="F799" s="241" t="str">
        <f ca="1">IFERROR(__xludf.DUMMYFUNCTION("""COMPUTED_VALUE"""),"1829")</f>
        <v>1829</v>
      </c>
      <c r="G799" s="240" t="str">
        <f ca="1">IFERROR(__xludf.DUMMYFUNCTION("""COMPUTED_VALUE"""),"307364")</f>
        <v>307364</v>
      </c>
      <c r="H799" s="240" t="str">
        <f ca="1">IFERROR(__xludf.DUMMYFUNCTION("""COMPUTED_VALUE"""),"AEE")</f>
        <v>AEE</v>
      </c>
      <c r="I799" s="242">
        <f ca="1">IFERROR(__xludf.DUMMYFUNCTION("""COMPUTED_VALUE"""),105)</f>
        <v>105</v>
      </c>
    </row>
    <row r="800" spans="1:9" ht="21" customHeight="1">
      <c r="A800" s="240" t="str">
        <f ca="1">IFERROR(__xludf.DUMMYFUNCTION("""COMPUTED_VALUE"""),"Porto Nacional")</f>
        <v>Porto Nacional</v>
      </c>
      <c r="B800" s="240" t="str">
        <f ca="1">IFERROR(__xludf.DUMMYFUNCTION("""COMPUTED_VALUE"""),"Porto Nacional")</f>
        <v>Porto Nacional</v>
      </c>
      <c r="C800" s="240" t="str">
        <f ca="1">IFERROR(__xludf.DUMMYFUNCTION("""COMPUTED_VALUE"""),"A. ESCOL.COM. ESC. EST. MAL.ARTUR C.E SILVA")</f>
        <v>A. ESCOL.COM. ESC. EST. MAL.ARTUR C.E SILVA</v>
      </c>
      <c r="D800" s="241" t="str">
        <f ca="1">IFERROR(__xludf.DUMMYFUNCTION("""COMPUTED_VALUE"""),"01112763000197")</f>
        <v>01112763000197</v>
      </c>
      <c r="E800" s="241" t="str">
        <f ca="1">IFERROR(__xludf.DUMMYFUNCTION("""COMPUTED_VALUE"""),"104")</f>
        <v>104</v>
      </c>
      <c r="F800" s="241" t="str">
        <f ca="1">IFERROR(__xludf.DUMMYFUNCTION("""COMPUTED_VALUE"""),"1829")</f>
        <v>1829</v>
      </c>
      <c r="G800" s="240" t="str">
        <f ca="1">IFERROR(__xludf.DUMMYFUNCTION("""COMPUTED_VALUE"""),"307364")</f>
        <v>307364</v>
      </c>
      <c r="H800" s="240" t="str">
        <f ca="1">IFERROR(__xludf.DUMMYFUNCTION("""COMPUTED_VALUE"""),"ENS MEDIO PARCIAL")</f>
        <v>ENS MEDIO PARCIAL</v>
      </c>
      <c r="I800" s="242">
        <f ca="1">IFERROR(__xludf.DUMMYFUNCTION("""COMPUTED_VALUE"""),2919)</f>
        <v>2919</v>
      </c>
    </row>
    <row r="801" spans="1:9" ht="21" customHeight="1">
      <c r="A801" s="240" t="str">
        <f ca="1">IFERROR(__xludf.DUMMYFUNCTION("""COMPUTED_VALUE"""),"Porto Nacional")</f>
        <v>Porto Nacional</v>
      </c>
      <c r="B801" s="240" t="str">
        <f ca="1">IFERROR(__xludf.DUMMYFUNCTION("""COMPUTED_VALUE"""),"Porto Nacional")</f>
        <v>Porto Nacional</v>
      </c>
      <c r="C801" s="240" t="str">
        <f ca="1">IFERROR(__xludf.DUMMYFUNCTION("""COMPUTED_VALUE"""),"A. ESCOL.COM. ESC. EST. MAL.ARTUR C.E SILVA")</f>
        <v>A. ESCOL.COM. ESC. EST. MAL.ARTUR C.E SILVA</v>
      </c>
      <c r="D801" s="241" t="str">
        <f ca="1">IFERROR(__xludf.DUMMYFUNCTION("""COMPUTED_VALUE"""),"01112763000197")</f>
        <v>01112763000197</v>
      </c>
      <c r="E801" s="241" t="str">
        <f ca="1">IFERROR(__xludf.DUMMYFUNCTION("""COMPUTED_VALUE"""),"104")</f>
        <v>104</v>
      </c>
      <c r="F801" s="241" t="str">
        <f ca="1">IFERROR(__xludf.DUMMYFUNCTION("""COMPUTED_VALUE"""),"1829")</f>
        <v>1829</v>
      </c>
      <c r="G801" s="240" t="str">
        <f ca="1">IFERROR(__xludf.DUMMYFUNCTION("""COMPUTED_VALUE"""),"307364")</f>
        <v>307364</v>
      </c>
      <c r="H801" s="240" t="str">
        <f ca="1">IFERROR(__xludf.DUMMYFUNCTION("""COMPUTED_VALUE"""),"EJA")</f>
        <v>EJA</v>
      </c>
      <c r="I801" s="242">
        <f ca="1">IFERROR(__xludf.DUMMYFUNCTION("""COMPUTED_VALUE"""),2058)</f>
        <v>2058</v>
      </c>
    </row>
    <row r="802" spans="1:9" ht="21" customHeight="1">
      <c r="A802" s="240" t="str">
        <f ca="1">IFERROR(__xludf.DUMMYFUNCTION("""COMPUTED_VALUE"""),"Porto Nacional")</f>
        <v>Porto Nacional</v>
      </c>
      <c r="B802" s="240" t="str">
        <f ca="1">IFERROR(__xludf.DUMMYFUNCTION("""COMPUTED_VALUE"""),"Porto Nacional")</f>
        <v>Porto Nacional</v>
      </c>
      <c r="C802" s="240" t="str">
        <f ca="1">IFERROR(__xludf.DUMMYFUNCTION("""COMPUTED_VALUE"""),"A.A. E. E. PROFA. CARMENIA MATOS MAIA")</f>
        <v>A.A. E. E. PROFA. CARMENIA MATOS MAIA</v>
      </c>
      <c r="D802" s="241" t="str">
        <f ca="1">IFERROR(__xludf.DUMMYFUNCTION("""COMPUTED_VALUE"""),"01118897000115")</f>
        <v>01118897000115</v>
      </c>
      <c r="E802" s="241" t="str">
        <f ca="1">IFERROR(__xludf.DUMMYFUNCTION("""COMPUTED_VALUE"""),"104")</f>
        <v>104</v>
      </c>
      <c r="F802" s="241" t="str">
        <f ca="1">IFERROR(__xludf.DUMMYFUNCTION("""COMPUTED_VALUE"""),"1829")</f>
        <v>1829</v>
      </c>
      <c r="G802" s="240" t="str">
        <f ca="1">IFERROR(__xludf.DUMMYFUNCTION("""COMPUTED_VALUE"""),"307399")</f>
        <v>307399</v>
      </c>
      <c r="H802" s="240" t="str">
        <f ca="1">IFERROR(__xludf.DUMMYFUNCTION("""COMPUTED_VALUE"""),"E.F. PARCIAL")</f>
        <v>E.F. PARCIAL</v>
      </c>
      <c r="I802" s="242">
        <f ca="1">IFERROR(__xludf.DUMMYFUNCTION("""COMPUTED_VALUE"""),5271)</f>
        <v>5271</v>
      </c>
    </row>
    <row r="803" spans="1:9" ht="21" customHeight="1">
      <c r="A803" s="240" t="str">
        <f ca="1">IFERROR(__xludf.DUMMYFUNCTION("""COMPUTED_VALUE"""),"Porto Nacional")</f>
        <v>Porto Nacional</v>
      </c>
      <c r="B803" s="240" t="str">
        <f ca="1">IFERROR(__xludf.DUMMYFUNCTION("""COMPUTED_VALUE"""),"Porto Nacional")</f>
        <v>Porto Nacional</v>
      </c>
      <c r="C803" s="240" t="str">
        <f ca="1">IFERROR(__xludf.DUMMYFUNCTION("""COMPUTED_VALUE"""),"A.A. E. E. PROFA. CARMENIA MATOS MAIA")</f>
        <v>A.A. E. E. PROFA. CARMENIA MATOS MAIA</v>
      </c>
      <c r="D803" s="241" t="str">
        <f ca="1">IFERROR(__xludf.DUMMYFUNCTION("""COMPUTED_VALUE"""),"01118897000115")</f>
        <v>01118897000115</v>
      </c>
      <c r="E803" s="241" t="str">
        <f ca="1">IFERROR(__xludf.DUMMYFUNCTION("""COMPUTED_VALUE"""),"104")</f>
        <v>104</v>
      </c>
      <c r="F803" s="241" t="str">
        <f ca="1">IFERROR(__xludf.DUMMYFUNCTION("""COMPUTED_VALUE"""),"1829")</f>
        <v>1829</v>
      </c>
      <c r="G803" s="240" t="str">
        <f ca="1">IFERROR(__xludf.DUMMYFUNCTION("""COMPUTED_VALUE"""),"307399")</f>
        <v>307399</v>
      </c>
      <c r="H803" s="240" t="str">
        <f ca="1">IFERROR(__xludf.DUMMYFUNCTION("""COMPUTED_VALUE"""),"AEE")</f>
        <v>AEE</v>
      </c>
      <c r="I803" s="242">
        <f ca="1">IFERROR(__xludf.DUMMYFUNCTION("""COMPUTED_VALUE"""),357)</f>
        <v>357</v>
      </c>
    </row>
    <row r="804" spans="1:9" ht="21" customHeight="1">
      <c r="A804" s="240" t="str">
        <f ca="1">IFERROR(__xludf.DUMMYFUNCTION("""COMPUTED_VALUE"""),"Porto Nacional")</f>
        <v>Porto Nacional</v>
      </c>
      <c r="B804" s="240" t="str">
        <f ca="1">IFERROR(__xludf.DUMMYFUNCTION("""COMPUTED_VALUE"""),"Porto Nacional")</f>
        <v>Porto Nacional</v>
      </c>
      <c r="C804" s="240" t="str">
        <f ca="1">IFERROR(__xludf.DUMMYFUNCTION("""COMPUTED_VALUE"""),"A.A. E. E. PROFA. CARMENIA MATOS MAIA")</f>
        <v>A.A. E. E. PROFA. CARMENIA MATOS MAIA</v>
      </c>
      <c r="D804" s="241" t="str">
        <f ca="1">IFERROR(__xludf.DUMMYFUNCTION("""COMPUTED_VALUE"""),"01118897000115")</f>
        <v>01118897000115</v>
      </c>
      <c r="E804" s="241" t="str">
        <f ca="1">IFERROR(__xludf.DUMMYFUNCTION("""COMPUTED_VALUE"""),"104")</f>
        <v>104</v>
      </c>
      <c r="F804" s="241" t="str">
        <f ca="1">IFERROR(__xludf.DUMMYFUNCTION("""COMPUTED_VALUE"""),"1829")</f>
        <v>1829</v>
      </c>
      <c r="G804" s="240" t="str">
        <f ca="1">IFERROR(__xludf.DUMMYFUNCTION("""COMPUTED_VALUE"""),"307399")</f>
        <v>307399</v>
      </c>
      <c r="H804" s="240" t="str">
        <f ca="1">IFERROR(__xludf.DUMMYFUNCTION("""COMPUTED_VALUE"""),"ENS MEDIO PARCIAL")</f>
        <v>ENS MEDIO PARCIAL</v>
      </c>
      <c r="I804" s="242">
        <f ca="1">IFERROR(__xludf.DUMMYFUNCTION("""COMPUTED_VALUE"""),1974)</f>
        <v>1974</v>
      </c>
    </row>
    <row r="805" spans="1:9" ht="21" customHeight="1">
      <c r="A805" s="240" t="str">
        <f ca="1">IFERROR(__xludf.DUMMYFUNCTION("""COMPUTED_VALUE"""),"Porto Nacional")</f>
        <v>Porto Nacional</v>
      </c>
      <c r="B805" s="240" t="str">
        <f ca="1">IFERROR(__xludf.DUMMYFUNCTION("""COMPUTED_VALUE"""),"Porto Nacional")</f>
        <v>Porto Nacional</v>
      </c>
      <c r="C805" s="240" t="str">
        <f ca="1">IFERROR(__xludf.DUMMYFUNCTION("""COMPUTED_VALUE"""),"A.A.  A ESCOLA D. PEDRO II")</f>
        <v>A.A.  A ESCOLA D. PEDRO II</v>
      </c>
      <c r="D805" s="241" t="str">
        <f ca="1">IFERROR(__xludf.DUMMYFUNCTION("""COMPUTED_VALUE"""),"01133697000131")</f>
        <v>01133697000131</v>
      </c>
      <c r="E805" s="241" t="str">
        <f ca="1">IFERROR(__xludf.DUMMYFUNCTION("""COMPUTED_VALUE"""),"001")</f>
        <v>001</v>
      </c>
      <c r="F805" s="241" t="str">
        <f ca="1">IFERROR(__xludf.DUMMYFUNCTION("""COMPUTED_VALUE"""),"1117")</f>
        <v>1117</v>
      </c>
      <c r="G805" s="240" t="str">
        <f ca="1">IFERROR(__xludf.DUMMYFUNCTION("""COMPUTED_VALUE"""),"0313092")</f>
        <v>0313092</v>
      </c>
      <c r="H805" s="240" t="str">
        <f ca="1">IFERROR(__xludf.DUMMYFUNCTION("""COMPUTED_VALUE"""),"AEE")</f>
        <v>AEE</v>
      </c>
      <c r="I805" s="242">
        <f ca="1">IFERROR(__xludf.DUMMYFUNCTION("""COMPUTED_VALUE"""),399)</f>
        <v>399</v>
      </c>
    </row>
    <row r="806" spans="1:9" ht="21" customHeight="1">
      <c r="A806" s="240" t="str">
        <f ca="1">IFERROR(__xludf.DUMMYFUNCTION("""COMPUTED_VALUE"""),"Porto Nacional")</f>
        <v>Porto Nacional</v>
      </c>
      <c r="B806" s="240" t="str">
        <f ca="1">IFERROR(__xludf.DUMMYFUNCTION("""COMPUTED_VALUE"""),"Porto Nacional")</f>
        <v>Porto Nacional</v>
      </c>
      <c r="C806" s="240" t="str">
        <f ca="1">IFERROR(__xludf.DUMMYFUNCTION("""COMPUTED_VALUE"""),"A.A. ESC. EST. DR.PEDRO LUDOVICO TEIXEIRA")</f>
        <v>A.A. ESC. EST. DR.PEDRO LUDOVICO TEIXEIRA</v>
      </c>
      <c r="D806" s="241" t="str">
        <f ca="1">IFERROR(__xludf.DUMMYFUNCTION("""COMPUTED_VALUE"""),"01135997000150")</f>
        <v>01135997000150</v>
      </c>
      <c r="E806" s="241" t="str">
        <f ca="1">IFERROR(__xludf.DUMMYFUNCTION("""COMPUTED_VALUE"""),"104")</f>
        <v>104</v>
      </c>
      <c r="F806" s="241" t="str">
        <f ca="1">IFERROR(__xludf.DUMMYFUNCTION("""COMPUTED_VALUE"""),"1829")</f>
        <v>1829</v>
      </c>
      <c r="G806" s="240" t="str">
        <f ca="1">IFERROR(__xludf.DUMMYFUNCTION("""COMPUTED_VALUE"""),"305949")</f>
        <v>305949</v>
      </c>
      <c r="H806" s="240" t="str">
        <f ca="1">IFERROR(__xludf.DUMMYFUNCTION("""COMPUTED_VALUE"""),"E.F. PARCIAL")</f>
        <v>E.F. PARCIAL</v>
      </c>
      <c r="I806" s="242">
        <f ca="1">IFERROR(__xludf.DUMMYFUNCTION("""COMPUTED_VALUE"""),10374)</f>
        <v>10374</v>
      </c>
    </row>
    <row r="807" spans="1:9" ht="21" customHeight="1">
      <c r="A807" s="240" t="str">
        <f ca="1">IFERROR(__xludf.DUMMYFUNCTION("""COMPUTED_VALUE"""),"Porto Nacional")</f>
        <v>Porto Nacional</v>
      </c>
      <c r="B807" s="240" t="str">
        <f ca="1">IFERROR(__xludf.DUMMYFUNCTION("""COMPUTED_VALUE"""),"Porto Nacional")</f>
        <v>Porto Nacional</v>
      </c>
      <c r="C807" s="240" t="str">
        <f ca="1">IFERROR(__xludf.DUMMYFUNCTION("""COMPUTED_VALUE"""),"A.A. ESC. EST. DR.PEDRO LUDOVICO TEIXEIRA")</f>
        <v>A.A. ESC. EST. DR.PEDRO LUDOVICO TEIXEIRA</v>
      </c>
      <c r="D807" s="241" t="str">
        <f ca="1">IFERROR(__xludf.DUMMYFUNCTION("""COMPUTED_VALUE"""),"01135997000150")</f>
        <v>01135997000150</v>
      </c>
      <c r="E807" s="241" t="str">
        <f ca="1">IFERROR(__xludf.DUMMYFUNCTION("""COMPUTED_VALUE"""),"104")</f>
        <v>104</v>
      </c>
      <c r="F807" s="241" t="str">
        <f ca="1">IFERROR(__xludf.DUMMYFUNCTION("""COMPUTED_VALUE"""),"1829")</f>
        <v>1829</v>
      </c>
      <c r="G807" s="240" t="str">
        <f ca="1">IFERROR(__xludf.DUMMYFUNCTION("""COMPUTED_VALUE"""),"305949")</f>
        <v>305949</v>
      </c>
      <c r="H807" s="240" t="str">
        <f ca="1">IFERROR(__xludf.DUMMYFUNCTION("""COMPUTED_VALUE"""),"AEE")</f>
        <v>AEE</v>
      </c>
      <c r="I807" s="242">
        <f ca="1">IFERROR(__xludf.DUMMYFUNCTION("""COMPUTED_VALUE"""),483)</f>
        <v>483</v>
      </c>
    </row>
    <row r="808" spans="1:9" ht="21" customHeight="1">
      <c r="A808" s="240" t="str">
        <f ca="1">IFERROR(__xludf.DUMMYFUNCTION("""COMPUTED_VALUE"""),"Porto Nacional")</f>
        <v>Porto Nacional</v>
      </c>
      <c r="B808" s="240" t="str">
        <f ca="1">IFERROR(__xludf.DUMMYFUNCTION("""COMPUTED_VALUE"""),"Porto Nacional")</f>
        <v>Porto Nacional</v>
      </c>
      <c r="C808" s="240" t="str">
        <f ca="1">IFERROR(__xludf.DUMMYFUNCTION("""COMPUTED_VALUE"""),"A.A. ESC. EST. DR.PEDRO LUDOVICO TEIXEIRA")</f>
        <v>A.A. ESC. EST. DR.PEDRO LUDOVICO TEIXEIRA</v>
      </c>
      <c r="D808" s="241" t="str">
        <f ca="1">IFERROR(__xludf.DUMMYFUNCTION("""COMPUTED_VALUE"""),"01135997000150")</f>
        <v>01135997000150</v>
      </c>
      <c r="E808" s="241" t="str">
        <f ca="1">IFERROR(__xludf.DUMMYFUNCTION("""COMPUTED_VALUE"""),"104")</f>
        <v>104</v>
      </c>
      <c r="F808" s="241" t="str">
        <f ca="1">IFERROR(__xludf.DUMMYFUNCTION("""COMPUTED_VALUE"""),"1829")</f>
        <v>1829</v>
      </c>
      <c r="G808" s="240" t="str">
        <f ca="1">IFERROR(__xludf.DUMMYFUNCTION("""COMPUTED_VALUE"""),"305949")</f>
        <v>305949</v>
      </c>
      <c r="H808" s="240" t="str">
        <f ca="1">IFERROR(__xludf.DUMMYFUNCTION("""COMPUTED_VALUE"""),"ENS MEDIO PARCIAL")</f>
        <v>ENS MEDIO PARCIAL</v>
      </c>
      <c r="I808" s="242">
        <f ca="1">IFERROR(__xludf.DUMMYFUNCTION("""COMPUTED_VALUE"""),5418)</f>
        <v>5418</v>
      </c>
    </row>
    <row r="809" spans="1:9" ht="21" customHeight="1">
      <c r="A809" s="240" t="str">
        <f ca="1">IFERROR(__xludf.DUMMYFUNCTION("""COMPUTED_VALUE"""),"Porto Nacional")</f>
        <v>Porto Nacional</v>
      </c>
      <c r="B809" s="240" t="str">
        <f ca="1">IFERROR(__xludf.DUMMYFUNCTION("""COMPUTED_VALUE"""),"Porto Nacional")</f>
        <v>Porto Nacional</v>
      </c>
      <c r="C809" s="240" t="str">
        <f ca="1">IFERROR(__xludf.DUMMYFUNCTION("""COMPUTED_VALUE"""),"A.A. ESCOLA ESTADUAL IRMA ASPASIA")</f>
        <v>A.A. ESCOLA ESTADUAL IRMA ASPASIA</v>
      </c>
      <c r="D809" s="241" t="str">
        <f ca="1">IFERROR(__xludf.DUMMYFUNCTION("""COMPUTED_VALUE"""),"01136022000146")</f>
        <v>01136022000146</v>
      </c>
      <c r="E809" s="241" t="str">
        <f ca="1">IFERROR(__xludf.DUMMYFUNCTION("""COMPUTED_VALUE"""),"104")</f>
        <v>104</v>
      </c>
      <c r="F809" s="241" t="str">
        <f ca="1">IFERROR(__xludf.DUMMYFUNCTION("""COMPUTED_VALUE"""),"1829")</f>
        <v>1829</v>
      </c>
      <c r="G809" s="240" t="str">
        <f ca="1">IFERROR(__xludf.DUMMYFUNCTION("""COMPUTED_VALUE"""),"307453")</f>
        <v>307453</v>
      </c>
      <c r="H809" s="240" t="str">
        <f ca="1">IFERROR(__xludf.DUMMYFUNCTION("""COMPUTED_VALUE"""),"E.F. PARCIAL")</f>
        <v>E.F. PARCIAL</v>
      </c>
      <c r="I809" s="242">
        <f ca="1">IFERROR(__xludf.DUMMYFUNCTION("""COMPUTED_VALUE"""),2814)</f>
        <v>2814</v>
      </c>
    </row>
    <row r="810" spans="1:9" ht="21" customHeight="1">
      <c r="A810" s="240" t="str">
        <f ca="1">IFERROR(__xludf.DUMMYFUNCTION("""COMPUTED_VALUE"""),"Porto Nacional")</f>
        <v>Porto Nacional</v>
      </c>
      <c r="B810" s="240" t="str">
        <f ca="1">IFERROR(__xludf.DUMMYFUNCTION("""COMPUTED_VALUE"""),"Porto Nacional")</f>
        <v>Porto Nacional</v>
      </c>
      <c r="C810" s="240" t="str">
        <f ca="1">IFERROR(__xludf.DUMMYFUNCTION("""COMPUTED_VALUE"""),"A.A. ESCOLA ESTADUAL IRMA ASPASIA")</f>
        <v>A.A. ESCOLA ESTADUAL IRMA ASPASIA</v>
      </c>
      <c r="D810" s="241" t="str">
        <f ca="1">IFERROR(__xludf.DUMMYFUNCTION("""COMPUTED_VALUE"""),"01136022000146")</f>
        <v>01136022000146</v>
      </c>
      <c r="E810" s="241" t="str">
        <f ca="1">IFERROR(__xludf.DUMMYFUNCTION("""COMPUTED_VALUE"""),"104")</f>
        <v>104</v>
      </c>
      <c r="F810" s="241" t="str">
        <f ca="1">IFERROR(__xludf.DUMMYFUNCTION("""COMPUTED_VALUE"""),"1829")</f>
        <v>1829</v>
      </c>
      <c r="G810" s="240" t="str">
        <f ca="1">IFERROR(__xludf.DUMMYFUNCTION("""COMPUTED_VALUE"""),"307453")</f>
        <v>307453</v>
      </c>
      <c r="H810" s="240" t="str">
        <f ca="1">IFERROR(__xludf.DUMMYFUNCTION("""COMPUTED_VALUE"""),"AEE")</f>
        <v>AEE</v>
      </c>
      <c r="I810" s="242">
        <f ca="1">IFERROR(__xludf.DUMMYFUNCTION("""COMPUTED_VALUE"""),210)</f>
        <v>210</v>
      </c>
    </row>
    <row r="811" spans="1:9" ht="21" customHeight="1">
      <c r="A811" s="240" t="str">
        <f ca="1">IFERROR(__xludf.DUMMYFUNCTION("""COMPUTED_VALUE"""),"Porto Nacional")</f>
        <v>Porto Nacional</v>
      </c>
      <c r="B811" s="240" t="str">
        <f ca="1">IFERROR(__xludf.DUMMYFUNCTION("""COMPUTED_VALUE"""),"Porto Nacional")</f>
        <v>Porto Nacional</v>
      </c>
      <c r="C811" s="240" t="str">
        <f ca="1">IFERROR(__xludf.DUMMYFUNCTION("""COMPUTED_VALUE"""),"A.A. ESCOLA ESTADUAL IRMA ASPASIA")</f>
        <v>A.A. ESCOLA ESTADUAL IRMA ASPASIA</v>
      </c>
      <c r="D811" s="241" t="str">
        <f ca="1">IFERROR(__xludf.DUMMYFUNCTION("""COMPUTED_VALUE"""),"01136022000146")</f>
        <v>01136022000146</v>
      </c>
      <c r="E811" s="241" t="str">
        <f ca="1">IFERROR(__xludf.DUMMYFUNCTION("""COMPUTED_VALUE"""),"104")</f>
        <v>104</v>
      </c>
      <c r="F811" s="241" t="str">
        <f ca="1">IFERROR(__xludf.DUMMYFUNCTION("""COMPUTED_VALUE"""),"1829")</f>
        <v>1829</v>
      </c>
      <c r="G811" s="240" t="str">
        <f ca="1">IFERROR(__xludf.DUMMYFUNCTION("""COMPUTED_VALUE"""),"307453")</f>
        <v>307453</v>
      </c>
      <c r="H811" s="240" t="str">
        <f ca="1">IFERROR(__xludf.DUMMYFUNCTION("""COMPUTED_VALUE"""),"ENS MEDIO PARCIAL")</f>
        <v>ENS MEDIO PARCIAL</v>
      </c>
      <c r="I811" s="242">
        <f ca="1">IFERROR(__xludf.DUMMYFUNCTION("""COMPUTED_VALUE"""),4452)</f>
        <v>4452</v>
      </c>
    </row>
    <row r="812" spans="1:9" ht="21" customHeight="1">
      <c r="A812" s="240" t="str">
        <f ca="1">IFERROR(__xludf.DUMMYFUNCTION("""COMPUTED_VALUE"""),"Porto Nacional")</f>
        <v>Porto Nacional</v>
      </c>
      <c r="B812" s="240" t="str">
        <f ca="1">IFERROR(__xludf.DUMMYFUNCTION("""COMPUTED_VALUE"""),"Porto Nacional")</f>
        <v>Porto Nacional</v>
      </c>
      <c r="C812" s="240" t="str">
        <f ca="1">IFERROR(__xludf.DUMMYFUNCTION("""COMPUTED_VALUE"""),"ASSOC. DE A.DO CEM PROFº. FLORÊNCIO AIRES DA SILVA")</f>
        <v>ASSOC. DE A.DO CEM PROFº. FLORÊNCIO AIRES DA SILVA</v>
      </c>
      <c r="D812" s="241" t="str">
        <f ca="1">IFERROR(__xludf.DUMMYFUNCTION("""COMPUTED_VALUE"""),"01138326000142")</f>
        <v>01138326000142</v>
      </c>
      <c r="E812" s="241" t="str">
        <f ca="1">IFERROR(__xludf.DUMMYFUNCTION("""COMPUTED_VALUE"""),"001")</f>
        <v>001</v>
      </c>
      <c r="F812" s="241" t="str">
        <f ca="1">IFERROR(__xludf.DUMMYFUNCTION("""COMPUTED_VALUE"""),"1117")</f>
        <v>1117</v>
      </c>
      <c r="G812" s="240" t="str">
        <f ca="1">IFERROR(__xludf.DUMMYFUNCTION("""COMPUTED_VALUE"""),"5500X")</f>
        <v>5500X</v>
      </c>
      <c r="H812" s="240" t="str">
        <f ca="1">IFERROR(__xludf.DUMMYFUNCTION("""COMPUTED_VALUE"""),"E.F. PARCIAL")</f>
        <v>E.F. PARCIAL</v>
      </c>
      <c r="I812" s="242">
        <f ca="1">IFERROR(__xludf.DUMMYFUNCTION("""COMPUTED_VALUE"""),2121)</f>
        <v>2121</v>
      </c>
    </row>
    <row r="813" spans="1:9" ht="21" customHeight="1">
      <c r="A813" s="240" t="str">
        <f ca="1">IFERROR(__xludf.DUMMYFUNCTION("""COMPUTED_VALUE"""),"Porto Nacional")</f>
        <v>Porto Nacional</v>
      </c>
      <c r="B813" s="240" t="str">
        <f ca="1">IFERROR(__xludf.DUMMYFUNCTION("""COMPUTED_VALUE"""),"Porto Nacional")</f>
        <v>Porto Nacional</v>
      </c>
      <c r="C813" s="240" t="str">
        <f ca="1">IFERROR(__xludf.DUMMYFUNCTION("""COMPUTED_VALUE"""),"ASSOC. DE A.DO CEM PROFº. FLORÊNCIO AIRES DA SILVA")</f>
        <v>ASSOC. DE A.DO CEM PROFº. FLORÊNCIO AIRES DA SILVA</v>
      </c>
      <c r="D813" s="241" t="str">
        <f ca="1">IFERROR(__xludf.DUMMYFUNCTION("""COMPUTED_VALUE"""),"01138326000142")</f>
        <v>01138326000142</v>
      </c>
      <c r="E813" s="241" t="str">
        <f ca="1">IFERROR(__xludf.DUMMYFUNCTION("""COMPUTED_VALUE"""),"001")</f>
        <v>001</v>
      </c>
      <c r="F813" s="241" t="str">
        <f ca="1">IFERROR(__xludf.DUMMYFUNCTION("""COMPUTED_VALUE"""),"1117")</f>
        <v>1117</v>
      </c>
      <c r="G813" s="240" t="str">
        <f ca="1">IFERROR(__xludf.DUMMYFUNCTION("""COMPUTED_VALUE"""),"5500X")</f>
        <v>5500X</v>
      </c>
      <c r="H813" s="240" t="str">
        <f ca="1">IFERROR(__xludf.DUMMYFUNCTION("""COMPUTED_VALUE"""),"AEE")</f>
        <v>AEE</v>
      </c>
      <c r="I813" s="242">
        <f ca="1">IFERROR(__xludf.DUMMYFUNCTION("""COMPUTED_VALUE"""),231)</f>
        <v>231</v>
      </c>
    </row>
    <row r="814" spans="1:9" ht="21" customHeight="1">
      <c r="A814" s="240" t="str">
        <f ca="1">IFERROR(__xludf.DUMMYFUNCTION("""COMPUTED_VALUE"""),"Porto Nacional")</f>
        <v>Porto Nacional</v>
      </c>
      <c r="B814" s="240" t="str">
        <f ca="1">IFERROR(__xludf.DUMMYFUNCTION("""COMPUTED_VALUE"""),"Porto Nacional")</f>
        <v>Porto Nacional</v>
      </c>
      <c r="C814" s="240" t="str">
        <f ca="1">IFERROR(__xludf.DUMMYFUNCTION("""COMPUTED_VALUE"""),"ASSOC. DE A.DO CEM PROFº. FLORÊNCIO AIRES DA SILVA")</f>
        <v>ASSOC. DE A.DO CEM PROFº. FLORÊNCIO AIRES DA SILVA</v>
      </c>
      <c r="D814" s="241" t="str">
        <f ca="1">IFERROR(__xludf.DUMMYFUNCTION("""COMPUTED_VALUE"""),"01138326000142")</f>
        <v>01138326000142</v>
      </c>
      <c r="E814" s="241" t="str">
        <f ca="1">IFERROR(__xludf.DUMMYFUNCTION("""COMPUTED_VALUE"""),"001")</f>
        <v>001</v>
      </c>
      <c r="F814" s="241" t="str">
        <f ca="1">IFERROR(__xludf.DUMMYFUNCTION("""COMPUTED_VALUE"""),"1117")</f>
        <v>1117</v>
      </c>
      <c r="G814" s="240" t="str">
        <f ca="1">IFERROR(__xludf.DUMMYFUNCTION("""COMPUTED_VALUE"""),"5500X")</f>
        <v>5500X</v>
      </c>
      <c r="H814" s="240" t="str">
        <f ca="1">IFERROR(__xludf.DUMMYFUNCTION("""COMPUTED_VALUE"""),"ENS MEDIO PARCIAL")</f>
        <v>ENS MEDIO PARCIAL</v>
      </c>
      <c r="I814" s="242">
        <f ca="1">IFERROR(__xludf.DUMMYFUNCTION("""COMPUTED_VALUE"""),4851)</f>
        <v>4851</v>
      </c>
    </row>
    <row r="815" spans="1:9" ht="21" customHeight="1">
      <c r="A815" s="240" t="str">
        <f ca="1">IFERROR(__xludf.DUMMYFUNCTION("""COMPUTED_VALUE"""),"Porto Nacional")</f>
        <v>Porto Nacional</v>
      </c>
      <c r="B815" s="240" t="str">
        <f ca="1">IFERROR(__xludf.DUMMYFUNCTION("""COMPUTED_VALUE"""),"Porto Nacional")</f>
        <v>Porto Nacional</v>
      </c>
      <c r="C815" s="240" t="str">
        <f ca="1">IFERROR(__xludf.DUMMYFUNCTION("""COMPUTED_VALUE"""),"ASSOC. DE A.DO CEM PROFº. FLORÊNCIO AIRES DA SILVA")</f>
        <v>ASSOC. DE A.DO CEM PROFº. FLORÊNCIO AIRES DA SILVA</v>
      </c>
      <c r="D815" s="241" t="str">
        <f ca="1">IFERROR(__xludf.DUMMYFUNCTION("""COMPUTED_VALUE"""),"01138326000142")</f>
        <v>01138326000142</v>
      </c>
      <c r="E815" s="241" t="str">
        <f ca="1">IFERROR(__xludf.DUMMYFUNCTION("""COMPUTED_VALUE"""),"001")</f>
        <v>001</v>
      </c>
      <c r="F815" s="241" t="str">
        <f ca="1">IFERROR(__xludf.DUMMYFUNCTION("""COMPUTED_VALUE"""),"1117")</f>
        <v>1117</v>
      </c>
      <c r="G815" s="240" t="str">
        <f ca="1">IFERROR(__xludf.DUMMYFUNCTION("""COMPUTED_VALUE"""),"5500X")</f>
        <v>5500X</v>
      </c>
      <c r="H815" s="240" t="str">
        <f ca="1">IFERROR(__xludf.DUMMYFUNCTION("""COMPUTED_VALUE"""),"EJA")</f>
        <v>EJA</v>
      </c>
      <c r="I815" s="242">
        <f ca="1">IFERROR(__xludf.DUMMYFUNCTION("""COMPUTED_VALUE"""),1659)</f>
        <v>1659</v>
      </c>
    </row>
    <row r="816" spans="1:9" ht="21" customHeight="1">
      <c r="A816" s="240" t="str">
        <f ca="1">IFERROR(__xludf.DUMMYFUNCTION("""COMPUTED_VALUE"""),"Porto Nacional")</f>
        <v>Porto Nacional</v>
      </c>
      <c r="B816" s="240" t="str">
        <f ca="1">IFERROR(__xludf.DUMMYFUNCTION("""COMPUTED_VALUE"""),"Porto Nacional")</f>
        <v>Porto Nacional</v>
      </c>
      <c r="C816" s="240" t="str">
        <f ca="1">IFERROR(__xludf.DUMMYFUNCTION("""COMPUTED_VALUE"""),"A.A.  ESCOLA ESTADUAL CUSTÓDIA DA SILVA PEDREIRA")</f>
        <v>A.A.  ESCOLA ESTADUAL CUSTÓDIA DA SILVA PEDREIRA</v>
      </c>
      <c r="D816" s="241" t="str">
        <f ca="1">IFERROR(__xludf.DUMMYFUNCTION("""COMPUTED_VALUE"""),"01192932000146")</f>
        <v>01192932000146</v>
      </c>
      <c r="E816" s="241" t="str">
        <f ca="1">IFERROR(__xludf.DUMMYFUNCTION("""COMPUTED_VALUE"""),"001")</f>
        <v>001</v>
      </c>
      <c r="F816" s="241" t="str">
        <f ca="1">IFERROR(__xludf.DUMMYFUNCTION("""COMPUTED_VALUE"""),"1117")</f>
        <v>1117</v>
      </c>
      <c r="G816" s="240" t="str">
        <f ca="1">IFERROR(__xludf.DUMMYFUNCTION("""COMPUTED_VALUE"""),"314080")</f>
        <v>314080</v>
      </c>
      <c r="H816" s="240" t="str">
        <f ca="1">IFERROR(__xludf.DUMMYFUNCTION("""COMPUTED_VALUE"""),"E.F. PARCIAL")</f>
        <v>E.F. PARCIAL</v>
      </c>
      <c r="I816" s="242">
        <f ca="1">IFERROR(__xludf.DUMMYFUNCTION("""COMPUTED_VALUE"""),9534)</f>
        <v>9534</v>
      </c>
    </row>
    <row r="817" spans="1:9" ht="21" customHeight="1">
      <c r="A817" s="240" t="str">
        <f ca="1">IFERROR(__xludf.DUMMYFUNCTION("""COMPUTED_VALUE"""),"Porto Nacional")</f>
        <v>Porto Nacional</v>
      </c>
      <c r="B817" s="240" t="str">
        <f ca="1">IFERROR(__xludf.DUMMYFUNCTION("""COMPUTED_VALUE"""),"Porto Nacional")</f>
        <v>Porto Nacional</v>
      </c>
      <c r="C817" s="240" t="str">
        <f ca="1">IFERROR(__xludf.DUMMYFUNCTION("""COMPUTED_VALUE"""),"A.A.  ESCOLA ESTADUAL CUSTÓDIA DA SILVA PEDREIRA")</f>
        <v>A.A.  ESCOLA ESTADUAL CUSTÓDIA DA SILVA PEDREIRA</v>
      </c>
      <c r="D817" s="241" t="str">
        <f ca="1">IFERROR(__xludf.DUMMYFUNCTION("""COMPUTED_VALUE"""),"01192932000146")</f>
        <v>01192932000146</v>
      </c>
      <c r="E817" s="241" t="str">
        <f ca="1">IFERROR(__xludf.DUMMYFUNCTION("""COMPUTED_VALUE"""),"001")</f>
        <v>001</v>
      </c>
      <c r="F817" s="241" t="str">
        <f ca="1">IFERROR(__xludf.DUMMYFUNCTION("""COMPUTED_VALUE"""),"1117")</f>
        <v>1117</v>
      </c>
      <c r="G817" s="240" t="str">
        <f ca="1">IFERROR(__xludf.DUMMYFUNCTION("""COMPUTED_VALUE"""),"314080")</f>
        <v>314080</v>
      </c>
      <c r="H817" s="240" t="str">
        <f ca="1">IFERROR(__xludf.DUMMYFUNCTION("""COMPUTED_VALUE"""),"ENS MEDIO PARCIAL")</f>
        <v>ENS MEDIO PARCIAL</v>
      </c>
      <c r="I817" s="242">
        <f ca="1">IFERROR(__xludf.DUMMYFUNCTION("""COMPUTED_VALUE"""),6972)</f>
        <v>6972</v>
      </c>
    </row>
    <row r="818" spans="1:9" ht="21" customHeight="1">
      <c r="A818" s="240" t="str">
        <f ca="1">IFERROR(__xludf.DUMMYFUNCTION("""COMPUTED_VALUE"""),"Porto Nacional")</f>
        <v>Porto Nacional</v>
      </c>
      <c r="B818" s="240" t="str">
        <f ca="1">IFERROR(__xludf.DUMMYFUNCTION("""COMPUTED_VALUE"""),"Porto Nacional")</f>
        <v>Porto Nacional</v>
      </c>
      <c r="C818" s="240" t="str">
        <f ca="1">IFERROR(__xludf.DUMMYFUNCTION("""COMPUTED_VALUE"""),"A.A. ESCOLA ESTADUAL ANA MACEDO MAIA")</f>
        <v>A.A. ESCOLA ESTADUAL ANA MACEDO MAIA</v>
      </c>
      <c r="D818" s="241" t="str">
        <f ca="1">IFERROR(__xludf.DUMMYFUNCTION("""COMPUTED_VALUE"""),"01243662000155")</f>
        <v>01243662000155</v>
      </c>
      <c r="E818" s="241" t="str">
        <f ca="1">IFERROR(__xludf.DUMMYFUNCTION("""COMPUTED_VALUE"""),"104")</f>
        <v>104</v>
      </c>
      <c r="F818" s="241" t="str">
        <f ca="1">IFERROR(__xludf.DUMMYFUNCTION("""COMPUTED_VALUE"""),"1829")</f>
        <v>1829</v>
      </c>
      <c r="G818" s="240" t="str">
        <f ca="1">IFERROR(__xludf.DUMMYFUNCTION("""COMPUTED_VALUE"""),"306015")</f>
        <v>306015</v>
      </c>
      <c r="H818" s="240" t="str">
        <f ca="1">IFERROR(__xludf.DUMMYFUNCTION("""COMPUTED_VALUE"""),"E.F. PARCIAL")</f>
        <v>E.F. PARCIAL</v>
      </c>
      <c r="I818" s="242">
        <f ca="1">IFERROR(__xludf.DUMMYFUNCTION("""COMPUTED_VALUE"""),6384)</f>
        <v>6384</v>
      </c>
    </row>
    <row r="819" spans="1:9" ht="21" customHeight="1">
      <c r="A819" s="240" t="str">
        <f ca="1">IFERROR(__xludf.DUMMYFUNCTION("""COMPUTED_VALUE"""),"Porto Nacional")</f>
        <v>Porto Nacional</v>
      </c>
      <c r="B819" s="240" t="str">
        <f ca="1">IFERROR(__xludf.DUMMYFUNCTION("""COMPUTED_VALUE"""),"Porto Nacional")</f>
        <v>Porto Nacional</v>
      </c>
      <c r="C819" s="240" t="str">
        <f ca="1">IFERROR(__xludf.DUMMYFUNCTION("""COMPUTED_VALUE"""),"A.A.  ESCOLA ESTADUAL ALFREDO NASSER")</f>
        <v>A.A.  ESCOLA ESTADUAL ALFREDO NASSER</v>
      </c>
      <c r="D819" s="241" t="str">
        <f ca="1">IFERROR(__xludf.DUMMYFUNCTION("""COMPUTED_VALUE"""),"01251862000150")</f>
        <v>01251862000150</v>
      </c>
      <c r="E819" s="241" t="str">
        <f ca="1">IFERROR(__xludf.DUMMYFUNCTION("""COMPUTED_VALUE"""),"104")</f>
        <v>104</v>
      </c>
      <c r="F819" s="241" t="str">
        <f ca="1">IFERROR(__xludf.DUMMYFUNCTION("""COMPUTED_VALUE"""),"1829")</f>
        <v>1829</v>
      </c>
      <c r="G819" s="240" t="str">
        <f ca="1">IFERROR(__xludf.DUMMYFUNCTION("""COMPUTED_VALUE"""),"307410")</f>
        <v>307410</v>
      </c>
      <c r="H819" s="240" t="str">
        <f ca="1">IFERROR(__xludf.DUMMYFUNCTION("""COMPUTED_VALUE"""),"E.F. PARCIAL")</f>
        <v>E.F. PARCIAL</v>
      </c>
      <c r="I819" s="242">
        <f ca="1">IFERROR(__xludf.DUMMYFUNCTION("""COMPUTED_VALUE"""),2835)</f>
        <v>2835</v>
      </c>
    </row>
    <row r="820" spans="1:9" ht="21" customHeight="1">
      <c r="A820" s="240" t="str">
        <f ca="1">IFERROR(__xludf.DUMMYFUNCTION("""COMPUTED_VALUE"""),"Porto Nacional")</f>
        <v>Porto Nacional</v>
      </c>
      <c r="B820" s="240" t="str">
        <f ca="1">IFERROR(__xludf.DUMMYFUNCTION("""COMPUTED_VALUE"""),"Porto Nacional")</f>
        <v>Porto Nacional</v>
      </c>
      <c r="C820" s="240" t="str">
        <f ca="1">IFERROR(__xludf.DUMMYFUNCTION("""COMPUTED_VALUE"""),"A.A.  ESCOLA ESTADUAL ALFREDO NASSER")</f>
        <v>A.A.  ESCOLA ESTADUAL ALFREDO NASSER</v>
      </c>
      <c r="D820" s="241" t="str">
        <f ca="1">IFERROR(__xludf.DUMMYFUNCTION("""COMPUTED_VALUE"""),"01251862000150")</f>
        <v>01251862000150</v>
      </c>
      <c r="E820" s="241" t="str">
        <f ca="1">IFERROR(__xludf.DUMMYFUNCTION("""COMPUTED_VALUE"""),"104")</f>
        <v>104</v>
      </c>
      <c r="F820" s="241" t="str">
        <f ca="1">IFERROR(__xludf.DUMMYFUNCTION("""COMPUTED_VALUE"""),"1829")</f>
        <v>1829</v>
      </c>
      <c r="G820" s="240" t="str">
        <f ca="1">IFERROR(__xludf.DUMMYFUNCTION("""COMPUTED_VALUE"""),"307410")</f>
        <v>307410</v>
      </c>
      <c r="H820" s="240" t="str">
        <f ca="1">IFERROR(__xludf.DUMMYFUNCTION("""COMPUTED_VALUE"""),"AEE")</f>
        <v>AEE</v>
      </c>
      <c r="I820" s="242">
        <f ca="1">IFERROR(__xludf.DUMMYFUNCTION("""COMPUTED_VALUE"""),168)</f>
        <v>168</v>
      </c>
    </row>
    <row r="821" spans="1:9" ht="21" customHeight="1">
      <c r="A821" s="240" t="str">
        <f ca="1">IFERROR(__xludf.DUMMYFUNCTION("""COMPUTED_VALUE"""),"Porto Nacional")</f>
        <v>Porto Nacional</v>
      </c>
      <c r="B821" s="240" t="str">
        <f ca="1">IFERROR(__xludf.DUMMYFUNCTION("""COMPUTED_VALUE"""),"Porto Nacional")</f>
        <v>Porto Nacional</v>
      </c>
      <c r="C821" s="240" t="str">
        <f ca="1">IFERROR(__xludf.DUMMYFUNCTION("""COMPUTED_VALUE"""),"A.A.  ESCOLA ESTADUAL ALFREDO NASSER")</f>
        <v>A.A.  ESCOLA ESTADUAL ALFREDO NASSER</v>
      </c>
      <c r="D821" s="241" t="str">
        <f ca="1">IFERROR(__xludf.DUMMYFUNCTION("""COMPUTED_VALUE"""),"01251862000150")</f>
        <v>01251862000150</v>
      </c>
      <c r="E821" s="241" t="str">
        <f ca="1">IFERROR(__xludf.DUMMYFUNCTION("""COMPUTED_VALUE"""),"104")</f>
        <v>104</v>
      </c>
      <c r="F821" s="241" t="str">
        <f ca="1">IFERROR(__xludf.DUMMYFUNCTION("""COMPUTED_VALUE"""),"1829")</f>
        <v>1829</v>
      </c>
      <c r="G821" s="240" t="str">
        <f ca="1">IFERROR(__xludf.DUMMYFUNCTION("""COMPUTED_VALUE"""),"307410")</f>
        <v>307410</v>
      </c>
      <c r="H821" s="240" t="str">
        <f ca="1">IFERROR(__xludf.DUMMYFUNCTION("""COMPUTED_VALUE"""),"ENS MEDIO PARCIAL")</f>
        <v>ENS MEDIO PARCIAL</v>
      </c>
      <c r="I821" s="242">
        <f ca="1">IFERROR(__xludf.DUMMYFUNCTION("""COMPUTED_VALUE"""),1155)</f>
        <v>1155</v>
      </c>
    </row>
    <row r="822" spans="1:9" ht="21" customHeight="1">
      <c r="A822" s="240" t="str">
        <f ca="1">IFERROR(__xludf.DUMMYFUNCTION("""COMPUTED_VALUE"""),"Porto Nacional")</f>
        <v>Porto Nacional</v>
      </c>
      <c r="B822" s="240" t="str">
        <f ca="1">IFERROR(__xludf.DUMMYFUNCTION("""COMPUTED_VALUE"""),"Porto Nacional")</f>
        <v>Porto Nacional</v>
      </c>
      <c r="C822" s="240" t="str">
        <f ca="1">IFERROR(__xludf.DUMMYFUNCTION("""COMPUTED_VALUE"""),"A.A. DA ESC. EST. ALCIDES RODRIGUES AIRES")</f>
        <v>A.A. DA ESC. EST. ALCIDES RODRIGUES AIRES</v>
      </c>
      <c r="D822" s="241" t="str">
        <f ca="1">IFERROR(__xludf.DUMMYFUNCTION("""COMPUTED_VALUE"""),"03495455000113")</f>
        <v>03495455000113</v>
      </c>
      <c r="E822" s="241" t="str">
        <f ca="1">IFERROR(__xludf.DUMMYFUNCTION("""COMPUTED_VALUE"""),"001")</f>
        <v>001</v>
      </c>
      <c r="F822" s="241" t="str">
        <f ca="1">IFERROR(__xludf.DUMMYFUNCTION("""COMPUTED_VALUE"""),"1117")</f>
        <v>1117</v>
      </c>
      <c r="G822" s="240" t="str">
        <f ca="1">IFERROR(__xludf.DUMMYFUNCTION("""COMPUTED_VALUE"""),"77143")</f>
        <v>77143</v>
      </c>
      <c r="H822" s="240" t="str">
        <f ca="1">IFERROR(__xludf.DUMMYFUNCTION("""COMPUTED_VALUE"""),"E.F. PARCIAL")</f>
        <v>E.F. PARCIAL</v>
      </c>
      <c r="I822" s="242">
        <f ca="1">IFERROR(__xludf.DUMMYFUNCTION("""COMPUTED_VALUE"""),7812)</f>
        <v>7812</v>
      </c>
    </row>
    <row r="823" spans="1:9" ht="21" customHeight="1">
      <c r="A823" s="240" t="str">
        <f ca="1">IFERROR(__xludf.DUMMYFUNCTION("""COMPUTED_VALUE"""),"Porto Nacional")</f>
        <v>Porto Nacional</v>
      </c>
      <c r="B823" s="240" t="str">
        <f ca="1">IFERROR(__xludf.DUMMYFUNCTION("""COMPUTED_VALUE"""),"Porto Nacional")</f>
        <v>Porto Nacional</v>
      </c>
      <c r="C823" s="240" t="str">
        <f ca="1">IFERROR(__xludf.DUMMYFUNCTION("""COMPUTED_VALUE"""),"A.A. DA ESC. EST. ALCIDES RODRIGUES AIRES")</f>
        <v>A.A. DA ESC. EST. ALCIDES RODRIGUES AIRES</v>
      </c>
      <c r="D823" s="241" t="str">
        <f ca="1">IFERROR(__xludf.DUMMYFUNCTION("""COMPUTED_VALUE"""),"03495455000113")</f>
        <v>03495455000113</v>
      </c>
      <c r="E823" s="241" t="str">
        <f ca="1">IFERROR(__xludf.DUMMYFUNCTION("""COMPUTED_VALUE"""),"001")</f>
        <v>001</v>
      </c>
      <c r="F823" s="241" t="str">
        <f ca="1">IFERROR(__xludf.DUMMYFUNCTION("""COMPUTED_VALUE"""),"1117")</f>
        <v>1117</v>
      </c>
      <c r="G823" s="240" t="str">
        <f ca="1">IFERROR(__xludf.DUMMYFUNCTION("""COMPUTED_VALUE"""),"77143")</f>
        <v>77143</v>
      </c>
      <c r="H823" s="240" t="str">
        <f ca="1">IFERROR(__xludf.DUMMYFUNCTION("""COMPUTED_VALUE"""),"AEE")</f>
        <v>AEE</v>
      </c>
      <c r="I823" s="242">
        <f ca="1">IFERROR(__xludf.DUMMYFUNCTION("""COMPUTED_VALUE"""),294)</f>
        <v>294</v>
      </c>
    </row>
    <row r="824" spans="1:9" ht="21" customHeight="1">
      <c r="A824" s="240" t="str">
        <f ca="1">IFERROR(__xludf.DUMMYFUNCTION("""COMPUTED_VALUE"""),"Porto Nacional")</f>
        <v>Porto Nacional</v>
      </c>
      <c r="B824" s="240" t="str">
        <f ca="1">IFERROR(__xludf.DUMMYFUNCTION("""COMPUTED_VALUE"""),"Porto Nacional")</f>
        <v>Porto Nacional</v>
      </c>
      <c r="C824" s="240" t="str">
        <f ca="1">IFERROR(__xludf.DUMMYFUNCTION("""COMPUTED_VALUE"""),"A.A. DA ESC. EST. ALCIDES RODRIGUES AIRES")</f>
        <v>A.A. DA ESC. EST. ALCIDES RODRIGUES AIRES</v>
      </c>
      <c r="D824" s="241" t="str">
        <f ca="1">IFERROR(__xludf.DUMMYFUNCTION("""COMPUTED_VALUE"""),"03495455000113")</f>
        <v>03495455000113</v>
      </c>
      <c r="E824" s="241" t="str">
        <f ca="1">IFERROR(__xludf.DUMMYFUNCTION("""COMPUTED_VALUE"""),"001")</f>
        <v>001</v>
      </c>
      <c r="F824" s="241" t="str">
        <f ca="1">IFERROR(__xludf.DUMMYFUNCTION("""COMPUTED_VALUE"""),"1117")</f>
        <v>1117</v>
      </c>
      <c r="G824" s="240" t="str">
        <f ca="1">IFERROR(__xludf.DUMMYFUNCTION("""COMPUTED_VALUE"""),"77143")</f>
        <v>77143</v>
      </c>
      <c r="H824" s="240" t="str">
        <f ca="1">IFERROR(__xludf.DUMMYFUNCTION("""COMPUTED_VALUE"""),"EJA")</f>
        <v>EJA</v>
      </c>
      <c r="I824" s="242">
        <f ca="1">IFERROR(__xludf.DUMMYFUNCTION("""COMPUTED_VALUE"""),1869)</f>
        <v>1869</v>
      </c>
    </row>
    <row r="825" spans="1:9" ht="21" customHeight="1">
      <c r="A825" s="240" t="str">
        <f ca="1">IFERROR(__xludf.DUMMYFUNCTION("""COMPUTED_VALUE"""),"Porto Nacional")</f>
        <v>Porto Nacional</v>
      </c>
      <c r="B825" s="240" t="str">
        <f ca="1">IFERROR(__xludf.DUMMYFUNCTION("""COMPUTED_VALUE"""),"Santa Rita do Tocantins")</f>
        <v>Santa Rita do Tocantins</v>
      </c>
      <c r="C825" s="240" t="str">
        <f ca="1">IFERROR(__xludf.DUMMYFUNCTION("""COMPUTED_VALUE"""),"ASS. COM.DE AP.ESC. EST. DE 1 GRAU BOA NOVA")</f>
        <v>ASS. COM.DE AP.ESC. EST. DE 1 GRAU BOA NOVA</v>
      </c>
      <c r="D825" s="241" t="str">
        <f ca="1">IFERROR(__xludf.DUMMYFUNCTION("""COMPUTED_VALUE"""),"01856561000150")</f>
        <v>01856561000150</v>
      </c>
      <c r="E825" s="241" t="str">
        <f ca="1">IFERROR(__xludf.DUMMYFUNCTION("""COMPUTED_VALUE"""),"001")</f>
        <v>001</v>
      </c>
      <c r="F825" s="241" t="str">
        <f ca="1">IFERROR(__xludf.DUMMYFUNCTION("""COMPUTED_VALUE"""),"4107")</f>
        <v>4107</v>
      </c>
      <c r="G825" s="240" t="str">
        <f ca="1">IFERROR(__xludf.DUMMYFUNCTION("""COMPUTED_VALUE"""),"320722")</f>
        <v>320722</v>
      </c>
      <c r="H825" s="240" t="str">
        <f ca="1">IFERROR(__xludf.DUMMYFUNCTION("""COMPUTED_VALUE"""),"E.F. PARCIAL")</f>
        <v>E.F. PARCIAL</v>
      </c>
      <c r="I825" s="242">
        <f ca="1">IFERROR(__xludf.DUMMYFUNCTION("""COMPUTED_VALUE"""),1848)</f>
        <v>1848</v>
      </c>
    </row>
    <row r="826" spans="1:9" ht="21" customHeight="1">
      <c r="A826" s="240" t="str">
        <f ca="1">IFERROR(__xludf.DUMMYFUNCTION("""COMPUTED_VALUE"""),"Porto Nacional")</f>
        <v>Porto Nacional</v>
      </c>
      <c r="B826" s="240" t="str">
        <f ca="1">IFERROR(__xludf.DUMMYFUNCTION("""COMPUTED_VALUE"""),"Santa Rita do Tocantins")</f>
        <v>Santa Rita do Tocantins</v>
      </c>
      <c r="C826" s="240" t="str">
        <f ca="1">IFERROR(__xludf.DUMMYFUNCTION("""COMPUTED_VALUE"""),"ASS. COM.DE AP.ESC. EST. DE 1 GRAU BOA NOVA")</f>
        <v>ASS. COM.DE AP.ESC. EST. DE 1 GRAU BOA NOVA</v>
      </c>
      <c r="D826" s="241" t="str">
        <f ca="1">IFERROR(__xludf.DUMMYFUNCTION("""COMPUTED_VALUE"""),"01856561000150")</f>
        <v>01856561000150</v>
      </c>
      <c r="E826" s="241" t="str">
        <f ca="1">IFERROR(__xludf.DUMMYFUNCTION("""COMPUTED_VALUE"""),"001")</f>
        <v>001</v>
      </c>
      <c r="F826" s="241" t="str">
        <f ca="1">IFERROR(__xludf.DUMMYFUNCTION("""COMPUTED_VALUE"""),"4107")</f>
        <v>4107</v>
      </c>
      <c r="G826" s="240" t="str">
        <f ca="1">IFERROR(__xludf.DUMMYFUNCTION("""COMPUTED_VALUE"""),"320722")</f>
        <v>320722</v>
      </c>
      <c r="H826" s="240" t="str">
        <f ca="1">IFERROR(__xludf.DUMMYFUNCTION("""COMPUTED_VALUE"""),"ENS MEDIO PARCIAL")</f>
        <v>ENS MEDIO PARCIAL</v>
      </c>
      <c r="I826" s="242">
        <f ca="1">IFERROR(__xludf.DUMMYFUNCTION("""COMPUTED_VALUE"""),1953)</f>
        <v>1953</v>
      </c>
    </row>
    <row r="827" spans="1:9" ht="21" customHeight="1">
      <c r="A827" s="240" t="str">
        <f ca="1">IFERROR(__xludf.DUMMYFUNCTION("""COMPUTED_VALUE"""),"Porto Nacional")</f>
        <v>Porto Nacional</v>
      </c>
      <c r="B827" s="240" t="str">
        <f ca="1">IFERROR(__xludf.DUMMYFUNCTION("""COMPUTED_VALUE"""),"Santa Rosa do Tocantins")</f>
        <v>Santa Rosa do Tocantins</v>
      </c>
      <c r="C827" s="240" t="str">
        <f ca="1">IFERROR(__xludf.DUMMYFUNCTION("""COMPUTED_VALUE"""),"A.A. E. E.PROF.ZACHARIAS NUNES DA SILVEIRA")</f>
        <v>A.A. E. E.PROF.ZACHARIAS NUNES DA SILVEIRA</v>
      </c>
      <c r="D827" s="241" t="str">
        <f ca="1">IFERROR(__xludf.DUMMYFUNCTION("""COMPUTED_VALUE"""),"01066420000133")</f>
        <v>01066420000133</v>
      </c>
      <c r="E827" s="241" t="str">
        <f ca="1">IFERROR(__xludf.DUMMYFUNCTION("""COMPUTED_VALUE"""),"104")</f>
        <v>104</v>
      </c>
      <c r="F827" s="241" t="str">
        <f ca="1">IFERROR(__xludf.DUMMYFUNCTION("""COMPUTED_VALUE"""),"1829")</f>
        <v>1829</v>
      </c>
      <c r="G827" s="240" t="str">
        <f ca="1">IFERROR(__xludf.DUMMYFUNCTION("""COMPUTED_VALUE"""),"0307461")</f>
        <v>0307461</v>
      </c>
      <c r="H827" s="240" t="str">
        <f ca="1">IFERROR(__xludf.DUMMYFUNCTION("""COMPUTED_VALUE"""),"E.F. PARCIAL")</f>
        <v>E.F. PARCIAL</v>
      </c>
      <c r="I827" s="242">
        <f ca="1">IFERROR(__xludf.DUMMYFUNCTION("""COMPUTED_VALUE"""),3276)</f>
        <v>3276</v>
      </c>
    </row>
    <row r="828" spans="1:9" ht="21" customHeight="1">
      <c r="A828" s="240" t="str">
        <f ca="1">IFERROR(__xludf.DUMMYFUNCTION("""COMPUTED_VALUE"""),"Porto Nacional")</f>
        <v>Porto Nacional</v>
      </c>
      <c r="B828" s="240" t="str">
        <f ca="1">IFERROR(__xludf.DUMMYFUNCTION("""COMPUTED_VALUE"""),"Santa Rosa do Tocantins")</f>
        <v>Santa Rosa do Tocantins</v>
      </c>
      <c r="C828" s="240" t="str">
        <f ca="1">IFERROR(__xludf.DUMMYFUNCTION("""COMPUTED_VALUE"""),"A.A. E. E.PROF.ZACHARIAS NUNES DA SILVEIRA")</f>
        <v>A.A. E. E.PROF.ZACHARIAS NUNES DA SILVEIRA</v>
      </c>
      <c r="D828" s="241" t="str">
        <f ca="1">IFERROR(__xludf.DUMMYFUNCTION("""COMPUTED_VALUE"""),"01066420000133")</f>
        <v>01066420000133</v>
      </c>
      <c r="E828" s="241" t="str">
        <f ca="1">IFERROR(__xludf.DUMMYFUNCTION("""COMPUTED_VALUE"""),"104")</f>
        <v>104</v>
      </c>
      <c r="F828" s="241" t="str">
        <f ca="1">IFERROR(__xludf.DUMMYFUNCTION("""COMPUTED_VALUE"""),"1829")</f>
        <v>1829</v>
      </c>
      <c r="G828" s="240" t="str">
        <f ca="1">IFERROR(__xludf.DUMMYFUNCTION("""COMPUTED_VALUE"""),"0307461")</f>
        <v>0307461</v>
      </c>
      <c r="H828" s="240" t="str">
        <f ca="1">IFERROR(__xludf.DUMMYFUNCTION("""COMPUTED_VALUE"""),"AEE")</f>
        <v>AEE</v>
      </c>
      <c r="I828" s="242">
        <f ca="1">IFERROR(__xludf.DUMMYFUNCTION("""COMPUTED_VALUE"""),252)</f>
        <v>252</v>
      </c>
    </row>
    <row r="829" spans="1:9" ht="21" customHeight="1">
      <c r="A829" s="240" t="str">
        <f ca="1">IFERROR(__xludf.DUMMYFUNCTION("""COMPUTED_VALUE"""),"Porto Nacional")</f>
        <v>Porto Nacional</v>
      </c>
      <c r="B829" s="240" t="str">
        <f ca="1">IFERROR(__xludf.DUMMYFUNCTION("""COMPUTED_VALUE"""),"Santa Rosa do Tocantins")</f>
        <v>Santa Rosa do Tocantins</v>
      </c>
      <c r="C829" s="240" t="str">
        <f ca="1">IFERROR(__xludf.DUMMYFUNCTION("""COMPUTED_VALUE"""),"A.A. E. E. TENENTE SALVADOR RIBEIRO")</f>
        <v>A.A. E. E. TENENTE SALVADOR RIBEIRO</v>
      </c>
      <c r="D829" s="241" t="str">
        <f ca="1">IFERROR(__xludf.DUMMYFUNCTION("""COMPUTED_VALUE"""),"01066424000111")</f>
        <v>01066424000111</v>
      </c>
      <c r="E829" s="241" t="str">
        <f ca="1">IFERROR(__xludf.DUMMYFUNCTION("""COMPUTED_VALUE"""),"001")</f>
        <v>001</v>
      </c>
      <c r="F829" s="241" t="str">
        <f ca="1">IFERROR(__xludf.DUMMYFUNCTION("""COMPUTED_VALUE"""),"1117")</f>
        <v>1117</v>
      </c>
      <c r="G829" s="240" t="str">
        <f ca="1">IFERROR(__xludf.DUMMYFUNCTION("""COMPUTED_VALUE"""),"332623")</f>
        <v>332623</v>
      </c>
      <c r="H829" s="240" t="str">
        <f ca="1">IFERROR(__xludf.DUMMYFUNCTION("""COMPUTED_VALUE"""),"E.F. PARCIAL")</f>
        <v>E.F. PARCIAL</v>
      </c>
      <c r="I829" s="242">
        <f ca="1">IFERROR(__xludf.DUMMYFUNCTION("""COMPUTED_VALUE"""),609)</f>
        <v>609</v>
      </c>
    </row>
    <row r="830" spans="1:9" ht="21" customHeight="1">
      <c r="A830" s="240" t="str">
        <f ca="1">IFERROR(__xludf.DUMMYFUNCTION("""COMPUTED_VALUE"""),"Porto Nacional")</f>
        <v>Porto Nacional</v>
      </c>
      <c r="B830" s="240" t="str">
        <f ca="1">IFERROR(__xludf.DUMMYFUNCTION("""COMPUTED_VALUE"""),"Santa Rosa do Tocantins")</f>
        <v>Santa Rosa do Tocantins</v>
      </c>
      <c r="C830" s="240" t="str">
        <f ca="1">IFERROR(__xludf.DUMMYFUNCTION("""COMPUTED_VALUE"""),"A.A. E. E. TENENTE SALVADOR RIBEIRO")</f>
        <v>A.A. E. E. TENENTE SALVADOR RIBEIRO</v>
      </c>
      <c r="D830" s="241" t="str">
        <f ca="1">IFERROR(__xludf.DUMMYFUNCTION("""COMPUTED_VALUE"""),"01066424000111")</f>
        <v>01066424000111</v>
      </c>
      <c r="E830" s="241" t="str">
        <f ca="1">IFERROR(__xludf.DUMMYFUNCTION("""COMPUTED_VALUE"""),"001")</f>
        <v>001</v>
      </c>
      <c r="F830" s="241" t="str">
        <f ca="1">IFERROR(__xludf.DUMMYFUNCTION("""COMPUTED_VALUE"""),"1117")</f>
        <v>1117</v>
      </c>
      <c r="G830" s="240" t="str">
        <f ca="1">IFERROR(__xludf.DUMMYFUNCTION("""COMPUTED_VALUE"""),"332623")</f>
        <v>332623</v>
      </c>
      <c r="H830" s="240" t="str">
        <f ca="1">IFERROR(__xludf.DUMMYFUNCTION("""COMPUTED_VALUE"""),"ENS MEDIO PARCIAL")</f>
        <v>ENS MEDIO PARCIAL</v>
      </c>
      <c r="I830" s="242">
        <f ca="1">IFERROR(__xludf.DUMMYFUNCTION("""COMPUTED_VALUE"""),3990)</f>
        <v>3990</v>
      </c>
    </row>
    <row r="831" spans="1:9" ht="21" customHeight="1">
      <c r="A831" s="240" t="str">
        <f ca="1">IFERROR(__xludf.DUMMYFUNCTION("""COMPUTED_VALUE"""),"Porto Nacional")</f>
        <v>Porto Nacional</v>
      </c>
      <c r="B831" s="240" t="str">
        <f ca="1">IFERROR(__xludf.DUMMYFUNCTION("""COMPUTED_VALUE"""),"Santa Rosa do Tocantins")</f>
        <v>Santa Rosa do Tocantins</v>
      </c>
      <c r="C831" s="240" t="str">
        <f ca="1">IFERROR(__xludf.DUMMYFUNCTION("""COMPUTED_VALUE"""),"A.A. E. E. TENENTE SALVADOR RIBEIRO")</f>
        <v>A.A. E. E. TENENTE SALVADOR RIBEIRO</v>
      </c>
      <c r="D831" s="241" t="str">
        <f ca="1">IFERROR(__xludf.DUMMYFUNCTION("""COMPUTED_VALUE"""),"01066424000111")</f>
        <v>01066424000111</v>
      </c>
      <c r="E831" s="241" t="str">
        <f ca="1">IFERROR(__xludf.DUMMYFUNCTION("""COMPUTED_VALUE"""),"001")</f>
        <v>001</v>
      </c>
      <c r="F831" s="241" t="str">
        <f ca="1">IFERROR(__xludf.DUMMYFUNCTION("""COMPUTED_VALUE"""),"1117")</f>
        <v>1117</v>
      </c>
      <c r="G831" s="240" t="str">
        <f ca="1">IFERROR(__xludf.DUMMYFUNCTION("""COMPUTED_VALUE"""),"332623")</f>
        <v>332623</v>
      </c>
      <c r="H831" s="240" t="str">
        <f ca="1">IFERROR(__xludf.DUMMYFUNCTION("""COMPUTED_VALUE"""),"EJA")</f>
        <v>EJA</v>
      </c>
      <c r="I831" s="242">
        <f ca="1">IFERROR(__xludf.DUMMYFUNCTION("""COMPUTED_VALUE"""),483)</f>
        <v>483</v>
      </c>
    </row>
    <row r="832" spans="1:9" ht="21" customHeight="1">
      <c r="A832" s="240" t="str">
        <f ca="1">IFERROR(__xludf.DUMMYFUNCTION("""COMPUTED_VALUE"""),"Porto Nacional")</f>
        <v>Porto Nacional</v>
      </c>
      <c r="B832" s="240" t="str">
        <f ca="1">IFERROR(__xludf.DUMMYFUNCTION("""COMPUTED_VALUE"""),"Silvanopolis")</f>
        <v>Silvanopolis</v>
      </c>
      <c r="C832" s="240" t="str">
        <f ca="1">IFERROR(__xludf.DUMMYFUNCTION("""COMPUTED_VALUE"""),"A.A. A ESC. EST. JOAO PIRES QUERIDO")</f>
        <v>A.A. A ESC. EST. JOAO PIRES QUERIDO</v>
      </c>
      <c r="D832" s="241" t="str">
        <f ca="1">IFERROR(__xludf.DUMMYFUNCTION("""COMPUTED_VALUE"""),"01284632000197")</f>
        <v>01284632000197</v>
      </c>
      <c r="E832" s="241" t="str">
        <f ca="1">IFERROR(__xludf.DUMMYFUNCTION("""COMPUTED_VALUE"""),"001")</f>
        <v>001</v>
      </c>
      <c r="F832" s="241" t="str">
        <f ca="1">IFERROR(__xludf.DUMMYFUNCTION("""COMPUTED_VALUE"""),"3980")</f>
        <v>3980</v>
      </c>
      <c r="G832" s="240" t="str">
        <f ca="1">IFERROR(__xludf.DUMMYFUNCTION("""COMPUTED_VALUE"""),"051187")</f>
        <v>051187</v>
      </c>
      <c r="H832" s="240" t="str">
        <f ca="1">IFERROR(__xludf.DUMMYFUNCTION("""COMPUTED_VALUE"""),"EJA")</f>
        <v>EJA</v>
      </c>
      <c r="I832" s="242">
        <f ca="1">IFERROR(__xludf.DUMMYFUNCTION("""COMPUTED_VALUE"""),273)</f>
        <v>273</v>
      </c>
    </row>
    <row r="833" spans="1:9" ht="21" customHeight="1">
      <c r="A833" s="240" t="str">
        <f ca="1">IFERROR(__xludf.DUMMYFUNCTION("""COMPUTED_VALUE"""),"Porto Nacional")</f>
        <v>Porto Nacional</v>
      </c>
      <c r="B833" s="240" t="str">
        <f ca="1">IFERROR(__xludf.DUMMYFUNCTION("""COMPUTED_VALUE"""),"Silvanopolis")</f>
        <v>Silvanopolis</v>
      </c>
      <c r="C833" s="240" t="str">
        <f ca="1">IFERROR(__xludf.DUMMYFUNCTION("""COMPUTED_VALUE"""),"A.A. DA ESC. EST. JOAO DA SILVA GUIMARAES")</f>
        <v>A.A. DA ESC. EST. JOAO DA SILVA GUIMARAES</v>
      </c>
      <c r="D833" s="241" t="str">
        <f ca="1">IFERROR(__xludf.DUMMYFUNCTION("""COMPUTED_VALUE"""),"01557779000103")</f>
        <v>01557779000103</v>
      </c>
      <c r="E833" s="241" t="str">
        <f ca="1">IFERROR(__xludf.DUMMYFUNCTION("""COMPUTED_VALUE"""),"001")</f>
        <v>001</v>
      </c>
      <c r="F833" s="241" t="str">
        <f ca="1">IFERROR(__xludf.DUMMYFUNCTION("""COMPUTED_VALUE"""),"3980")</f>
        <v>3980</v>
      </c>
      <c r="G833" s="240" t="str">
        <f ca="1">IFERROR(__xludf.DUMMYFUNCTION("""COMPUTED_VALUE"""),"51292")</f>
        <v>51292</v>
      </c>
      <c r="H833" s="240" t="str">
        <f ca="1">IFERROR(__xludf.DUMMYFUNCTION("""COMPUTED_VALUE"""),"E.F. PARCIAL")</f>
        <v>E.F. PARCIAL</v>
      </c>
      <c r="I833" s="242">
        <f ca="1">IFERROR(__xludf.DUMMYFUNCTION("""COMPUTED_VALUE"""),6447)</f>
        <v>6447</v>
      </c>
    </row>
    <row r="834" spans="1:9" ht="21" customHeight="1">
      <c r="A834" s="240" t="str">
        <f ca="1">IFERROR(__xludf.DUMMYFUNCTION("""COMPUTED_VALUE"""),"Porto Nacional")</f>
        <v>Porto Nacional</v>
      </c>
      <c r="B834" s="240" t="str">
        <f ca="1">IFERROR(__xludf.DUMMYFUNCTION("""COMPUTED_VALUE"""),"Silvanopolis")</f>
        <v>Silvanopolis</v>
      </c>
      <c r="C834" s="240" t="str">
        <f ca="1">IFERROR(__xludf.DUMMYFUNCTION("""COMPUTED_VALUE"""),"A.A. DA ESC. EST. JOAO DA SILVA GUIMARAES")</f>
        <v>A.A. DA ESC. EST. JOAO DA SILVA GUIMARAES</v>
      </c>
      <c r="D834" s="241" t="str">
        <f ca="1">IFERROR(__xludf.DUMMYFUNCTION("""COMPUTED_VALUE"""),"01557779000103")</f>
        <v>01557779000103</v>
      </c>
      <c r="E834" s="241" t="str">
        <f ca="1">IFERROR(__xludf.DUMMYFUNCTION("""COMPUTED_VALUE"""),"001")</f>
        <v>001</v>
      </c>
      <c r="F834" s="241" t="str">
        <f ca="1">IFERROR(__xludf.DUMMYFUNCTION("""COMPUTED_VALUE"""),"3980")</f>
        <v>3980</v>
      </c>
      <c r="G834" s="240" t="str">
        <f ca="1">IFERROR(__xludf.DUMMYFUNCTION("""COMPUTED_VALUE"""),"51292")</f>
        <v>51292</v>
      </c>
      <c r="H834" s="240" t="str">
        <f ca="1">IFERROR(__xludf.DUMMYFUNCTION("""COMPUTED_VALUE"""),"ENS MEDIO PARCIAL")</f>
        <v>ENS MEDIO PARCIAL</v>
      </c>
      <c r="I834" s="242">
        <f ca="1">IFERROR(__xludf.DUMMYFUNCTION("""COMPUTED_VALUE"""),5187)</f>
        <v>5187</v>
      </c>
    </row>
    <row r="835" spans="1:9" ht="21" customHeight="1">
      <c r="A835" s="240" t="str">
        <f ca="1">IFERROR(__xludf.DUMMYFUNCTION("""COMPUTED_VALUE"""),"Tocantinópolis")</f>
        <v>Tocantinópolis</v>
      </c>
      <c r="B835" s="240" t="str">
        <f ca="1">IFERROR(__xludf.DUMMYFUNCTION("""COMPUTED_VALUE"""),"Aguiarnopolis")</f>
        <v>Aguiarnopolis</v>
      </c>
      <c r="C835" s="240" t="str">
        <f ca="1">IFERROR(__xludf.DUMMYFUNCTION("""COMPUTED_VALUE"""),"A.A. DA ESC. EST. NAZARÉ NUNES DA SILVA (AGUIARNOPOLIS)")</f>
        <v>A.A. DA ESC. EST. NAZARÉ NUNES DA SILVA (AGUIARNOPOLIS)</v>
      </c>
      <c r="D835" s="241" t="str">
        <f ca="1">IFERROR(__xludf.DUMMYFUNCTION("""COMPUTED_VALUE"""),"01213519000110")</f>
        <v>01213519000110</v>
      </c>
      <c r="E835" s="241" t="str">
        <f ca="1">IFERROR(__xludf.DUMMYFUNCTION("""COMPUTED_VALUE"""),"001")</f>
        <v>001</v>
      </c>
      <c r="F835" s="241" t="str">
        <f ca="1">IFERROR(__xludf.DUMMYFUNCTION("""COMPUTED_VALUE"""),"0810")</f>
        <v>0810</v>
      </c>
      <c r="G835" s="240" t="str">
        <f ca="1">IFERROR(__xludf.DUMMYFUNCTION("""COMPUTED_VALUE"""),"217727")</f>
        <v>217727</v>
      </c>
      <c r="H835" s="240" t="str">
        <f ca="1">IFERROR(__xludf.DUMMYFUNCTION("""COMPUTED_VALUE"""),"E.F. PARCIAL")</f>
        <v>E.F. PARCIAL</v>
      </c>
      <c r="I835" s="242">
        <f ca="1">IFERROR(__xludf.DUMMYFUNCTION("""COMPUTED_VALUE"""),3381)</f>
        <v>3381</v>
      </c>
    </row>
    <row r="836" spans="1:9" ht="21" customHeight="1">
      <c r="A836" s="240" t="str">
        <f ca="1">IFERROR(__xludf.DUMMYFUNCTION("""COMPUTED_VALUE"""),"Tocantinópolis")</f>
        <v>Tocantinópolis</v>
      </c>
      <c r="B836" s="240" t="str">
        <f ca="1">IFERROR(__xludf.DUMMYFUNCTION("""COMPUTED_VALUE"""),"Aguiarnopolis")</f>
        <v>Aguiarnopolis</v>
      </c>
      <c r="C836" s="240" t="str">
        <f ca="1">IFERROR(__xludf.DUMMYFUNCTION("""COMPUTED_VALUE"""),"A.A. DA ESC. EST. NAZARÉ NUNES DA SILVA (AGUIARNOPOLIS)")</f>
        <v>A.A. DA ESC. EST. NAZARÉ NUNES DA SILVA (AGUIARNOPOLIS)</v>
      </c>
      <c r="D836" s="241" t="str">
        <f ca="1">IFERROR(__xludf.DUMMYFUNCTION("""COMPUTED_VALUE"""),"01213519000110")</f>
        <v>01213519000110</v>
      </c>
      <c r="E836" s="241" t="str">
        <f ca="1">IFERROR(__xludf.DUMMYFUNCTION("""COMPUTED_VALUE"""),"001")</f>
        <v>001</v>
      </c>
      <c r="F836" s="241" t="str">
        <f ca="1">IFERROR(__xludf.DUMMYFUNCTION("""COMPUTED_VALUE"""),"0810")</f>
        <v>0810</v>
      </c>
      <c r="G836" s="240" t="str">
        <f ca="1">IFERROR(__xludf.DUMMYFUNCTION("""COMPUTED_VALUE"""),"217727")</f>
        <v>217727</v>
      </c>
      <c r="H836" s="240" t="str">
        <f ca="1">IFERROR(__xludf.DUMMYFUNCTION("""COMPUTED_VALUE"""),"ENS MEDIO PARCIAL")</f>
        <v>ENS MEDIO PARCIAL</v>
      </c>
      <c r="I836" s="242">
        <f ca="1">IFERROR(__xludf.DUMMYFUNCTION("""COMPUTED_VALUE"""),1449)</f>
        <v>1449</v>
      </c>
    </row>
    <row r="837" spans="1:9" ht="21" customHeight="1">
      <c r="A837" s="240" t="str">
        <f ca="1">IFERROR(__xludf.DUMMYFUNCTION("""COMPUTED_VALUE"""),"Tocantinópolis")</f>
        <v>Tocantinópolis</v>
      </c>
      <c r="B837" s="240" t="str">
        <f ca="1">IFERROR(__xludf.DUMMYFUNCTION("""COMPUTED_VALUE"""),"Angico")</f>
        <v>Angico</v>
      </c>
      <c r="C837" s="240" t="str">
        <f ca="1">IFERROR(__xludf.DUMMYFUNCTION("""COMPUTED_VALUE"""),"ASSOCIAÇÃO DE APOIO DO COL. EST. DULCE COELHO DE SOUSA")</f>
        <v>ASSOCIAÇÃO DE APOIO DO COL. EST. DULCE COELHO DE SOUSA</v>
      </c>
      <c r="D837" s="241" t="str">
        <f ca="1">IFERROR(__xludf.DUMMYFUNCTION("""COMPUTED_VALUE"""),"10800992000195")</f>
        <v>10800992000195</v>
      </c>
      <c r="E837" s="241" t="str">
        <f ca="1">IFERROR(__xludf.DUMMYFUNCTION("""COMPUTED_VALUE"""),"001")</f>
        <v>001</v>
      </c>
      <c r="F837" s="241" t="str">
        <f ca="1">IFERROR(__xludf.DUMMYFUNCTION("""COMPUTED_VALUE"""),"3973")</f>
        <v>3973</v>
      </c>
      <c r="G837" s="240" t="str">
        <f ca="1">IFERROR(__xludf.DUMMYFUNCTION("""COMPUTED_VALUE"""),"212792")</f>
        <v>212792</v>
      </c>
      <c r="H837" s="240" t="str">
        <f ca="1">IFERROR(__xludf.DUMMYFUNCTION("""COMPUTED_VALUE"""),"E.F. PARCIAL")</f>
        <v>E.F. PARCIAL</v>
      </c>
      <c r="I837" s="242">
        <f ca="1">IFERROR(__xludf.DUMMYFUNCTION("""COMPUTED_VALUE"""),4389)</f>
        <v>4389</v>
      </c>
    </row>
    <row r="838" spans="1:9" ht="21" customHeight="1">
      <c r="A838" s="240" t="str">
        <f ca="1">IFERROR(__xludf.DUMMYFUNCTION("""COMPUTED_VALUE"""),"Tocantinópolis")</f>
        <v>Tocantinópolis</v>
      </c>
      <c r="B838" s="240" t="str">
        <f ca="1">IFERROR(__xludf.DUMMYFUNCTION("""COMPUTED_VALUE"""),"Angico")</f>
        <v>Angico</v>
      </c>
      <c r="C838" s="240" t="str">
        <f ca="1">IFERROR(__xludf.DUMMYFUNCTION("""COMPUTED_VALUE"""),"ASSOCIAÇÃO DE APOIO DO COL. EST. DULCE COELHO DE SOUSA")</f>
        <v>ASSOCIAÇÃO DE APOIO DO COL. EST. DULCE COELHO DE SOUSA</v>
      </c>
      <c r="D838" s="241" t="str">
        <f ca="1">IFERROR(__xludf.DUMMYFUNCTION("""COMPUTED_VALUE"""),"10800992000195")</f>
        <v>10800992000195</v>
      </c>
      <c r="E838" s="241" t="str">
        <f ca="1">IFERROR(__xludf.DUMMYFUNCTION("""COMPUTED_VALUE"""),"001")</f>
        <v>001</v>
      </c>
      <c r="F838" s="241" t="str">
        <f ca="1">IFERROR(__xludf.DUMMYFUNCTION("""COMPUTED_VALUE"""),"3973")</f>
        <v>3973</v>
      </c>
      <c r="G838" s="240" t="str">
        <f ca="1">IFERROR(__xludf.DUMMYFUNCTION("""COMPUTED_VALUE"""),"212792")</f>
        <v>212792</v>
      </c>
      <c r="H838" s="240" t="str">
        <f ca="1">IFERROR(__xludf.DUMMYFUNCTION("""COMPUTED_VALUE"""),"AEE")</f>
        <v>AEE</v>
      </c>
      <c r="I838" s="242">
        <f ca="1">IFERROR(__xludf.DUMMYFUNCTION("""COMPUTED_VALUE"""),357)</f>
        <v>357</v>
      </c>
    </row>
    <row r="839" spans="1:9" ht="21" customHeight="1">
      <c r="A839" s="240" t="str">
        <f ca="1">IFERROR(__xludf.DUMMYFUNCTION("""COMPUTED_VALUE"""),"Tocantinópolis")</f>
        <v>Tocantinópolis</v>
      </c>
      <c r="B839" s="240" t="str">
        <f ca="1">IFERROR(__xludf.DUMMYFUNCTION("""COMPUTED_VALUE"""),"Angico")</f>
        <v>Angico</v>
      </c>
      <c r="C839" s="240" t="str">
        <f ca="1">IFERROR(__xludf.DUMMYFUNCTION("""COMPUTED_VALUE"""),"ASSOCIAÇÃO DE APOIO DO COL. EST. DULCE COELHO DE SOUSA")</f>
        <v>ASSOCIAÇÃO DE APOIO DO COL. EST. DULCE COELHO DE SOUSA</v>
      </c>
      <c r="D839" s="241" t="str">
        <f ca="1">IFERROR(__xludf.DUMMYFUNCTION("""COMPUTED_VALUE"""),"10800992000195")</f>
        <v>10800992000195</v>
      </c>
      <c r="E839" s="241" t="str">
        <f ca="1">IFERROR(__xludf.DUMMYFUNCTION("""COMPUTED_VALUE"""),"001")</f>
        <v>001</v>
      </c>
      <c r="F839" s="241" t="str">
        <f ca="1">IFERROR(__xludf.DUMMYFUNCTION("""COMPUTED_VALUE"""),"3973")</f>
        <v>3973</v>
      </c>
      <c r="G839" s="240" t="str">
        <f ca="1">IFERROR(__xludf.DUMMYFUNCTION("""COMPUTED_VALUE"""),"212792")</f>
        <v>212792</v>
      </c>
      <c r="H839" s="240" t="str">
        <f ca="1">IFERROR(__xludf.DUMMYFUNCTION("""COMPUTED_VALUE"""),"ENS MEDIO PARCIAL")</f>
        <v>ENS MEDIO PARCIAL</v>
      </c>
      <c r="I839" s="242">
        <f ca="1">IFERROR(__xludf.DUMMYFUNCTION("""COMPUTED_VALUE"""),2919)</f>
        <v>2919</v>
      </c>
    </row>
    <row r="840" spans="1:9" ht="21" customHeight="1">
      <c r="A840" s="240" t="str">
        <f ca="1">IFERROR(__xludf.DUMMYFUNCTION("""COMPUTED_VALUE"""),"Tocantinópolis")</f>
        <v>Tocantinópolis</v>
      </c>
      <c r="B840" s="240" t="str">
        <f ca="1">IFERROR(__xludf.DUMMYFUNCTION("""COMPUTED_VALUE"""),"Cachoeirinha")</f>
        <v>Cachoeirinha</v>
      </c>
      <c r="C840" s="240" t="str">
        <f ca="1">IFERROR(__xludf.DUMMYFUNCTION("""COMPUTED_VALUE"""),"A.A. E. EST. NOVA DA CACHOEIRINHA/RAIMUNDO NONATO TORRES")</f>
        <v>A.A. E. EST. NOVA DA CACHOEIRINHA/RAIMUNDO NONATO TORRES</v>
      </c>
      <c r="D840" s="241" t="str">
        <f ca="1">IFERROR(__xludf.DUMMYFUNCTION("""COMPUTED_VALUE"""),"01213535000103")</f>
        <v>01213535000103</v>
      </c>
      <c r="E840" s="241" t="str">
        <f ca="1">IFERROR(__xludf.DUMMYFUNCTION("""COMPUTED_VALUE"""),"001")</f>
        <v>001</v>
      </c>
      <c r="F840" s="241" t="str">
        <f ca="1">IFERROR(__xludf.DUMMYFUNCTION("""COMPUTED_VALUE"""),"0810")</f>
        <v>0810</v>
      </c>
      <c r="G840" s="240" t="str">
        <f ca="1">IFERROR(__xludf.DUMMYFUNCTION("""COMPUTED_VALUE"""),"0217689")</f>
        <v>0217689</v>
      </c>
      <c r="H840" s="240" t="str">
        <f ca="1">IFERROR(__xludf.DUMMYFUNCTION("""COMPUTED_VALUE"""),"E.F. PARCIAL")</f>
        <v>E.F. PARCIAL</v>
      </c>
      <c r="I840" s="242">
        <f ca="1">IFERROR(__xludf.DUMMYFUNCTION("""COMPUTED_VALUE"""),2583)</f>
        <v>2583</v>
      </c>
    </row>
    <row r="841" spans="1:9" ht="21" customHeight="1">
      <c r="A841" s="240" t="str">
        <f ca="1">IFERROR(__xludf.DUMMYFUNCTION("""COMPUTED_VALUE"""),"Tocantinópolis")</f>
        <v>Tocantinópolis</v>
      </c>
      <c r="B841" s="240" t="str">
        <f ca="1">IFERROR(__xludf.DUMMYFUNCTION("""COMPUTED_VALUE"""),"Cachoeirinha")</f>
        <v>Cachoeirinha</v>
      </c>
      <c r="C841" s="240" t="str">
        <f ca="1">IFERROR(__xludf.DUMMYFUNCTION("""COMPUTED_VALUE"""),"A.A. E. EST. NOVA DA CACHOEIRINHA/RAIMUNDO NONATO TORRES")</f>
        <v>A.A. E. EST. NOVA DA CACHOEIRINHA/RAIMUNDO NONATO TORRES</v>
      </c>
      <c r="D841" s="241" t="str">
        <f ca="1">IFERROR(__xludf.DUMMYFUNCTION("""COMPUTED_VALUE"""),"01213535000103")</f>
        <v>01213535000103</v>
      </c>
      <c r="E841" s="241" t="str">
        <f ca="1">IFERROR(__xludf.DUMMYFUNCTION("""COMPUTED_VALUE"""),"001")</f>
        <v>001</v>
      </c>
      <c r="F841" s="241" t="str">
        <f ca="1">IFERROR(__xludf.DUMMYFUNCTION("""COMPUTED_VALUE"""),"0810")</f>
        <v>0810</v>
      </c>
      <c r="G841" s="240" t="str">
        <f ca="1">IFERROR(__xludf.DUMMYFUNCTION("""COMPUTED_VALUE"""),"0217689")</f>
        <v>0217689</v>
      </c>
      <c r="H841" s="240" t="str">
        <f ca="1">IFERROR(__xludf.DUMMYFUNCTION("""COMPUTED_VALUE"""),"AEE")</f>
        <v>AEE</v>
      </c>
      <c r="I841" s="242">
        <f ca="1">IFERROR(__xludf.DUMMYFUNCTION("""COMPUTED_VALUE"""),231)</f>
        <v>231</v>
      </c>
    </row>
    <row r="842" spans="1:9" ht="21" customHeight="1">
      <c r="A842" s="240" t="str">
        <f ca="1">IFERROR(__xludf.DUMMYFUNCTION("""COMPUTED_VALUE"""),"Tocantinópolis")</f>
        <v>Tocantinópolis</v>
      </c>
      <c r="B842" s="240" t="str">
        <f ca="1">IFERROR(__xludf.DUMMYFUNCTION("""COMPUTED_VALUE"""),"Cachoeirinha")</f>
        <v>Cachoeirinha</v>
      </c>
      <c r="C842" s="240" t="str">
        <f ca="1">IFERROR(__xludf.DUMMYFUNCTION("""COMPUTED_VALUE"""),"A.A. E. EST. NOVA DA CACHOEIRINHA/RAIMUNDO NONATO TORRES")</f>
        <v>A.A. E. EST. NOVA DA CACHOEIRINHA/RAIMUNDO NONATO TORRES</v>
      </c>
      <c r="D842" s="241" t="str">
        <f ca="1">IFERROR(__xludf.DUMMYFUNCTION("""COMPUTED_VALUE"""),"01213535000103")</f>
        <v>01213535000103</v>
      </c>
      <c r="E842" s="241" t="str">
        <f ca="1">IFERROR(__xludf.DUMMYFUNCTION("""COMPUTED_VALUE"""),"001")</f>
        <v>001</v>
      </c>
      <c r="F842" s="241" t="str">
        <f ca="1">IFERROR(__xludf.DUMMYFUNCTION("""COMPUTED_VALUE"""),"0810")</f>
        <v>0810</v>
      </c>
      <c r="G842" s="240" t="str">
        <f ca="1">IFERROR(__xludf.DUMMYFUNCTION("""COMPUTED_VALUE"""),"0217689")</f>
        <v>0217689</v>
      </c>
      <c r="H842" s="240" t="str">
        <f ca="1">IFERROR(__xludf.DUMMYFUNCTION("""COMPUTED_VALUE"""),"ENS MEDIO PARCIAL")</f>
        <v>ENS MEDIO PARCIAL</v>
      </c>
      <c r="I842" s="242">
        <f ca="1">IFERROR(__xludf.DUMMYFUNCTION("""COMPUTED_VALUE"""),2016)</f>
        <v>2016</v>
      </c>
    </row>
    <row r="843" spans="1:9" ht="21" customHeight="1">
      <c r="A843" s="240" t="str">
        <f ca="1">IFERROR(__xludf.DUMMYFUNCTION("""COMPUTED_VALUE"""),"Tocantinópolis")</f>
        <v>Tocantinópolis</v>
      </c>
      <c r="B843" s="240" t="str">
        <f ca="1">IFERROR(__xludf.DUMMYFUNCTION("""COMPUTED_VALUE"""),"darcinopolis")</f>
        <v>darcinopolis</v>
      </c>
      <c r="C843" s="240" t="str">
        <f ca="1">IFERROR(__xludf.DUMMYFUNCTION("""COMPUTED_VALUE"""),"A. APOIO COL. EST. JOSE DE SOUZA PORTO")</f>
        <v>A. APOIO COL. EST. JOSE DE SOUZA PORTO</v>
      </c>
      <c r="D843" s="241" t="str">
        <f ca="1">IFERROR(__xludf.DUMMYFUNCTION("""COMPUTED_VALUE"""),"01213532000170")</f>
        <v>01213532000170</v>
      </c>
      <c r="E843" s="241" t="str">
        <f ca="1">IFERROR(__xludf.DUMMYFUNCTION("""COMPUTED_VALUE"""),"001")</f>
        <v>001</v>
      </c>
      <c r="F843" s="241" t="str">
        <f ca="1">IFERROR(__xludf.DUMMYFUNCTION("""COMPUTED_VALUE"""),"0810")</f>
        <v>0810</v>
      </c>
      <c r="G843" s="240" t="str">
        <f ca="1">IFERROR(__xludf.DUMMYFUNCTION("""COMPUTED_VALUE"""),"25739")</f>
        <v>25739</v>
      </c>
      <c r="H843" s="240" t="str">
        <f ca="1">IFERROR(__xludf.DUMMYFUNCTION("""COMPUTED_VALUE"""),"E.F. PARCIAL")</f>
        <v>E.F. PARCIAL</v>
      </c>
      <c r="I843" s="242">
        <f ca="1">IFERROR(__xludf.DUMMYFUNCTION("""COMPUTED_VALUE"""),10521)</f>
        <v>10521</v>
      </c>
    </row>
    <row r="844" spans="1:9" ht="21" customHeight="1">
      <c r="A844" s="240" t="str">
        <f ca="1">IFERROR(__xludf.DUMMYFUNCTION("""COMPUTED_VALUE"""),"Tocantinópolis")</f>
        <v>Tocantinópolis</v>
      </c>
      <c r="B844" s="240" t="str">
        <f ca="1">IFERROR(__xludf.DUMMYFUNCTION("""COMPUTED_VALUE"""),"darcinopolis")</f>
        <v>darcinopolis</v>
      </c>
      <c r="C844" s="240" t="str">
        <f ca="1">IFERROR(__xludf.DUMMYFUNCTION("""COMPUTED_VALUE"""),"A. APOIO COL. EST. JOSE DE SOUZA PORTO")</f>
        <v>A. APOIO COL. EST. JOSE DE SOUZA PORTO</v>
      </c>
      <c r="D844" s="241" t="str">
        <f ca="1">IFERROR(__xludf.DUMMYFUNCTION("""COMPUTED_VALUE"""),"01213532000170")</f>
        <v>01213532000170</v>
      </c>
      <c r="E844" s="241" t="str">
        <f ca="1">IFERROR(__xludf.DUMMYFUNCTION("""COMPUTED_VALUE"""),"001")</f>
        <v>001</v>
      </c>
      <c r="F844" s="241" t="str">
        <f ca="1">IFERROR(__xludf.DUMMYFUNCTION("""COMPUTED_VALUE"""),"0810")</f>
        <v>0810</v>
      </c>
      <c r="G844" s="240" t="str">
        <f ca="1">IFERROR(__xludf.DUMMYFUNCTION("""COMPUTED_VALUE"""),"25739")</f>
        <v>25739</v>
      </c>
      <c r="H844" s="240" t="str">
        <f ca="1">IFERROR(__xludf.DUMMYFUNCTION("""COMPUTED_VALUE"""),"AEE")</f>
        <v>AEE</v>
      </c>
      <c r="I844" s="242">
        <f ca="1">IFERROR(__xludf.DUMMYFUNCTION("""COMPUTED_VALUE"""),525)</f>
        <v>525</v>
      </c>
    </row>
    <row r="845" spans="1:9" ht="21" customHeight="1">
      <c r="A845" s="240" t="str">
        <f ca="1">IFERROR(__xludf.DUMMYFUNCTION("""COMPUTED_VALUE"""),"Tocantinópolis")</f>
        <v>Tocantinópolis</v>
      </c>
      <c r="B845" s="240" t="str">
        <f ca="1">IFERROR(__xludf.DUMMYFUNCTION("""COMPUTED_VALUE"""),"darcinopolis")</f>
        <v>darcinopolis</v>
      </c>
      <c r="C845" s="240" t="str">
        <f ca="1">IFERROR(__xludf.DUMMYFUNCTION("""COMPUTED_VALUE"""),"A. APOIO COL. EST. JOSE DE SOUZA PORTO")</f>
        <v>A. APOIO COL. EST. JOSE DE SOUZA PORTO</v>
      </c>
      <c r="D845" s="241" t="str">
        <f ca="1">IFERROR(__xludf.DUMMYFUNCTION("""COMPUTED_VALUE"""),"01213532000170")</f>
        <v>01213532000170</v>
      </c>
      <c r="E845" s="241" t="str">
        <f ca="1">IFERROR(__xludf.DUMMYFUNCTION("""COMPUTED_VALUE"""),"001")</f>
        <v>001</v>
      </c>
      <c r="F845" s="241" t="str">
        <f ca="1">IFERROR(__xludf.DUMMYFUNCTION("""COMPUTED_VALUE"""),"0810")</f>
        <v>0810</v>
      </c>
      <c r="G845" s="240" t="str">
        <f ca="1">IFERROR(__xludf.DUMMYFUNCTION("""COMPUTED_VALUE"""),"25739")</f>
        <v>25739</v>
      </c>
      <c r="H845" s="240" t="str">
        <f ca="1">IFERROR(__xludf.DUMMYFUNCTION("""COMPUTED_VALUE"""),"ENS MEDIO PARCIAL")</f>
        <v>ENS MEDIO PARCIAL</v>
      </c>
      <c r="I845" s="242">
        <f ca="1">IFERROR(__xludf.DUMMYFUNCTION("""COMPUTED_VALUE"""),5859)</f>
        <v>5859</v>
      </c>
    </row>
    <row r="846" spans="1:9" ht="21" customHeight="1">
      <c r="A846" s="240" t="str">
        <f ca="1">IFERROR(__xludf.DUMMYFUNCTION("""COMPUTED_VALUE"""),"Tocantinópolis")</f>
        <v>Tocantinópolis</v>
      </c>
      <c r="B846" s="240" t="str">
        <f ca="1">IFERROR(__xludf.DUMMYFUNCTION("""COMPUTED_VALUE"""),"Itaguatins")</f>
        <v>Itaguatins</v>
      </c>
      <c r="C846" s="240" t="str">
        <f ca="1">IFERROR(__xludf.DUMMYFUNCTION("""COMPUTED_VALUE"""),"ASS. DE APOIO ESC. EST. OLAVO BILAC")</f>
        <v>ASS. DE APOIO ESC. EST. OLAVO BILAC</v>
      </c>
      <c r="D846" s="241" t="str">
        <f ca="1">IFERROR(__xludf.DUMMYFUNCTION("""COMPUTED_VALUE"""),"01358337000138")</f>
        <v>01358337000138</v>
      </c>
      <c r="E846" s="241" t="str">
        <f ca="1">IFERROR(__xludf.DUMMYFUNCTION("""COMPUTED_VALUE"""),"001")</f>
        <v>001</v>
      </c>
      <c r="F846" s="241" t="str">
        <f ca="1">IFERROR(__xludf.DUMMYFUNCTION("""COMPUTED_VALUE"""),"0810")</f>
        <v>0810</v>
      </c>
      <c r="G846" s="240" t="str">
        <f ca="1">IFERROR(__xludf.DUMMYFUNCTION("""COMPUTED_VALUE"""),"218391")</f>
        <v>218391</v>
      </c>
      <c r="H846" s="240" t="str">
        <f ca="1">IFERROR(__xludf.DUMMYFUNCTION("""COMPUTED_VALUE"""),"E.F. PARCIAL")</f>
        <v>E.F. PARCIAL</v>
      </c>
      <c r="I846" s="242">
        <f ca="1">IFERROR(__xludf.DUMMYFUNCTION("""COMPUTED_VALUE"""),1281)</f>
        <v>1281</v>
      </c>
    </row>
    <row r="847" spans="1:9" ht="21" customHeight="1">
      <c r="A847" s="240" t="str">
        <f ca="1">IFERROR(__xludf.DUMMYFUNCTION("""COMPUTED_VALUE"""),"Tocantinópolis")</f>
        <v>Tocantinópolis</v>
      </c>
      <c r="B847" s="240" t="str">
        <f ca="1">IFERROR(__xludf.DUMMYFUNCTION("""COMPUTED_VALUE"""),"Itaguatins")</f>
        <v>Itaguatins</v>
      </c>
      <c r="C847" s="240" t="str">
        <f ca="1">IFERROR(__xludf.DUMMYFUNCTION("""COMPUTED_VALUE"""),"ASS. DE APOIO ESC. EST. OLAVO BILAC")</f>
        <v>ASS. DE APOIO ESC. EST. OLAVO BILAC</v>
      </c>
      <c r="D847" s="241" t="str">
        <f ca="1">IFERROR(__xludf.DUMMYFUNCTION("""COMPUTED_VALUE"""),"01358337000138")</f>
        <v>01358337000138</v>
      </c>
      <c r="E847" s="241" t="str">
        <f ca="1">IFERROR(__xludf.DUMMYFUNCTION("""COMPUTED_VALUE"""),"001")</f>
        <v>001</v>
      </c>
      <c r="F847" s="241" t="str">
        <f ca="1">IFERROR(__xludf.DUMMYFUNCTION("""COMPUTED_VALUE"""),"0810")</f>
        <v>0810</v>
      </c>
      <c r="G847" s="240" t="str">
        <f ca="1">IFERROR(__xludf.DUMMYFUNCTION("""COMPUTED_VALUE"""),"218391")</f>
        <v>218391</v>
      </c>
      <c r="H847" s="240" t="str">
        <f ca="1">IFERROR(__xludf.DUMMYFUNCTION("""COMPUTED_VALUE"""),"ENS MEDIO PARCIAL")</f>
        <v>ENS MEDIO PARCIAL</v>
      </c>
      <c r="I847" s="242">
        <f ca="1">IFERROR(__xludf.DUMMYFUNCTION("""COMPUTED_VALUE"""),4452)</f>
        <v>4452</v>
      </c>
    </row>
    <row r="848" spans="1:9" ht="21" customHeight="1">
      <c r="A848" s="240" t="str">
        <f ca="1">IFERROR(__xludf.DUMMYFUNCTION("""COMPUTED_VALUE"""),"Tocantinópolis")</f>
        <v>Tocantinópolis</v>
      </c>
      <c r="B848" s="240" t="str">
        <f ca="1">IFERROR(__xludf.DUMMYFUNCTION("""COMPUTED_VALUE"""),"Itaguatins")</f>
        <v>Itaguatins</v>
      </c>
      <c r="C848" s="240" t="str">
        <f ca="1">IFERROR(__xludf.DUMMYFUNCTION("""COMPUTED_VALUE"""),"ASS. DE APOIO ESC. EST. OLAVO BILAC")</f>
        <v>ASS. DE APOIO ESC. EST. OLAVO BILAC</v>
      </c>
      <c r="D848" s="241" t="str">
        <f ca="1">IFERROR(__xludf.DUMMYFUNCTION("""COMPUTED_VALUE"""),"01358337000138")</f>
        <v>01358337000138</v>
      </c>
      <c r="E848" s="241" t="str">
        <f ca="1">IFERROR(__xludf.DUMMYFUNCTION("""COMPUTED_VALUE"""),"001")</f>
        <v>001</v>
      </c>
      <c r="F848" s="241" t="str">
        <f ca="1">IFERROR(__xludf.DUMMYFUNCTION("""COMPUTED_VALUE"""),"0810")</f>
        <v>0810</v>
      </c>
      <c r="G848" s="240" t="str">
        <f ca="1">IFERROR(__xludf.DUMMYFUNCTION("""COMPUTED_VALUE"""),"218391")</f>
        <v>218391</v>
      </c>
      <c r="H848" s="240" t="str">
        <f ca="1">IFERROR(__xludf.DUMMYFUNCTION("""COMPUTED_VALUE"""),"EJA")</f>
        <v>EJA</v>
      </c>
      <c r="I848" s="242">
        <f ca="1">IFERROR(__xludf.DUMMYFUNCTION("""COMPUTED_VALUE"""),336)</f>
        <v>336</v>
      </c>
    </row>
    <row r="849" spans="1:9" ht="21" customHeight="1">
      <c r="A849" s="240" t="str">
        <f ca="1">IFERROR(__xludf.DUMMYFUNCTION("""COMPUTED_VALUE"""),"Tocantinópolis")</f>
        <v>Tocantinópolis</v>
      </c>
      <c r="B849" s="240" t="str">
        <f ca="1">IFERROR(__xludf.DUMMYFUNCTION("""COMPUTED_VALUE"""),"Luzinopolis")</f>
        <v>Luzinopolis</v>
      </c>
      <c r="C849" s="240" t="str">
        <f ca="1">IFERROR(__xludf.DUMMYFUNCTION("""COMPUTED_VALUE"""),"ASS. AP.A ESC. EST. JUSCELINO K.DE OLIVEIRA")</f>
        <v>ASS. AP.A ESC. EST. JUSCELINO K.DE OLIVEIRA</v>
      </c>
      <c r="D849" s="241" t="str">
        <f ca="1">IFERROR(__xludf.DUMMYFUNCTION("""COMPUTED_VALUE"""),"01230232000107")</f>
        <v>01230232000107</v>
      </c>
      <c r="E849" s="241" t="str">
        <f ca="1">IFERROR(__xludf.DUMMYFUNCTION("""COMPUTED_VALUE"""),"001")</f>
        <v>001</v>
      </c>
      <c r="F849" s="241" t="str">
        <f ca="1">IFERROR(__xludf.DUMMYFUNCTION("""COMPUTED_VALUE"""),"0810")</f>
        <v>0810</v>
      </c>
      <c r="G849" s="240" t="str">
        <f ca="1">IFERROR(__xludf.DUMMYFUNCTION("""COMPUTED_VALUE"""),"022135X")</f>
        <v>022135X</v>
      </c>
      <c r="H849" s="240" t="str">
        <f ca="1">IFERROR(__xludf.DUMMYFUNCTION("""COMPUTED_VALUE"""),"E.F. PARCIAL")</f>
        <v>E.F. PARCIAL</v>
      </c>
      <c r="I849" s="242">
        <f ca="1">IFERROR(__xludf.DUMMYFUNCTION("""COMPUTED_VALUE"""),4977)</f>
        <v>4977</v>
      </c>
    </row>
    <row r="850" spans="1:9" ht="21" customHeight="1">
      <c r="A850" s="240" t="str">
        <f ca="1">IFERROR(__xludf.DUMMYFUNCTION("""COMPUTED_VALUE"""),"Tocantinópolis")</f>
        <v>Tocantinópolis</v>
      </c>
      <c r="B850" s="240" t="str">
        <f ca="1">IFERROR(__xludf.DUMMYFUNCTION("""COMPUTED_VALUE"""),"Luzinopolis")</f>
        <v>Luzinopolis</v>
      </c>
      <c r="C850" s="240" t="str">
        <f ca="1">IFERROR(__xludf.DUMMYFUNCTION("""COMPUTED_VALUE"""),"ASS. AP.A ESC. EST. JUSCELINO K.DE OLIVEIRA")</f>
        <v>ASS. AP.A ESC. EST. JUSCELINO K.DE OLIVEIRA</v>
      </c>
      <c r="D850" s="241" t="str">
        <f ca="1">IFERROR(__xludf.DUMMYFUNCTION("""COMPUTED_VALUE"""),"01230232000107")</f>
        <v>01230232000107</v>
      </c>
      <c r="E850" s="241" t="str">
        <f ca="1">IFERROR(__xludf.DUMMYFUNCTION("""COMPUTED_VALUE"""),"001")</f>
        <v>001</v>
      </c>
      <c r="F850" s="241" t="str">
        <f ca="1">IFERROR(__xludf.DUMMYFUNCTION("""COMPUTED_VALUE"""),"0810")</f>
        <v>0810</v>
      </c>
      <c r="G850" s="240" t="str">
        <f ca="1">IFERROR(__xludf.DUMMYFUNCTION("""COMPUTED_VALUE"""),"022135X")</f>
        <v>022135X</v>
      </c>
      <c r="H850" s="240" t="str">
        <f ca="1">IFERROR(__xludf.DUMMYFUNCTION("""COMPUTED_VALUE"""),"ENS MEDIO PARCIAL")</f>
        <v>ENS MEDIO PARCIAL</v>
      </c>
      <c r="I850" s="242">
        <f ca="1">IFERROR(__xludf.DUMMYFUNCTION("""COMPUTED_VALUE"""),3612)</f>
        <v>3612</v>
      </c>
    </row>
    <row r="851" spans="1:9" ht="21" customHeight="1">
      <c r="A851" s="240" t="str">
        <f ca="1">IFERROR(__xludf.DUMMYFUNCTION("""COMPUTED_VALUE"""),"Tocantinópolis")</f>
        <v>Tocantinópolis</v>
      </c>
      <c r="B851" s="240" t="str">
        <f ca="1">IFERROR(__xludf.DUMMYFUNCTION("""COMPUTED_VALUE"""),"Maurilandia do Tocantins")</f>
        <v>Maurilandia do Tocantins</v>
      </c>
      <c r="C851" s="240" t="str">
        <f ca="1">IFERROR(__xludf.DUMMYFUNCTION("""COMPUTED_VALUE"""),"A.A.  DA ESC. EST.PEDRO LUDOVICO TEIXEIRA")</f>
        <v>A.A.  DA ESC. EST.PEDRO LUDOVICO TEIXEIRA</v>
      </c>
      <c r="D851" s="241" t="str">
        <f ca="1">IFERROR(__xludf.DUMMYFUNCTION("""COMPUTED_VALUE"""),"01213528000101")</f>
        <v>01213528000101</v>
      </c>
      <c r="E851" s="241" t="str">
        <f ca="1">IFERROR(__xludf.DUMMYFUNCTION("""COMPUTED_VALUE"""),"001")</f>
        <v>001</v>
      </c>
      <c r="F851" s="241" t="str">
        <f ca="1">IFERROR(__xludf.DUMMYFUNCTION("""COMPUTED_VALUE"""),"0810")</f>
        <v>0810</v>
      </c>
      <c r="G851" s="240" t="str">
        <f ca="1">IFERROR(__xludf.DUMMYFUNCTION("""COMPUTED_VALUE"""),"0217670")</f>
        <v>0217670</v>
      </c>
      <c r="H851" s="240" t="str">
        <f ca="1">IFERROR(__xludf.DUMMYFUNCTION("""COMPUTED_VALUE"""),"E.F. PARCIAL")</f>
        <v>E.F. PARCIAL</v>
      </c>
      <c r="I851" s="242">
        <f ca="1">IFERROR(__xludf.DUMMYFUNCTION("""COMPUTED_VALUE"""),1239)</f>
        <v>1239</v>
      </c>
    </row>
    <row r="852" spans="1:9" ht="21" customHeight="1">
      <c r="A852" s="240" t="str">
        <f ca="1">IFERROR(__xludf.DUMMYFUNCTION("""COMPUTED_VALUE"""),"Tocantinópolis")</f>
        <v>Tocantinópolis</v>
      </c>
      <c r="B852" s="240" t="str">
        <f ca="1">IFERROR(__xludf.DUMMYFUNCTION("""COMPUTED_VALUE"""),"Maurilandia do Tocantins")</f>
        <v>Maurilandia do Tocantins</v>
      </c>
      <c r="C852" s="240" t="str">
        <f ca="1">IFERROR(__xludf.DUMMYFUNCTION("""COMPUTED_VALUE"""),"A.A.  DA ESC. EST.PEDRO LUDOVICO TEIXEIRA")</f>
        <v>A.A.  DA ESC. EST.PEDRO LUDOVICO TEIXEIRA</v>
      </c>
      <c r="D852" s="241" t="str">
        <f ca="1">IFERROR(__xludf.DUMMYFUNCTION("""COMPUTED_VALUE"""),"01213528000101")</f>
        <v>01213528000101</v>
      </c>
      <c r="E852" s="241" t="str">
        <f ca="1">IFERROR(__xludf.DUMMYFUNCTION("""COMPUTED_VALUE"""),"001")</f>
        <v>001</v>
      </c>
      <c r="F852" s="241" t="str">
        <f ca="1">IFERROR(__xludf.DUMMYFUNCTION("""COMPUTED_VALUE"""),"0810")</f>
        <v>0810</v>
      </c>
      <c r="G852" s="240" t="str">
        <f ca="1">IFERROR(__xludf.DUMMYFUNCTION("""COMPUTED_VALUE"""),"0217670")</f>
        <v>0217670</v>
      </c>
      <c r="H852" s="240" t="str">
        <f ca="1">IFERROR(__xludf.DUMMYFUNCTION("""COMPUTED_VALUE"""),"ENS MEDIO PARCIAL")</f>
        <v>ENS MEDIO PARCIAL</v>
      </c>
      <c r="I852" s="242">
        <f ca="1">IFERROR(__xludf.DUMMYFUNCTION("""COMPUTED_VALUE"""),3276)</f>
        <v>3276</v>
      </c>
    </row>
    <row r="853" spans="1:9" ht="21" customHeight="1">
      <c r="A853" s="240" t="str">
        <f ca="1">IFERROR(__xludf.DUMMYFUNCTION("""COMPUTED_VALUE"""),"Tocantinópolis")</f>
        <v>Tocantinópolis</v>
      </c>
      <c r="B853" s="240" t="str">
        <f ca="1">IFERROR(__xludf.DUMMYFUNCTION("""COMPUTED_VALUE"""),"Nazare")</f>
        <v>Nazare</v>
      </c>
      <c r="C853" s="240" t="str">
        <f ca="1">IFERROR(__xludf.DUMMYFUNCTION("""COMPUTED_VALUE"""),"A.DO COLEGIO EST.PRES.CASTELO BRANCO")</f>
        <v>A.DO COLEGIO EST.PRES.CASTELO BRANCO</v>
      </c>
      <c r="D853" s="241" t="str">
        <f ca="1">IFERROR(__xludf.DUMMYFUNCTION("""COMPUTED_VALUE"""),"01213522000134")</f>
        <v>01213522000134</v>
      </c>
      <c r="E853" s="241" t="str">
        <f ca="1">IFERROR(__xludf.DUMMYFUNCTION("""COMPUTED_VALUE"""),"001")</f>
        <v>001</v>
      </c>
      <c r="F853" s="241" t="str">
        <f ca="1">IFERROR(__xludf.DUMMYFUNCTION("""COMPUTED_VALUE"""),"0810")</f>
        <v>0810</v>
      </c>
      <c r="G853" s="240" t="str">
        <f ca="1">IFERROR(__xludf.DUMMYFUNCTION("""COMPUTED_VALUE"""),"217859")</f>
        <v>217859</v>
      </c>
      <c r="H853" s="240" t="str">
        <f ca="1">IFERROR(__xludf.DUMMYFUNCTION("""COMPUTED_VALUE"""),"E.F. PARCIAL")</f>
        <v>E.F. PARCIAL</v>
      </c>
      <c r="I853" s="242">
        <f ca="1">IFERROR(__xludf.DUMMYFUNCTION("""COMPUTED_VALUE"""),4326)</f>
        <v>4326</v>
      </c>
    </row>
    <row r="854" spans="1:9" ht="21" customHeight="1">
      <c r="A854" s="240" t="str">
        <f ca="1">IFERROR(__xludf.DUMMYFUNCTION("""COMPUTED_VALUE"""),"Tocantinópolis")</f>
        <v>Tocantinópolis</v>
      </c>
      <c r="B854" s="240" t="str">
        <f ca="1">IFERROR(__xludf.DUMMYFUNCTION("""COMPUTED_VALUE"""),"Nazare")</f>
        <v>Nazare</v>
      </c>
      <c r="C854" s="240" t="str">
        <f ca="1">IFERROR(__xludf.DUMMYFUNCTION("""COMPUTED_VALUE"""),"A.DO COLEGIO EST.PRES.CASTELO BRANCO")</f>
        <v>A.DO COLEGIO EST.PRES.CASTELO BRANCO</v>
      </c>
      <c r="D854" s="241" t="str">
        <f ca="1">IFERROR(__xludf.DUMMYFUNCTION("""COMPUTED_VALUE"""),"01213522000134")</f>
        <v>01213522000134</v>
      </c>
      <c r="E854" s="241" t="str">
        <f ca="1">IFERROR(__xludf.DUMMYFUNCTION("""COMPUTED_VALUE"""),"001")</f>
        <v>001</v>
      </c>
      <c r="F854" s="241" t="str">
        <f ca="1">IFERROR(__xludf.DUMMYFUNCTION("""COMPUTED_VALUE"""),"0810")</f>
        <v>0810</v>
      </c>
      <c r="G854" s="240" t="str">
        <f ca="1">IFERROR(__xludf.DUMMYFUNCTION("""COMPUTED_VALUE"""),"217859")</f>
        <v>217859</v>
      </c>
      <c r="H854" s="240" t="str">
        <f ca="1">IFERROR(__xludf.DUMMYFUNCTION("""COMPUTED_VALUE"""),"AEE")</f>
        <v>AEE</v>
      </c>
      <c r="I854" s="242">
        <f ca="1">IFERROR(__xludf.DUMMYFUNCTION("""COMPUTED_VALUE"""),441)</f>
        <v>441</v>
      </c>
    </row>
    <row r="855" spans="1:9" ht="21" customHeight="1">
      <c r="A855" s="240" t="str">
        <f ca="1">IFERROR(__xludf.DUMMYFUNCTION("""COMPUTED_VALUE"""),"Tocantinópolis")</f>
        <v>Tocantinópolis</v>
      </c>
      <c r="B855" s="240" t="str">
        <f ca="1">IFERROR(__xludf.DUMMYFUNCTION("""COMPUTED_VALUE"""),"Nazare")</f>
        <v>Nazare</v>
      </c>
      <c r="C855" s="240" t="str">
        <f ca="1">IFERROR(__xludf.DUMMYFUNCTION("""COMPUTED_VALUE"""),"A.DO COLEGIO EST.PRES.CASTELO BRANCO")</f>
        <v>A.DO COLEGIO EST.PRES.CASTELO BRANCO</v>
      </c>
      <c r="D855" s="241" t="str">
        <f ca="1">IFERROR(__xludf.DUMMYFUNCTION("""COMPUTED_VALUE"""),"01213522000134")</f>
        <v>01213522000134</v>
      </c>
      <c r="E855" s="241" t="str">
        <f ca="1">IFERROR(__xludf.DUMMYFUNCTION("""COMPUTED_VALUE"""),"001")</f>
        <v>001</v>
      </c>
      <c r="F855" s="241" t="str">
        <f ca="1">IFERROR(__xludf.DUMMYFUNCTION("""COMPUTED_VALUE"""),"0810")</f>
        <v>0810</v>
      </c>
      <c r="G855" s="240" t="str">
        <f ca="1">IFERROR(__xludf.DUMMYFUNCTION("""COMPUTED_VALUE"""),"217859")</f>
        <v>217859</v>
      </c>
      <c r="H855" s="240" t="str">
        <f ca="1">IFERROR(__xludf.DUMMYFUNCTION("""COMPUTED_VALUE"""),"ENS MEDIO PARCIAL")</f>
        <v>ENS MEDIO PARCIAL</v>
      </c>
      <c r="I855" s="242">
        <f ca="1">IFERROR(__xludf.DUMMYFUNCTION("""COMPUTED_VALUE"""),2016)</f>
        <v>2016</v>
      </c>
    </row>
    <row r="856" spans="1:9" ht="21" customHeight="1">
      <c r="A856" s="240" t="str">
        <f ca="1">IFERROR(__xludf.DUMMYFUNCTION("""COMPUTED_VALUE"""),"Tocantinópolis")</f>
        <v>Tocantinópolis</v>
      </c>
      <c r="B856" s="240" t="str">
        <f ca="1">IFERROR(__xludf.DUMMYFUNCTION("""COMPUTED_VALUE"""),"Nazare")</f>
        <v>Nazare</v>
      </c>
      <c r="C856" s="240" t="str">
        <f ca="1">IFERROR(__xludf.DUMMYFUNCTION("""COMPUTED_VALUE"""),"A.A. ESC. EST. DOM CORNELIO CHIZZINI")</f>
        <v>A.A. ESC. EST. DOM CORNELIO CHIZZINI</v>
      </c>
      <c r="D856" s="241" t="str">
        <f ca="1">IFERROR(__xludf.DUMMYFUNCTION("""COMPUTED_VALUE"""),"01230233000143")</f>
        <v>01230233000143</v>
      </c>
      <c r="E856" s="241" t="str">
        <f ca="1">IFERROR(__xludf.DUMMYFUNCTION("""COMPUTED_VALUE"""),"001")</f>
        <v>001</v>
      </c>
      <c r="F856" s="241" t="str">
        <f ca="1">IFERROR(__xludf.DUMMYFUNCTION("""COMPUTED_VALUE"""),"0810")</f>
        <v>0810</v>
      </c>
      <c r="G856" s="240" t="str">
        <f ca="1">IFERROR(__xludf.DUMMYFUNCTION("""COMPUTED_VALUE"""),"21776X")</f>
        <v>21776X</v>
      </c>
      <c r="H856" s="240" t="str">
        <f ca="1">IFERROR(__xludf.DUMMYFUNCTION("""COMPUTED_VALUE"""),"E.F. PARCIAL")</f>
        <v>E.F. PARCIAL</v>
      </c>
      <c r="I856" s="242">
        <f ca="1">IFERROR(__xludf.DUMMYFUNCTION("""COMPUTED_VALUE"""),1449)</f>
        <v>1449</v>
      </c>
    </row>
    <row r="857" spans="1:9" ht="21" customHeight="1">
      <c r="A857" s="240" t="str">
        <f ca="1">IFERROR(__xludf.DUMMYFUNCTION("""COMPUTED_VALUE"""),"Tocantinópolis")</f>
        <v>Tocantinópolis</v>
      </c>
      <c r="B857" s="240" t="str">
        <f ca="1">IFERROR(__xludf.DUMMYFUNCTION("""COMPUTED_VALUE"""),"Nazare")</f>
        <v>Nazare</v>
      </c>
      <c r="C857" s="240" t="str">
        <f ca="1">IFERROR(__xludf.DUMMYFUNCTION("""COMPUTED_VALUE"""),"A.A. ESC. EST. DOM CORNELIO CHIZZINI")</f>
        <v>A.A. ESC. EST. DOM CORNELIO CHIZZINI</v>
      </c>
      <c r="D857" s="241" t="str">
        <f ca="1">IFERROR(__xludf.DUMMYFUNCTION("""COMPUTED_VALUE"""),"01230233000143")</f>
        <v>01230233000143</v>
      </c>
      <c r="E857" s="241" t="str">
        <f ca="1">IFERROR(__xludf.DUMMYFUNCTION("""COMPUTED_VALUE"""),"001")</f>
        <v>001</v>
      </c>
      <c r="F857" s="241" t="str">
        <f ca="1">IFERROR(__xludf.DUMMYFUNCTION("""COMPUTED_VALUE"""),"0810")</f>
        <v>0810</v>
      </c>
      <c r="G857" s="240" t="str">
        <f ca="1">IFERROR(__xludf.DUMMYFUNCTION("""COMPUTED_VALUE"""),"21776X")</f>
        <v>21776X</v>
      </c>
      <c r="H857" s="240" t="str">
        <f ca="1">IFERROR(__xludf.DUMMYFUNCTION("""COMPUTED_VALUE"""),"ENS MEDIO PARCIAL")</f>
        <v>ENS MEDIO PARCIAL</v>
      </c>
      <c r="I857" s="242">
        <f ca="1">IFERROR(__xludf.DUMMYFUNCTION("""COMPUTED_VALUE"""),1134)</f>
        <v>1134</v>
      </c>
    </row>
    <row r="858" spans="1:9" ht="21" customHeight="1">
      <c r="A858" s="240" t="str">
        <f ca="1">IFERROR(__xludf.DUMMYFUNCTION("""COMPUTED_VALUE"""),"Tocantinópolis")</f>
        <v>Tocantinópolis</v>
      </c>
      <c r="B858" s="240" t="str">
        <f ca="1">IFERROR(__xludf.DUMMYFUNCTION("""COMPUTED_VALUE"""),"Nazare")</f>
        <v>Nazare</v>
      </c>
      <c r="C858" s="240" t="str">
        <f ca="1">IFERROR(__xludf.DUMMYFUNCTION("""COMPUTED_VALUE"""),"A.A.  DA ESCOLA ESTADUAL PIACAVA")</f>
        <v>A.A.  DA ESCOLA ESTADUAL PIACAVA</v>
      </c>
      <c r="D858" s="241" t="str">
        <f ca="1">IFERROR(__xludf.DUMMYFUNCTION("""COMPUTED_VALUE"""),"01230239000110")</f>
        <v>01230239000110</v>
      </c>
      <c r="E858" s="241" t="str">
        <f ca="1">IFERROR(__xludf.DUMMYFUNCTION("""COMPUTED_VALUE"""),"001")</f>
        <v>001</v>
      </c>
      <c r="F858" s="241" t="str">
        <f ca="1">IFERROR(__xludf.DUMMYFUNCTION("""COMPUTED_VALUE"""),"0810")</f>
        <v>0810</v>
      </c>
      <c r="G858" s="240" t="str">
        <f ca="1">IFERROR(__xludf.DUMMYFUNCTION("""COMPUTED_VALUE"""),"217883")</f>
        <v>217883</v>
      </c>
      <c r="H858" s="240" t="str">
        <f ca="1">IFERROR(__xludf.DUMMYFUNCTION("""COMPUTED_VALUE"""),"E.F. PARCIAL")</f>
        <v>E.F. PARCIAL</v>
      </c>
      <c r="I858" s="242">
        <f ca="1">IFERROR(__xludf.DUMMYFUNCTION("""COMPUTED_VALUE"""),966)</f>
        <v>966</v>
      </c>
    </row>
    <row r="859" spans="1:9" ht="21" customHeight="1">
      <c r="A859" s="240" t="str">
        <f ca="1">IFERROR(__xludf.DUMMYFUNCTION("""COMPUTED_VALUE"""),"Tocantinópolis")</f>
        <v>Tocantinópolis</v>
      </c>
      <c r="B859" s="240" t="str">
        <f ca="1">IFERROR(__xludf.DUMMYFUNCTION("""COMPUTED_VALUE"""),"Nazare")</f>
        <v>Nazare</v>
      </c>
      <c r="C859" s="240" t="str">
        <f ca="1">IFERROR(__xludf.DUMMYFUNCTION("""COMPUTED_VALUE"""),"A.A.  DA ESCOLA ESTADUAL PIACAVA")</f>
        <v>A.A.  DA ESCOLA ESTADUAL PIACAVA</v>
      </c>
      <c r="D859" s="241" t="str">
        <f ca="1">IFERROR(__xludf.DUMMYFUNCTION("""COMPUTED_VALUE"""),"01230239000110")</f>
        <v>01230239000110</v>
      </c>
      <c r="E859" s="241" t="str">
        <f ca="1">IFERROR(__xludf.DUMMYFUNCTION("""COMPUTED_VALUE"""),"001")</f>
        <v>001</v>
      </c>
      <c r="F859" s="241" t="str">
        <f ca="1">IFERROR(__xludf.DUMMYFUNCTION("""COMPUTED_VALUE"""),"0810")</f>
        <v>0810</v>
      </c>
      <c r="G859" s="240" t="str">
        <f ca="1">IFERROR(__xludf.DUMMYFUNCTION("""COMPUTED_VALUE"""),"217883")</f>
        <v>217883</v>
      </c>
      <c r="H859" s="240" t="str">
        <f ca="1">IFERROR(__xludf.DUMMYFUNCTION("""COMPUTED_VALUE"""),"ENS MEDIO PARCIAL")</f>
        <v>ENS MEDIO PARCIAL</v>
      </c>
      <c r="I859" s="242">
        <f ca="1">IFERROR(__xludf.DUMMYFUNCTION("""COMPUTED_VALUE"""),567)</f>
        <v>567</v>
      </c>
    </row>
    <row r="860" spans="1:9" ht="19.5" customHeight="1">
      <c r="A860" s="243" t="str">
        <f ca="1">IFERROR(__xludf.DUMMYFUNCTION("""COMPUTED_VALUE"""),"Tocantinópolis")</f>
        <v>Tocantinópolis</v>
      </c>
      <c r="B860" s="243" t="str">
        <f ca="1">IFERROR(__xludf.DUMMYFUNCTION("""COMPUTED_VALUE"""),"Nazare")</f>
        <v>Nazare</v>
      </c>
      <c r="C860" s="243" t="str">
        <f ca="1">IFERROR(__xludf.DUMMYFUNCTION("""COMPUTED_VALUE"""),"A.A.  DA ESCOLA ESTADUAL PIACAVA")</f>
        <v>A.A.  DA ESCOLA ESTADUAL PIACAVA</v>
      </c>
      <c r="D860" s="244" t="str">
        <f ca="1">IFERROR(__xludf.DUMMYFUNCTION("""COMPUTED_VALUE"""),"01230239000110")</f>
        <v>01230239000110</v>
      </c>
      <c r="E860" s="244" t="str">
        <f ca="1">IFERROR(__xludf.DUMMYFUNCTION("""COMPUTED_VALUE"""),"001")</f>
        <v>001</v>
      </c>
      <c r="F860" s="244" t="str">
        <f ca="1">IFERROR(__xludf.DUMMYFUNCTION("""COMPUTED_VALUE"""),"0810")</f>
        <v>0810</v>
      </c>
      <c r="G860" s="243" t="str">
        <f ca="1">IFERROR(__xludf.DUMMYFUNCTION("""COMPUTED_VALUE"""),"217883")</f>
        <v>217883</v>
      </c>
      <c r="H860" s="243" t="str">
        <f ca="1">IFERROR(__xludf.DUMMYFUNCTION("""COMPUTED_VALUE"""),"EJA")</f>
        <v>EJA</v>
      </c>
      <c r="I860" s="245">
        <f ca="1">IFERROR(__xludf.DUMMYFUNCTION("""COMPUTED_VALUE"""),588)</f>
        <v>588</v>
      </c>
    </row>
    <row r="861" spans="1:9" ht="19.5" customHeight="1">
      <c r="A861" s="243" t="str">
        <f ca="1">IFERROR(__xludf.DUMMYFUNCTION("""COMPUTED_VALUE"""),"Tocantinópolis")</f>
        <v>Tocantinópolis</v>
      </c>
      <c r="B861" s="243" t="str">
        <f ca="1">IFERROR(__xludf.DUMMYFUNCTION("""COMPUTED_VALUE"""),"Nazare")</f>
        <v>Nazare</v>
      </c>
      <c r="C861" s="243" t="str">
        <f ca="1">IFERROR(__xludf.DUMMYFUNCTION("""COMPUTED_VALUE"""),"ASSOC. DE APOIO A ESC. EST.ESPECIAL BEM VIVER")</f>
        <v>ASSOC. DE APOIO A ESC. EST.ESPECIAL BEM VIVER</v>
      </c>
      <c r="D861" s="244" t="str">
        <f ca="1">IFERROR(__xludf.DUMMYFUNCTION("""COMPUTED_VALUE"""),"10520927000106")</f>
        <v>10520927000106</v>
      </c>
      <c r="E861" s="244" t="str">
        <f ca="1">IFERROR(__xludf.DUMMYFUNCTION("""COMPUTED_VALUE"""),"001")</f>
        <v>001</v>
      </c>
      <c r="F861" s="244" t="str">
        <f ca="1">IFERROR(__xludf.DUMMYFUNCTION("""COMPUTED_VALUE"""),"0810")</f>
        <v>0810</v>
      </c>
      <c r="G861" s="243" t="str">
        <f ca="1">IFERROR(__xludf.DUMMYFUNCTION("""COMPUTED_VALUE"""),"200336")</f>
        <v>200336</v>
      </c>
      <c r="H861" s="243" t="str">
        <f ca="1">IFERROR(__xludf.DUMMYFUNCTION("""COMPUTED_VALUE"""),"PRÉ-ESCOLA")</f>
        <v>PRÉ-ESCOLA</v>
      </c>
      <c r="I861" s="245">
        <f ca="1">IFERROR(__xludf.DUMMYFUNCTION("""COMPUTED_VALUE"""),147)</f>
        <v>147</v>
      </c>
    </row>
    <row r="862" spans="1:9" ht="19.5" customHeight="1">
      <c r="A862" s="243" t="str">
        <f ca="1">IFERROR(__xludf.DUMMYFUNCTION("""COMPUTED_VALUE"""),"Tocantinópolis")</f>
        <v>Tocantinópolis</v>
      </c>
      <c r="B862" s="243" t="str">
        <f ca="1">IFERROR(__xludf.DUMMYFUNCTION("""COMPUTED_VALUE"""),"Nazare")</f>
        <v>Nazare</v>
      </c>
      <c r="C862" s="243" t="str">
        <f ca="1">IFERROR(__xludf.DUMMYFUNCTION("""COMPUTED_VALUE"""),"ASSOC. DE APOIO A ESC. EST.ESPECIAL BEM VIVER")</f>
        <v>ASSOC. DE APOIO A ESC. EST.ESPECIAL BEM VIVER</v>
      </c>
      <c r="D862" s="244" t="str">
        <f ca="1">IFERROR(__xludf.DUMMYFUNCTION("""COMPUTED_VALUE"""),"10520927000106")</f>
        <v>10520927000106</v>
      </c>
      <c r="E862" s="244" t="str">
        <f ca="1">IFERROR(__xludf.DUMMYFUNCTION("""COMPUTED_VALUE"""),"001")</f>
        <v>001</v>
      </c>
      <c r="F862" s="244" t="str">
        <f ca="1">IFERROR(__xludf.DUMMYFUNCTION("""COMPUTED_VALUE"""),"0810")</f>
        <v>0810</v>
      </c>
      <c r="G862" s="243" t="str">
        <f ca="1">IFERROR(__xludf.DUMMYFUNCTION("""COMPUTED_VALUE"""),"200336")</f>
        <v>200336</v>
      </c>
      <c r="H862" s="243" t="str">
        <f ca="1">IFERROR(__xludf.DUMMYFUNCTION("""COMPUTED_VALUE"""),"E.F. PARCIAL")</f>
        <v>E.F. PARCIAL</v>
      </c>
      <c r="I862" s="245">
        <f ca="1">IFERROR(__xludf.DUMMYFUNCTION("""COMPUTED_VALUE"""),399)</f>
        <v>399</v>
      </c>
    </row>
    <row r="863" spans="1:9" ht="19.5" customHeight="1">
      <c r="A863" s="243" t="str">
        <f ca="1">IFERROR(__xludf.DUMMYFUNCTION("""COMPUTED_VALUE"""),"Tocantinópolis")</f>
        <v>Tocantinópolis</v>
      </c>
      <c r="B863" s="243" t="str">
        <f ca="1">IFERROR(__xludf.DUMMYFUNCTION("""COMPUTED_VALUE"""),"Nazare")</f>
        <v>Nazare</v>
      </c>
      <c r="C863" s="243" t="str">
        <f ca="1">IFERROR(__xludf.DUMMYFUNCTION("""COMPUTED_VALUE"""),"ASSOC. DE APOIO A ESC. EST.ESPECIAL BEM VIVER")</f>
        <v>ASSOC. DE APOIO A ESC. EST.ESPECIAL BEM VIVER</v>
      </c>
      <c r="D863" s="244" t="str">
        <f ca="1">IFERROR(__xludf.DUMMYFUNCTION("""COMPUTED_VALUE"""),"10520927000106")</f>
        <v>10520927000106</v>
      </c>
      <c r="E863" s="244" t="str">
        <f ca="1">IFERROR(__xludf.DUMMYFUNCTION("""COMPUTED_VALUE"""),"001")</f>
        <v>001</v>
      </c>
      <c r="F863" s="244" t="str">
        <f ca="1">IFERROR(__xludf.DUMMYFUNCTION("""COMPUTED_VALUE"""),"0810")</f>
        <v>0810</v>
      </c>
      <c r="G863" s="243" t="str">
        <f ca="1">IFERROR(__xludf.DUMMYFUNCTION("""COMPUTED_VALUE"""),"200336")</f>
        <v>200336</v>
      </c>
      <c r="H863" s="243" t="str">
        <f ca="1">IFERROR(__xludf.DUMMYFUNCTION("""COMPUTED_VALUE"""),"AEE")</f>
        <v>AEE</v>
      </c>
      <c r="I863" s="245">
        <f ca="1">IFERROR(__xludf.DUMMYFUNCTION("""COMPUTED_VALUE"""),21)</f>
        <v>21</v>
      </c>
    </row>
    <row r="864" spans="1:9" ht="19.5" customHeight="1">
      <c r="A864" s="243" t="str">
        <f ca="1">IFERROR(__xludf.DUMMYFUNCTION("""COMPUTED_VALUE"""),"Tocantinópolis")</f>
        <v>Tocantinópolis</v>
      </c>
      <c r="B864" s="243" t="str">
        <f ca="1">IFERROR(__xludf.DUMMYFUNCTION("""COMPUTED_VALUE"""),"Nazare")</f>
        <v>Nazare</v>
      </c>
      <c r="C864" s="243" t="str">
        <f ca="1">IFERROR(__xludf.DUMMYFUNCTION("""COMPUTED_VALUE"""),"ASSOC. DE APOIO A ESC. EST.ESPECIAL BEM VIVER")</f>
        <v>ASSOC. DE APOIO A ESC. EST.ESPECIAL BEM VIVER</v>
      </c>
      <c r="D864" s="244" t="str">
        <f ca="1">IFERROR(__xludf.DUMMYFUNCTION("""COMPUTED_VALUE"""),"10520927000106")</f>
        <v>10520927000106</v>
      </c>
      <c r="E864" s="244" t="str">
        <f ca="1">IFERROR(__xludf.DUMMYFUNCTION("""COMPUTED_VALUE"""),"001")</f>
        <v>001</v>
      </c>
      <c r="F864" s="244" t="str">
        <f ca="1">IFERROR(__xludf.DUMMYFUNCTION("""COMPUTED_VALUE"""),"0810")</f>
        <v>0810</v>
      </c>
      <c r="G864" s="243" t="str">
        <f ca="1">IFERROR(__xludf.DUMMYFUNCTION("""COMPUTED_VALUE"""),"200336")</f>
        <v>200336</v>
      </c>
      <c r="H864" s="243" t="str">
        <f ca="1">IFERROR(__xludf.DUMMYFUNCTION("""COMPUTED_VALUE"""),"EJA")</f>
        <v>EJA</v>
      </c>
      <c r="I864" s="245">
        <f ca="1">IFERROR(__xludf.DUMMYFUNCTION("""COMPUTED_VALUE"""),1176)</f>
        <v>1176</v>
      </c>
    </row>
    <row r="865" spans="1:9" ht="19.5" customHeight="1">
      <c r="A865" s="243" t="str">
        <f ca="1">IFERROR(__xludf.DUMMYFUNCTION("""COMPUTED_VALUE"""),"Tocantinópolis")</f>
        <v>Tocantinópolis</v>
      </c>
      <c r="B865" s="243" t="str">
        <f ca="1">IFERROR(__xludf.DUMMYFUNCTION("""COMPUTED_VALUE"""),"Palmeiras do Tocantins")</f>
        <v>Palmeiras do Tocantins</v>
      </c>
      <c r="C865" s="243" t="str">
        <f ca="1">IFERROR(__xludf.DUMMYFUNCTION("""COMPUTED_VALUE"""),"A.A. ESC. EST. RAIMUNDO NEIVA DE CARVALHO")</f>
        <v>A.A. ESC. EST. RAIMUNDO NEIVA DE CARVALHO</v>
      </c>
      <c r="D865" s="244" t="str">
        <f ca="1">IFERROR(__xludf.DUMMYFUNCTION("""COMPUTED_VALUE"""),"01213533000114")</f>
        <v>01213533000114</v>
      </c>
      <c r="E865" s="244" t="str">
        <f ca="1">IFERROR(__xludf.DUMMYFUNCTION("""COMPUTED_VALUE"""),"001")</f>
        <v>001</v>
      </c>
      <c r="F865" s="244" t="str">
        <f ca="1">IFERROR(__xludf.DUMMYFUNCTION("""COMPUTED_VALUE"""),"0810")</f>
        <v>0810</v>
      </c>
      <c r="G865" s="243" t="str">
        <f ca="1">IFERROR(__xludf.DUMMYFUNCTION("""COMPUTED_VALUE"""),"0027529")</f>
        <v>0027529</v>
      </c>
      <c r="H865" s="243" t="str">
        <f ca="1">IFERROR(__xludf.DUMMYFUNCTION("""COMPUTED_VALUE"""),"E.F. PARCIAL")</f>
        <v>E.F. PARCIAL</v>
      </c>
      <c r="I865" s="245">
        <f ca="1">IFERROR(__xludf.DUMMYFUNCTION("""COMPUTED_VALUE"""),4830)</f>
        <v>4830</v>
      </c>
    </row>
    <row r="866" spans="1:9" ht="19.5" customHeight="1">
      <c r="A866" s="243" t="str">
        <f ca="1">IFERROR(__xludf.DUMMYFUNCTION("""COMPUTED_VALUE"""),"Tocantinópolis")</f>
        <v>Tocantinópolis</v>
      </c>
      <c r="B866" s="243" t="str">
        <f ca="1">IFERROR(__xludf.DUMMYFUNCTION("""COMPUTED_VALUE"""),"Palmeiras do Tocantins")</f>
        <v>Palmeiras do Tocantins</v>
      </c>
      <c r="C866" s="243" t="str">
        <f ca="1">IFERROR(__xludf.DUMMYFUNCTION("""COMPUTED_VALUE"""),"A.A. ESC. EST. RAIMUNDO NEIVA DE CARVALHO")</f>
        <v>A.A. ESC. EST. RAIMUNDO NEIVA DE CARVALHO</v>
      </c>
      <c r="D866" s="244" t="str">
        <f ca="1">IFERROR(__xludf.DUMMYFUNCTION("""COMPUTED_VALUE"""),"01213533000114")</f>
        <v>01213533000114</v>
      </c>
      <c r="E866" s="244" t="str">
        <f ca="1">IFERROR(__xludf.DUMMYFUNCTION("""COMPUTED_VALUE"""),"001")</f>
        <v>001</v>
      </c>
      <c r="F866" s="244" t="str">
        <f ca="1">IFERROR(__xludf.DUMMYFUNCTION("""COMPUTED_VALUE"""),"0810")</f>
        <v>0810</v>
      </c>
      <c r="G866" s="243" t="str">
        <f ca="1">IFERROR(__xludf.DUMMYFUNCTION("""COMPUTED_VALUE"""),"0027529")</f>
        <v>0027529</v>
      </c>
      <c r="H866" s="243" t="str">
        <f ca="1">IFERROR(__xludf.DUMMYFUNCTION("""COMPUTED_VALUE"""),"ENS MEDIO PARCIAL")</f>
        <v>ENS MEDIO PARCIAL</v>
      </c>
      <c r="I866" s="245">
        <f ca="1">IFERROR(__xludf.DUMMYFUNCTION("""COMPUTED_VALUE"""),5187)</f>
        <v>5187</v>
      </c>
    </row>
    <row r="867" spans="1:9" ht="19.5" customHeight="1">
      <c r="A867" s="243" t="str">
        <f ca="1">IFERROR(__xludf.DUMMYFUNCTION("""COMPUTED_VALUE"""),"Tocantinópolis")</f>
        <v>Tocantinópolis</v>
      </c>
      <c r="B867" s="243" t="str">
        <f ca="1">IFERROR(__xludf.DUMMYFUNCTION("""COMPUTED_VALUE"""),"Palmeiras do Tocantins")</f>
        <v>Palmeiras do Tocantins</v>
      </c>
      <c r="C867" s="243" t="str">
        <f ca="1">IFERROR(__xludf.DUMMYFUNCTION("""COMPUTED_VALUE"""),"A. DE APOIO DA E. E. PE. CESARE LELLI")</f>
        <v>A. DE APOIO DA E. E. PE. CESARE LELLI</v>
      </c>
      <c r="D867" s="244" t="str">
        <f ca="1">IFERROR(__xludf.DUMMYFUNCTION("""COMPUTED_VALUE"""),"03778873000118")</f>
        <v>03778873000118</v>
      </c>
      <c r="E867" s="244" t="str">
        <f ca="1">IFERROR(__xludf.DUMMYFUNCTION("""COMPUTED_VALUE"""),"001")</f>
        <v>001</v>
      </c>
      <c r="F867" s="244" t="str">
        <f ca="1">IFERROR(__xludf.DUMMYFUNCTION("""COMPUTED_VALUE"""),"0810")</f>
        <v>0810</v>
      </c>
      <c r="G867" s="243" t="str">
        <f ca="1">IFERROR(__xludf.DUMMYFUNCTION("""COMPUTED_VALUE"""),"82007")</f>
        <v>82007</v>
      </c>
      <c r="H867" s="243" t="str">
        <f ca="1">IFERROR(__xludf.DUMMYFUNCTION("""COMPUTED_VALUE"""),"E.F. PARCIAL")</f>
        <v>E.F. PARCIAL</v>
      </c>
      <c r="I867" s="245">
        <f ca="1">IFERROR(__xludf.DUMMYFUNCTION("""COMPUTED_VALUE"""),4263)</f>
        <v>4263</v>
      </c>
    </row>
    <row r="868" spans="1:9" ht="19.5" customHeight="1">
      <c r="A868" s="243" t="str">
        <f ca="1">IFERROR(__xludf.DUMMYFUNCTION("""COMPUTED_VALUE"""),"Tocantinópolis")</f>
        <v>Tocantinópolis</v>
      </c>
      <c r="B868" s="243" t="str">
        <f ca="1">IFERROR(__xludf.DUMMYFUNCTION("""COMPUTED_VALUE"""),"Palmeiras do Tocantins")</f>
        <v>Palmeiras do Tocantins</v>
      </c>
      <c r="C868" s="243" t="str">
        <f ca="1">IFERROR(__xludf.DUMMYFUNCTION("""COMPUTED_VALUE"""),"A. DE APOIO DA E. E. PE. CESARE LELLI")</f>
        <v>A. DE APOIO DA E. E. PE. CESARE LELLI</v>
      </c>
      <c r="D868" s="244" t="str">
        <f ca="1">IFERROR(__xludf.DUMMYFUNCTION("""COMPUTED_VALUE"""),"03778873000118")</f>
        <v>03778873000118</v>
      </c>
      <c r="E868" s="244" t="str">
        <f ca="1">IFERROR(__xludf.DUMMYFUNCTION("""COMPUTED_VALUE"""),"001")</f>
        <v>001</v>
      </c>
      <c r="F868" s="244" t="str">
        <f ca="1">IFERROR(__xludf.DUMMYFUNCTION("""COMPUTED_VALUE"""),"0810")</f>
        <v>0810</v>
      </c>
      <c r="G868" s="243" t="str">
        <f ca="1">IFERROR(__xludf.DUMMYFUNCTION("""COMPUTED_VALUE"""),"82007")</f>
        <v>82007</v>
      </c>
      <c r="H868" s="243" t="str">
        <f ca="1">IFERROR(__xludf.DUMMYFUNCTION("""COMPUTED_VALUE"""),"AEE")</f>
        <v>AEE</v>
      </c>
      <c r="I868" s="245">
        <f ca="1">IFERROR(__xludf.DUMMYFUNCTION("""COMPUTED_VALUE"""),483)</f>
        <v>483</v>
      </c>
    </row>
    <row r="869" spans="1:9" ht="19.5" customHeight="1">
      <c r="A869" s="243" t="str">
        <f ca="1">IFERROR(__xludf.DUMMYFUNCTION("""COMPUTED_VALUE"""),"Tocantinópolis")</f>
        <v>Tocantinópolis</v>
      </c>
      <c r="B869" s="243" t="str">
        <f ca="1">IFERROR(__xludf.DUMMYFUNCTION("""COMPUTED_VALUE"""),"Santa Terezinha do Tocantins")</f>
        <v>Santa Terezinha do Tocantins</v>
      </c>
      <c r="C869" s="243" t="str">
        <f ca="1">IFERROR(__xludf.DUMMYFUNCTION("""COMPUTED_VALUE"""),"ASS. A. ESC. EST. DR JOSE FELICIANO FERREIRA")</f>
        <v>ASS. A. ESC. EST. DR JOSE FELICIANO FERREIRA</v>
      </c>
      <c r="D869" s="244" t="str">
        <f ca="1">IFERROR(__xludf.DUMMYFUNCTION("""COMPUTED_VALUE"""),"01077441000154")</f>
        <v>01077441000154</v>
      </c>
      <c r="E869" s="244" t="str">
        <f ca="1">IFERROR(__xludf.DUMMYFUNCTION("""COMPUTED_VALUE"""),"001")</f>
        <v>001</v>
      </c>
      <c r="F869" s="244" t="str">
        <f ca="1">IFERROR(__xludf.DUMMYFUNCTION("""COMPUTED_VALUE"""),"0810")</f>
        <v>0810</v>
      </c>
      <c r="G869" s="243" t="str">
        <f ca="1">IFERROR(__xludf.DUMMYFUNCTION("""COMPUTED_VALUE"""),"0026085")</f>
        <v>0026085</v>
      </c>
      <c r="H869" s="243" t="str">
        <f ca="1">IFERROR(__xludf.DUMMYFUNCTION("""COMPUTED_VALUE"""),"E.F. PARCIAL")</f>
        <v>E.F. PARCIAL</v>
      </c>
      <c r="I869" s="245">
        <f ca="1">IFERROR(__xludf.DUMMYFUNCTION("""COMPUTED_VALUE"""),1302)</f>
        <v>1302</v>
      </c>
    </row>
    <row r="870" spans="1:9" ht="19.5" customHeight="1">
      <c r="A870" s="243" t="str">
        <f ca="1">IFERROR(__xludf.DUMMYFUNCTION("""COMPUTED_VALUE"""),"Tocantinópolis")</f>
        <v>Tocantinópolis</v>
      </c>
      <c r="B870" s="243" t="str">
        <f ca="1">IFERROR(__xludf.DUMMYFUNCTION("""COMPUTED_VALUE"""),"Santa Terezinha do Tocantins")</f>
        <v>Santa Terezinha do Tocantins</v>
      </c>
      <c r="C870" s="243" t="str">
        <f ca="1">IFERROR(__xludf.DUMMYFUNCTION("""COMPUTED_VALUE"""),"ASS. A. ESC. EST. DR JOSE FELICIANO FERREIRA")</f>
        <v>ASS. A. ESC. EST. DR JOSE FELICIANO FERREIRA</v>
      </c>
      <c r="D870" s="244" t="str">
        <f ca="1">IFERROR(__xludf.DUMMYFUNCTION("""COMPUTED_VALUE"""),"01077441000154")</f>
        <v>01077441000154</v>
      </c>
      <c r="E870" s="244" t="str">
        <f ca="1">IFERROR(__xludf.DUMMYFUNCTION("""COMPUTED_VALUE"""),"001")</f>
        <v>001</v>
      </c>
      <c r="F870" s="244" t="str">
        <f ca="1">IFERROR(__xludf.DUMMYFUNCTION("""COMPUTED_VALUE"""),"0810")</f>
        <v>0810</v>
      </c>
      <c r="G870" s="243" t="str">
        <f ca="1">IFERROR(__xludf.DUMMYFUNCTION("""COMPUTED_VALUE"""),"0026085")</f>
        <v>0026085</v>
      </c>
      <c r="H870" s="243" t="str">
        <f ca="1">IFERROR(__xludf.DUMMYFUNCTION("""COMPUTED_VALUE"""),"ENS MEDIO PARCIAL")</f>
        <v>ENS MEDIO PARCIAL</v>
      </c>
      <c r="I870" s="245">
        <f ca="1">IFERROR(__xludf.DUMMYFUNCTION("""COMPUTED_VALUE"""),1932)</f>
        <v>1932</v>
      </c>
    </row>
    <row r="871" spans="1:9" ht="19.5" customHeight="1">
      <c r="A871" s="243" t="str">
        <f ca="1">IFERROR(__xludf.DUMMYFUNCTION("""COMPUTED_VALUE"""),"Tocantinópolis")</f>
        <v>Tocantinópolis</v>
      </c>
      <c r="B871" s="243" t="str">
        <f ca="1">IFERROR(__xludf.DUMMYFUNCTION("""COMPUTED_VALUE"""),"Tocantinopolis")</f>
        <v>Tocantinopolis</v>
      </c>
      <c r="C871" s="243" t="str">
        <f ca="1">IFERROR(__xludf.DUMMYFUNCTION("""COMPUTED_VALUE"""),"A. ESCOLAR COM. PE. GIULIANO MORETTI")</f>
        <v>A. ESCOLAR COM. PE. GIULIANO MORETTI</v>
      </c>
      <c r="D871" s="244" t="str">
        <f ca="1">IFERROR(__xludf.DUMMYFUNCTION("""COMPUTED_VALUE"""),"00900202000190")</f>
        <v>00900202000190</v>
      </c>
      <c r="E871" s="244" t="str">
        <f ca="1">IFERROR(__xludf.DUMMYFUNCTION("""COMPUTED_VALUE"""),"001")</f>
        <v>001</v>
      </c>
      <c r="F871" s="244" t="str">
        <f ca="1">IFERROR(__xludf.DUMMYFUNCTION("""COMPUTED_VALUE"""),"0810")</f>
        <v>0810</v>
      </c>
      <c r="G871" s="243" t="str">
        <f ca="1">IFERROR(__xludf.DUMMYFUNCTION("""COMPUTED_VALUE"""),"217484")</f>
        <v>217484</v>
      </c>
      <c r="H871" s="243" t="str">
        <f ca="1">IFERROR(__xludf.DUMMYFUNCTION("""COMPUTED_VALUE"""),"E.F. PARCIAL")</f>
        <v>E.F. PARCIAL</v>
      </c>
      <c r="I871" s="245">
        <f ca="1">IFERROR(__xludf.DUMMYFUNCTION("""COMPUTED_VALUE"""),3024)</f>
        <v>3024</v>
      </c>
    </row>
    <row r="872" spans="1:9" ht="19.5" customHeight="1">
      <c r="A872" s="243" t="str">
        <f ca="1">IFERROR(__xludf.DUMMYFUNCTION("""COMPUTED_VALUE"""),"Tocantinópolis")</f>
        <v>Tocantinópolis</v>
      </c>
      <c r="B872" s="243" t="str">
        <f ca="1">IFERROR(__xludf.DUMMYFUNCTION("""COMPUTED_VALUE"""),"Tocantinopolis")</f>
        <v>Tocantinopolis</v>
      </c>
      <c r="C872" s="243" t="str">
        <f ca="1">IFERROR(__xludf.DUMMYFUNCTION("""COMPUTED_VALUE"""),"A. ESCOLAR COM. PE. GIULIANO MORETTI")</f>
        <v>A. ESCOLAR COM. PE. GIULIANO MORETTI</v>
      </c>
      <c r="D872" s="244" t="str">
        <f ca="1">IFERROR(__xludf.DUMMYFUNCTION("""COMPUTED_VALUE"""),"00900202000190")</f>
        <v>00900202000190</v>
      </c>
      <c r="E872" s="244" t="str">
        <f ca="1">IFERROR(__xludf.DUMMYFUNCTION("""COMPUTED_VALUE"""),"001")</f>
        <v>001</v>
      </c>
      <c r="F872" s="244" t="str">
        <f ca="1">IFERROR(__xludf.DUMMYFUNCTION("""COMPUTED_VALUE"""),"0810")</f>
        <v>0810</v>
      </c>
      <c r="G872" s="243" t="str">
        <f ca="1">IFERROR(__xludf.DUMMYFUNCTION("""COMPUTED_VALUE"""),"217484")</f>
        <v>217484</v>
      </c>
      <c r="H872" s="243" t="str">
        <f ca="1">IFERROR(__xludf.DUMMYFUNCTION("""COMPUTED_VALUE"""),"AEE")</f>
        <v>AEE</v>
      </c>
      <c r="I872" s="245">
        <f ca="1">IFERROR(__xludf.DUMMYFUNCTION("""COMPUTED_VALUE"""),693)</f>
        <v>693</v>
      </c>
    </row>
    <row r="873" spans="1:9" ht="19.5" customHeight="1">
      <c r="A873" s="243" t="str">
        <f ca="1">IFERROR(__xludf.DUMMYFUNCTION("""COMPUTED_VALUE"""),"Tocantinópolis")</f>
        <v>Tocantinópolis</v>
      </c>
      <c r="B873" s="243" t="str">
        <f ca="1">IFERROR(__xludf.DUMMYFUNCTION("""COMPUTED_VALUE"""),"Tocantinopolis")</f>
        <v>Tocantinopolis</v>
      </c>
      <c r="C873" s="243" t="str">
        <f ca="1">IFERROR(__xludf.DUMMYFUNCTION("""COMPUTED_VALUE"""),"A. ESCOLAR COM. PE. GIULIANO MORETTI")</f>
        <v>A. ESCOLAR COM. PE. GIULIANO MORETTI</v>
      </c>
      <c r="D873" s="244" t="str">
        <f ca="1">IFERROR(__xludf.DUMMYFUNCTION("""COMPUTED_VALUE"""),"00900202000190")</f>
        <v>00900202000190</v>
      </c>
      <c r="E873" s="244" t="str">
        <f ca="1">IFERROR(__xludf.DUMMYFUNCTION("""COMPUTED_VALUE"""),"001")</f>
        <v>001</v>
      </c>
      <c r="F873" s="244" t="str">
        <f ca="1">IFERROR(__xludf.DUMMYFUNCTION("""COMPUTED_VALUE"""),"0810")</f>
        <v>0810</v>
      </c>
      <c r="G873" s="243" t="str">
        <f ca="1">IFERROR(__xludf.DUMMYFUNCTION("""COMPUTED_VALUE"""),"217484")</f>
        <v>217484</v>
      </c>
      <c r="H873" s="243" t="str">
        <f ca="1">IFERROR(__xludf.DUMMYFUNCTION("""COMPUTED_VALUE"""),"EJA")</f>
        <v>EJA</v>
      </c>
      <c r="I873" s="245">
        <f ca="1">IFERROR(__xludf.DUMMYFUNCTION("""COMPUTED_VALUE"""),1029)</f>
        <v>1029</v>
      </c>
    </row>
    <row r="874" spans="1:9" ht="19.5" customHeight="1">
      <c r="A874" s="243" t="str">
        <f ca="1">IFERROR(__xludf.DUMMYFUNCTION("""COMPUTED_VALUE"""),"Tocantinópolis")</f>
        <v>Tocantinópolis</v>
      </c>
      <c r="B874" s="243" t="str">
        <f ca="1">IFERROR(__xludf.DUMMYFUNCTION("""COMPUTED_VALUE"""),"Tocantinopolis")</f>
        <v>Tocantinopolis</v>
      </c>
      <c r="C874" s="243" t="str">
        <f ca="1">IFERROR(__xludf.DUMMYFUNCTION("""COMPUTED_VALUE"""),"A. PAIS DA ESC. EST. XV DE NOVEMBRO")</f>
        <v>A. PAIS DA ESC. EST. XV DE NOVEMBRO</v>
      </c>
      <c r="D874" s="244" t="str">
        <f ca="1">IFERROR(__xludf.DUMMYFUNCTION("""COMPUTED_VALUE"""),"01213520000145")</f>
        <v>01213520000145</v>
      </c>
      <c r="E874" s="244" t="str">
        <f ca="1">IFERROR(__xludf.DUMMYFUNCTION("""COMPUTED_VALUE"""),"001")</f>
        <v>001</v>
      </c>
      <c r="F874" s="244" t="str">
        <f ca="1">IFERROR(__xludf.DUMMYFUNCTION("""COMPUTED_VALUE"""),"0810")</f>
        <v>0810</v>
      </c>
      <c r="G874" s="243" t="str">
        <f ca="1">IFERROR(__xludf.DUMMYFUNCTION("""COMPUTED_VALUE"""),"58238")</f>
        <v>58238</v>
      </c>
      <c r="H874" s="243" t="str">
        <f ca="1">IFERROR(__xludf.DUMMYFUNCTION("""COMPUTED_VALUE"""),"AEE")</f>
        <v>AEE</v>
      </c>
      <c r="I874" s="245">
        <f ca="1">IFERROR(__xludf.DUMMYFUNCTION("""COMPUTED_VALUE"""),441)</f>
        <v>441</v>
      </c>
    </row>
    <row r="875" spans="1:9" ht="19.5" customHeight="1">
      <c r="A875" s="243" t="str">
        <f ca="1">IFERROR(__xludf.DUMMYFUNCTION("""COMPUTED_VALUE"""),"Tocantinópolis")</f>
        <v>Tocantinópolis</v>
      </c>
      <c r="B875" s="243" t="str">
        <f ca="1">IFERROR(__xludf.DUMMYFUNCTION("""COMPUTED_VALUE"""),"Tocantinopolis")</f>
        <v>Tocantinopolis</v>
      </c>
      <c r="C875" s="243" t="str">
        <f ca="1">IFERROR(__xludf.DUMMYFUNCTION("""COMPUTED_VALUE"""),"A.A. ESC. E. E.PROF.ALDENORA A.CORREIA")</f>
        <v>A.A. ESC. E. E.PROF.ALDENORA A.CORREIA</v>
      </c>
      <c r="D875" s="244" t="str">
        <f ca="1">IFERROR(__xludf.DUMMYFUNCTION("""COMPUTED_VALUE"""),"01213527000167")</f>
        <v>01213527000167</v>
      </c>
      <c r="E875" s="244" t="str">
        <f ca="1">IFERROR(__xludf.DUMMYFUNCTION("""COMPUTED_VALUE"""),"001")</f>
        <v>001</v>
      </c>
      <c r="F875" s="244" t="str">
        <f ca="1">IFERROR(__xludf.DUMMYFUNCTION("""COMPUTED_VALUE"""),"0810")</f>
        <v>0810</v>
      </c>
      <c r="G875" s="243" t="str">
        <f ca="1">IFERROR(__xludf.DUMMYFUNCTION("""COMPUTED_VALUE"""),"58319")</f>
        <v>58319</v>
      </c>
      <c r="H875" s="243" t="str">
        <f ca="1">IFERROR(__xludf.DUMMYFUNCTION("""COMPUTED_VALUE"""),"AEE")</f>
        <v>AEE</v>
      </c>
      <c r="I875" s="245">
        <f ca="1">IFERROR(__xludf.DUMMYFUNCTION("""COMPUTED_VALUE"""),168)</f>
        <v>168</v>
      </c>
    </row>
    <row r="876" spans="1:9" ht="19.5" customHeight="1">
      <c r="A876" s="243" t="str">
        <f ca="1">IFERROR(__xludf.DUMMYFUNCTION("""COMPUTED_VALUE"""),"Tocantinópolis")</f>
        <v>Tocantinópolis</v>
      </c>
      <c r="B876" s="243" t="str">
        <f ca="1">IFERROR(__xludf.DUMMYFUNCTION("""COMPUTED_VALUE"""),"Tocantinopolis")</f>
        <v>Tocantinopolis</v>
      </c>
      <c r="C876" s="243" t="str">
        <f ca="1">IFERROR(__xludf.DUMMYFUNCTION("""COMPUTED_VALUE"""),"ASSOC.PAIS E MESTRES COL. EST. DEP.DARCY MARINHO")</f>
        <v>ASSOC.PAIS E MESTRES COL. EST. DEP.DARCY MARINHO</v>
      </c>
      <c r="D876" s="244" t="str">
        <f ca="1">IFERROR(__xludf.DUMMYFUNCTION("""COMPUTED_VALUE"""),"01230236000187")</f>
        <v>01230236000187</v>
      </c>
      <c r="E876" s="244" t="str">
        <f ca="1">IFERROR(__xludf.DUMMYFUNCTION("""COMPUTED_VALUE"""),"001")</f>
        <v>001</v>
      </c>
      <c r="F876" s="244" t="str">
        <f ca="1">IFERROR(__xludf.DUMMYFUNCTION("""COMPUTED_VALUE"""),"0810")</f>
        <v>0810</v>
      </c>
      <c r="G876" s="243" t="str">
        <f ca="1">IFERROR(__xludf.DUMMYFUNCTION("""COMPUTED_VALUE"""),"297410")</f>
        <v>297410</v>
      </c>
      <c r="H876" s="243" t="str">
        <f ca="1">IFERROR(__xludf.DUMMYFUNCTION("""COMPUTED_VALUE"""),"AEE")</f>
        <v>AEE</v>
      </c>
      <c r="I876" s="245">
        <f ca="1">IFERROR(__xludf.DUMMYFUNCTION("""COMPUTED_VALUE"""),462)</f>
        <v>462</v>
      </c>
    </row>
    <row r="877" spans="1:9" ht="19.5" customHeight="1">
      <c r="A877" s="243" t="str">
        <f ca="1">IFERROR(__xludf.DUMMYFUNCTION("""COMPUTED_VALUE"""),"Tocantinópolis")</f>
        <v>Tocantinópolis</v>
      </c>
      <c r="B877" s="243" t="str">
        <f ca="1">IFERROR(__xludf.DUMMYFUNCTION("""COMPUTED_VALUE"""),"Tocantinopolis")</f>
        <v>Tocantinopolis</v>
      </c>
      <c r="C877" s="243" t="str">
        <f ca="1">IFERROR(__xludf.DUMMYFUNCTION("""COMPUTED_VALUE"""),"A. DA ESCOLA PAROQUIAL CRISTO REI")</f>
        <v>A. DA ESCOLA PAROQUIAL CRISTO REI</v>
      </c>
      <c r="D877" s="244" t="str">
        <f ca="1">IFERROR(__xludf.DUMMYFUNCTION("""COMPUTED_VALUE"""),"02026329000157")</f>
        <v>02026329000157</v>
      </c>
      <c r="E877" s="244" t="str">
        <f ca="1">IFERROR(__xludf.DUMMYFUNCTION("""COMPUTED_VALUE"""),"001")</f>
        <v>001</v>
      </c>
      <c r="F877" s="244" t="str">
        <f ca="1">IFERROR(__xludf.DUMMYFUNCTION("""COMPUTED_VALUE"""),"0810")</f>
        <v>0810</v>
      </c>
      <c r="G877" s="243" t="str">
        <f ca="1">IFERROR(__xludf.DUMMYFUNCTION("""COMPUTED_VALUE"""),"58149")</f>
        <v>58149</v>
      </c>
      <c r="H877" s="243" t="str">
        <f ca="1">IFERROR(__xludf.DUMMYFUNCTION("""COMPUTED_VALUE"""),"E.F. PARCIAL")</f>
        <v>E.F. PARCIAL</v>
      </c>
      <c r="I877" s="245">
        <f ca="1">IFERROR(__xludf.DUMMYFUNCTION("""COMPUTED_VALUE"""),9324)</f>
        <v>9324</v>
      </c>
    </row>
    <row r="878" spans="1:9" ht="19.5" customHeight="1">
      <c r="A878" s="243" t="str">
        <f ca="1">IFERROR(__xludf.DUMMYFUNCTION("""COMPUTED_VALUE"""),"Tocantinópolis")</f>
        <v>Tocantinópolis</v>
      </c>
      <c r="B878" s="243" t="str">
        <f ca="1">IFERROR(__xludf.DUMMYFUNCTION("""COMPUTED_VALUE"""),"Tocantinopolis")</f>
        <v>Tocantinopolis</v>
      </c>
      <c r="C878" s="243" t="str">
        <f ca="1">IFERROR(__xludf.DUMMYFUNCTION("""COMPUTED_VALUE"""),"A. DA ESCOLA PAROQUIAL CRISTO REI")</f>
        <v>A. DA ESCOLA PAROQUIAL CRISTO REI</v>
      </c>
      <c r="D878" s="244" t="str">
        <f ca="1">IFERROR(__xludf.DUMMYFUNCTION("""COMPUTED_VALUE"""),"02026329000157")</f>
        <v>02026329000157</v>
      </c>
      <c r="E878" s="244" t="str">
        <f ca="1">IFERROR(__xludf.DUMMYFUNCTION("""COMPUTED_VALUE"""),"001")</f>
        <v>001</v>
      </c>
      <c r="F878" s="244" t="str">
        <f ca="1">IFERROR(__xludf.DUMMYFUNCTION("""COMPUTED_VALUE"""),"0810")</f>
        <v>0810</v>
      </c>
      <c r="G878" s="243" t="str">
        <f ca="1">IFERROR(__xludf.DUMMYFUNCTION("""COMPUTED_VALUE"""),"58149")</f>
        <v>58149</v>
      </c>
      <c r="H878" s="243" t="str">
        <f ca="1">IFERROR(__xludf.DUMMYFUNCTION("""COMPUTED_VALUE"""),"AEE")</f>
        <v>AEE</v>
      </c>
      <c r="I878" s="245">
        <f ca="1">IFERROR(__xludf.DUMMYFUNCTION("""COMPUTED_VALUE"""),609)</f>
        <v>609</v>
      </c>
    </row>
    <row r="879" spans="1:9" ht="19.5" customHeight="1">
      <c r="A879" s="243" t="str">
        <f ca="1">IFERROR(__xludf.DUMMYFUNCTION("""COMPUTED_VALUE"""),"Tocantinópolis")</f>
        <v>Tocantinópolis</v>
      </c>
      <c r="B879" s="243" t="str">
        <f ca="1">IFERROR(__xludf.DUMMYFUNCTION("""COMPUTED_VALUE"""),"Tocantinopolis")</f>
        <v>Tocantinopolis</v>
      </c>
      <c r="C879" s="243" t="str">
        <f ca="1">IFERROR(__xludf.DUMMYFUNCTION("""COMPUTED_VALUE"""),"A. DA ESCOLA PAROQUIAL CRISTO REI")</f>
        <v>A. DA ESCOLA PAROQUIAL CRISTO REI</v>
      </c>
      <c r="D879" s="244" t="str">
        <f ca="1">IFERROR(__xludf.DUMMYFUNCTION("""COMPUTED_VALUE"""),"02026329000157")</f>
        <v>02026329000157</v>
      </c>
      <c r="E879" s="244" t="str">
        <f ca="1">IFERROR(__xludf.DUMMYFUNCTION("""COMPUTED_VALUE"""),"001")</f>
        <v>001</v>
      </c>
      <c r="F879" s="244" t="str">
        <f ca="1">IFERROR(__xludf.DUMMYFUNCTION("""COMPUTED_VALUE"""),"0810")</f>
        <v>0810</v>
      </c>
      <c r="G879" s="243" t="str">
        <f ca="1">IFERROR(__xludf.DUMMYFUNCTION("""COMPUTED_VALUE"""),"58149")</f>
        <v>58149</v>
      </c>
      <c r="H879" s="243" t="str">
        <f ca="1">IFERROR(__xludf.DUMMYFUNCTION("""COMPUTED_VALUE"""),"ENS MEDIO PARCIAL")</f>
        <v>ENS MEDIO PARCIAL</v>
      </c>
      <c r="I879" s="245">
        <f ca="1">IFERROR(__xludf.DUMMYFUNCTION("""COMPUTED_VALUE"""),1428)</f>
        <v>1428</v>
      </c>
    </row>
    <row r="880" spans="1:9" ht="19.5" customHeight="1">
      <c r="A880" s="243" t="str">
        <f ca="1">IFERROR(__xludf.DUMMYFUNCTION("""COMPUTED_VALUE"""),"Tocantinópolis")</f>
        <v>Tocantinópolis</v>
      </c>
      <c r="B880" s="243" t="str">
        <f ca="1">IFERROR(__xludf.DUMMYFUNCTION("""COMPUTED_VALUE"""),"Tocantinopolis")</f>
        <v>Tocantinopolis</v>
      </c>
      <c r="C880" s="243" t="str">
        <f ca="1">IFERROR(__xludf.DUMMYFUNCTION("""COMPUTED_VALUE"""),"A.A. AS ESC. EST.INDIGENAS MATYK E APORO")</f>
        <v>A.A. AS ESC. EST.INDIGENAS MATYK E APORO</v>
      </c>
      <c r="D880" s="244" t="str">
        <f ca="1">IFERROR(__xludf.DUMMYFUNCTION("""COMPUTED_VALUE"""),"03544096000147")</f>
        <v>03544096000147</v>
      </c>
      <c r="E880" s="244" t="str">
        <f ca="1">IFERROR(__xludf.DUMMYFUNCTION("""COMPUTED_VALUE"""),"001")</f>
        <v>001</v>
      </c>
      <c r="F880" s="244" t="str">
        <f ca="1">IFERROR(__xludf.DUMMYFUNCTION("""COMPUTED_VALUE"""),"0810")</f>
        <v>0810</v>
      </c>
      <c r="G880" s="243" t="str">
        <f ca="1">IFERROR(__xludf.DUMMYFUNCTION("""COMPUTED_VALUE"""),"67423")</f>
        <v>67423</v>
      </c>
      <c r="H880" s="243" t="str">
        <f ca="1">IFERROR(__xludf.DUMMYFUNCTION("""COMPUTED_VALUE"""),"INDIGENA PARCIAL")</f>
        <v>INDIGENA PARCIAL</v>
      </c>
      <c r="I880" s="245">
        <f ca="1">IFERROR(__xludf.DUMMYFUNCTION("""COMPUTED_VALUE"""),14364)</f>
        <v>14364</v>
      </c>
    </row>
    <row r="881" spans="1:9" ht="19.5" customHeight="1">
      <c r="A881" s="243" t="str">
        <f ca="1">IFERROR(__xludf.DUMMYFUNCTION("""COMPUTED_VALUE"""),"Tocantinópolis")</f>
        <v>Tocantinópolis</v>
      </c>
      <c r="B881" s="243" t="str">
        <f ca="1">IFERROR(__xludf.DUMMYFUNCTION("""COMPUTED_VALUE"""),"Tocantinopolis")</f>
        <v>Tocantinopolis</v>
      </c>
      <c r="C881" s="243" t="str">
        <f ca="1">IFERROR(__xludf.DUMMYFUNCTION("""COMPUTED_VALUE"""),"A.A. DO COL.PADRAO/JOSÉ CARNEIRO DE BRITO")</f>
        <v>A.A. DO COL.PADRAO/JOSÉ CARNEIRO DE BRITO</v>
      </c>
      <c r="D881" s="244" t="str">
        <f ca="1">IFERROR(__xludf.DUMMYFUNCTION("""COMPUTED_VALUE"""),"03880040000163")</f>
        <v>03880040000163</v>
      </c>
      <c r="E881" s="244" t="str">
        <f ca="1">IFERROR(__xludf.DUMMYFUNCTION("""COMPUTED_VALUE"""),"001")</f>
        <v>001</v>
      </c>
      <c r="F881" s="244" t="str">
        <f ca="1">IFERROR(__xludf.DUMMYFUNCTION("""COMPUTED_VALUE"""),"0810")</f>
        <v>0810</v>
      </c>
      <c r="G881" s="243" t="str">
        <f ca="1">IFERROR(__xludf.DUMMYFUNCTION("""COMPUTED_VALUE"""),"81884")</f>
        <v>81884</v>
      </c>
      <c r="H881" s="243" t="str">
        <f ca="1">IFERROR(__xludf.DUMMYFUNCTION("""COMPUTED_VALUE"""),"E.F. PARCIAL")</f>
        <v>E.F. PARCIAL</v>
      </c>
      <c r="I881" s="245">
        <f ca="1">IFERROR(__xludf.DUMMYFUNCTION("""COMPUTED_VALUE"""),3675)</f>
        <v>3675</v>
      </c>
    </row>
    <row r="882" spans="1:9" ht="19.5" customHeight="1">
      <c r="A882" s="243" t="str">
        <f ca="1">IFERROR(__xludf.DUMMYFUNCTION("""COMPUTED_VALUE"""),"Tocantinópolis")</f>
        <v>Tocantinópolis</v>
      </c>
      <c r="B882" s="243" t="str">
        <f ca="1">IFERROR(__xludf.DUMMYFUNCTION("""COMPUTED_VALUE"""),"Tocantinopolis")</f>
        <v>Tocantinopolis</v>
      </c>
      <c r="C882" s="243" t="str">
        <f ca="1">IFERROR(__xludf.DUMMYFUNCTION("""COMPUTED_VALUE"""),"A.A. DO COL.PADRAO/JOSÉ CARNEIRO DE BRITO")</f>
        <v>A.A. DO COL.PADRAO/JOSÉ CARNEIRO DE BRITO</v>
      </c>
      <c r="D882" s="244" t="str">
        <f ca="1">IFERROR(__xludf.DUMMYFUNCTION("""COMPUTED_VALUE"""),"03880040000163")</f>
        <v>03880040000163</v>
      </c>
      <c r="E882" s="244" t="str">
        <f ca="1">IFERROR(__xludf.DUMMYFUNCTION("""COMPUTED_VALUE"""),"001")</f>
        <v>001</v>
      </c>
      <c r="F882" s="244" t="str">
        <f ca="1">IFERROR(__xludf.DUMMYFUNCTION("""COMPUTED_VALUE"""),"0810")</f>
        <v>0810</v>
      </c>
      <c r="G882" s="243" t="str">
        <f ca="1">IFERROR(__xludf.DUMMYFUNCTION("""COMPUTED_VALUE"""),"81884")</f>
        <v>81884</v>
      </c>
      <c r="H882" s="243" t="str">
        <f ca="1">IFERROR(__xludf.DUMMYFUNCTION("""COMPUTED_VALUE"""),"AEE")</f>
        <v>AEE</v>
      </c>
      <c r="I882" s="245">
        <f ca="1">IFERROR(__xludf.DUMMYFUNCTION("""COMPUTED_VALUE"""),378)</f>
        <v>378</v>
      </c>
    </row>
    <row r="883" spans="1:9" ht="19.5" customHeight="1">
      <c r="A883" s="243" t="str">
        <f ca="1">IFERROR(__xludf.DUMMYFUNCTION("""COMPUTED_VALUE"""),"Tocantinópolis")</f>
        <v>Tocantinópolis</v>
      </c>
      <c r="B883" s="243" t="str">
        <f ca="1">IFERROR(__xludf.DUMMYFUNCTION("""COMPUTED_VALUE"""),"Tocantinopolis")</f>
        <v>Tocantinopolis</v>
      </c>
      <c r="C883" s="243" t="str">
        <f ca="1">IFERROR(__xludf.DUMMYFUNCTION("""COMPUTED_VALUE"""),"A.A. DO COL.PADRAO/JOSÉ CARNEIRO DE BRITO")</f>
        <v>A.A. DO COL.PADRAO/JOSÉ CARNEIRO DE BRITO</v>
      </c>
      <c r="D883" s="244" t="str">
        <f ca="1">IFERROR(__xludf.DUMMYFUNCTION("""COMPUTED_VALUE"""),"03880040000163")</f>
        <v>03880040000163</v>
      </c>
      <c r="E883" s="244" t="str">
        <f ca="1">IFERROR(__xludf.DUMMYFUNCTION("""COMPUTED_VALUE"""),"001")</f>
        <v>001</v>
      </c>
      <c r="F883" s="244" t="str">
        <f ca="1">IFERROR(__xludf.DUMMYFUNCTION("""COMPUTED_VALUE"""),"0810")</f>
        <v>0810</v>
      </c>
      <c r="G883" s="243" t="str">
        <f ca="1">IFERROR(__xludf.DUMMYFUNCTION("""COMPUTED_VALUE"""),"81884")</f>
        <v>81884</v>
      </c>
      <c r="H883" s="243" t="str">
        <f ca="1">IFERROR(__xludf.DUMMYFUNCTION("""COMPUTED_VALUE"""),"ENS MEDIO PARCIAL")</f>
        <v>ENS MEDIO PARCIAL</v>
      </c>
      <c r="I883" s="245">
        <f ca="1">IFERROR(__xludf.DUMMYFUNCTION("""COMPUTED_VALUE"""),5124)</f>
        <v>5124</v>
      </c>
    </row>
    <row r="884" spans="1:9" ht="19.5" customHeight="1">
      <c r="A884" s="243" t="str">
        <f ca="1">IFERROR(__xludf.DUMMYFUNCTION("""COMPUTED_VALUE"""),"Tocantinópolis")</f>
        <v>Tocantinópolis</v>
      </c>
      <c r="B884" s="243" t="str">
        <f ca="1">IFERROR(__xludf.DUMMYFUNCTION("""COMPUTED_VALUE"""),"Tocantinopolis")</f>
        <v>Tocantinopolis</v>
      </c>
      <c r="C884" s="243" t="str">
        <f ca="1">IFERROR(__xludf.DUMMYFUNCTION("""COMPUTED_VALUE"""),"A.A. DO COL.PADRAO/JOSÉ CARNEIRO DE BRITO")</f>
        <v>A.A. DO COL.PADRAO/JOSÉ CARNEIRO DE BRITO</v>
      </c>
      <c r="D884" s="244" t="str">
        <f ca="1">IFERROR(__xludf.DUMMYFUNCTION("""COMPUTED_VALUE"""),"03880040000163")</f>
        <v>03880040000163</v>
      </c>
      <c r="E884" s="244" t="str">
        <f ca="1">IFERROR(__xludf.DUMMYFUNCTION("""COMPUTED_VALUE"""),"001")</f>
        <v>001</v>
      </c>
      <c r="F884" s="244" t="str">
        <f ca="1">IFERROR(__xludf.DUMMYFUNCTION("""COMPUTED_VALUE"""),"0810")</f>
        <v>0810</v>
      </c>
      <c r="G884" s="243" t="str">
        <f ca="1">IFERROR(__xludf.DUMMYFUNCTION("""COMPUTED_VALUE"""),"81884")</f>
        <v>81884</v>
      </c>
      <c r="H884" s="243" t="str">
        <f ca="1">IFERROR(__xludf.DUMMYFUNCTION("""COMPUTED_VALUE"""),"EJA")</f>
        <v>EJA</v>
      </c>
      <c r="I884" s="245">
        <f ca="1">IFERROR(__xludf.DUMMYFUNCTION("""COMPUTED_VALUE"""),1953)</f>
        <v>1953</v>
      </c>
    </row>
    <row r="885" spans="1:9" ht="19.5" customHeight="1">
      <c r="A885" s="243" t="str">
        <f ca="1">IFERROR(__xludf.DUMMYFUNCTION("""COMPUTED_VALUE"""),"Tocantinópolis")</f>
        <v>Tocantinópolis</v>
      </c>
      <c r="B885" s="243" t="str">
        <f ca="1">IFERROR(__xludf.DUMMYFUNCTION("""COMPUTED_VALUE"""),"Tocantinopolis")</f>
        <v>Tocantinopolis</v>
      </c>
      <c r="C885" s="243" t="str">
        <f ca="1">IFERROR(__xludf.DUMMYFUNCTION("""COMPUTED_VALUE"""),"A.A ESC. EST.INDIGENAS NRE TOCANTINOPOLIS")</f>
        <v>A.A ESC. EST.INDIGENAS NRE TOCANTINOPOLIS</v>
      </c>
      <c r="D885" s="244" t="str">
        <f ca="1">IFERROR(__xludf.DUMMYFUNCTION("""COMPUTED_VALUE"""),"06171083000168")</f>
        <v>06171083000168</v>
      </c>
      <c r="E885" s="244" t="str">
        <f ca="1">IFERROR(__xludf.DUMMYFUNCTION("""COMPUTED_VALUE"""),"001")</f>
        <v>001</v>
      </c>
      <c r="F885" s="244" t="str">
        <f ca="1">IFERROR(__xludf.DUMMYFUNCTION("""COMPUTED_VALUE"""),"0810")</f>
        <v>0810</v>
      </c>
      <c r="G885" s="243" t="str">
        <f ca="1">IFERROR(__xludf.DUMMYFUNCTION("""COMPUTED_VALUE"""),"140538")</f>
        <v>140538</v>
      </c>
      <c r="H885" s="243" t="str">
        <f ca="1">IFERROR(__xludf.DUMMYFUNCTION("""COMPUTED_VALUE"""),"INDIGENA PARCIAL")</f>
        <v>INDIGENA PARCIAL</v>
      </c>
      <c r="I885" s="245">
        <f ca="1">IFERROR(__xludf.DUMMYFUNCTION("""COMPUTED_VALUE"""),11781)</f>
        <v>11781</v>
      </c>
    </row>
    <row r="886" spans="1:9" ht="19.5" customHeight="1">
      <c r="A886" s="243" t="str">
        <f ca="1">IFERROR(__xludf.DUMMYFUNCTION("""COMPUTED_VALUE"""),"Tocantinópolis")</f>
        <v>Tocantinópolis</v>
      </c>
      <c r="B886" s="243" t="str">
        <f ca="1">IFERROR(__xludf.DUMMYFUNCTION("""COMPUTED_VALUE"""),"Tocantinopolis")</f>
        <v>Tocantinopolis</v>
      </c>
      <c r="C886" s="243" t="str">
        <f ca="1">IFERROR(__xludf.DUMMYFUNCTION("""COMPUTED_VALUE"""),"ASSOCIAÇÃO DE APOIO A ESCOLA ESPECIAL UM PASSO DIFERENTE -APAE")</f>
        <v>ASSOCIAÇÃO DE APOIO A ESCOLA ESPECIAL UM PASSO DIFERENTE -APAE</v>
      </c>
      <c r="D886" s="244" t="str">
        <f ca="1">IFERROR(__xludf.DUMMYFUNCTION("""COMPUTED_VALUE"""),"08012610000117")</f>
        <v>08012610000117</v>
      </c>
      <c r="E886" s="244" t="str">
        <f ca="1">IFERROR(__xludf.DUMMYFUNCTION("""COMPUTED_VALUE"""),"001")</f>
        <v>001</v>
      </c>
      <c r="F886" s="244" t="str">
        <f ca="1">IFERROR(__xludf.DUMMYFUNCTION("""COMPUTED_VALUE"""),"0810")</f>
        <v>0810</v>
      </c>
      <c r="G886" s="243" t="str">
        <f ca="1">IFERROR(__xludf.DUMMYFUNCTION("""COMPUTED_VALUE"""),"204250")</f>
        <v>204250</v>
      </c>
      <c r="H886" s="243" t="str">
        <f ca="1">IFERROR(__xludf.DUMMYFUNCTION("""COMPUTED_VALUE"""),"PRÉ-ESCOLA")</f>
        <v>PRÉ-ESCOLA</v>
      </c>
      <c r="I886" s="245">
        <f ca="1">IFERROR(__xludf.DUMMYFUNCTION("""COMPUTED_VALUE"""),84)</f>
        <v>84</v>
      </c>
    </row>
    <row r="887" spans="1:9" ht="19.5" customHeight="1">
      <c r="A887" s="243" t="str">
        <f ca="1">IFERROR(__xludf.DUMMYFUNCTION("""COMPUTED_VALUE"""),"Tocantinópolis")</f>
        <v>Tocantinópolis</v>
      </c>
      <c r="B887" s="243" t="str">
        <f ca="1">IFERROR(__xludf.DUMMYFUNCTION("""COMPUTED_VALUE"""),"Tocantinopolis")</f>
        <v>Tocantinopolis</v>
      </c>
      <c r="C887" s="243" t="str">
        <f ca="1">IFERROR(__xludf.DUMMYFUNCTION("""COMPUTED_VALUE"""),"ASSOCIAÇÃO DE APOIO A ESCOLA ESPECIAL UM PASSO DIFERENTE -APAE")</f>
        <v>ASSOCIAÇÃO DE APOIO A ESCOLA ESPECIAL UM PASSO DIFERENTE -APAE</v>
      </c>
      <c r="D887" s="244" t="str">
        <f ca="1">IFERROR(__xludf.DUMMYFUNCTION("""COMPUTED_VALUE"""),"08012610000117")</f>
        <v>08012610000117</v>
      </c>
      <c r="E887" s="244" t="str">
        <f ca="1">IFERROR(__xludf.DUMMYFUNCTION("""COMPUTED_VALUE"""),"001")</f>
        <v>001</v>
      </c>
      <c r="F887" s="244" t="str">
        <f ca="1">IFERROR(__xludf.DUMMYFUNCTION("""COMPUTED_VALUE"""),"0810")</f>
        <v>0810</v>
      </c>
      <c r="G887" s="243" t="str">
        <f ca="1">IFERROR(__xludf.DUMMYFUNCTION("""COMPUTED_VALUE"""),"204250")</f>
        <v>204250</v>
      </c>
      <c r="H887" s="243" t="str">
        <f ca="1">IFERROR(__xludf.DUMMYFUNCTION("""COMPUTED_VALUE"""),"E.F. PARCIAL")</f>
        <v>E.F. PARCIAL</v>
      </c>
      <c r="I887" s="245">
        <f ca="1">IFERROR(__xludf.DUMMYFUNCTION("""COMPUTED_VALUE"""),189)</f>
        <v>189</v>
      </c>
    </row>
    <row r="888" spans="1:9" ht="19.5" customHeight="1">
      <c r="A888" s="243" t="str">
        <f ca="1">IFERROR(__xludf.DUMMYFUNCTION("""COMPUTED_VALUE"""),"Tocantinópolis")</f>
        <v>Tocantinópolis</v>
      </c>
      <c r="B888" s="243" t="str">
        <f ca="1">IFERROR(__xludf.DUMMYFUNCTION("""COMPUTED_VALUE"""),"Tocantinopolis")</f>
        <v>Tocantinopolis</v>
      </c>
      <c r="C888" s="243" t="str">
        <f ca="1">IFERROR(__xludf.DUMMYFUNCTION("""COMPUTED_VALUE"""),"ASSOCIAÇÃO DE APOIO A ESCOLA ESPECIAL UM PASSO DIFERENTE -APAE")</f>
        <v>ASSOCIAÇÃO DE APOIO A ESCOLA ESPECIAL UM PASSO DIFERENTE -APAE</v>
      </c>
      <c r="D888" s="244" t="str">
        <f ca="1">IFERROR(__xludf.DUMMYFUNCTION("""COMPUTED_VALUE"""),"08012610000117")</f>
        <v>08012610000117</v>
      </c>
      <c r="E888" s="244" t="str">
        <f ca="1">IFERROR(__xludf.DUMMYFUNCTION("""COMPUTED_VALUE"""),"001")</f>
        <v>001</v>
      </c>
      <c r="F888" s="244" t="str">
        <f ca="1">IFERROR(__xludf.DUMMYFUNCTION("""COMPUTED_VALUE"""),"0810")</f>
        <v>0810</v>
      </c>
      <c r="G888" s="243" t="str">
        <f ca="1">IFERROR(__xludf.DUMMYFUNCTION("""COMPUTED_VALUE"""),"204250")</f>
        <v>204250</v>
      </c>
      <c r="H888" s="243" t="str">
        <f ca="1">IFERROR(__xludf.DUMMYFUNCTION("""COMPUTED_VALUE"""),"EJA")</f>
        <v>EJA</v>
      </c>
      <c r="I888" s="245">
        <f ca="1">IFERROR(__xludf.DUMMYFUNCTION("""COMPUTED_VALUE"""),1764)</f>
        <v>1764</v>
      </c>
    </row>
    <row r="889" spans="1:9" ht="19.5" customHeight="1">
      <c r="A889" s="243" t="str">
        <f ca="1">IFERROR(__xludf.DUMMYFUNCTION("""COMPUTED_VALUE"""),"Tocantinópolis")</f>
        <v>Tocantinópolis</v>
      </c>
      <c r="B889" s="243" t="str">
        <f ca="1">IFERROR(__xludf.DUMMYFUNCTION("""COMPUTED_VALUE"""),"Tocantinopolis")</f>
        <v>Tocantinopolis</v>
      </c>
      <c r="C889" s="243" t="str">
        <f ca="1">IFERROR(__xludf.DUMMYFUNCTION("""COMPUTED_VALUE"""),"ASSOC. APOIO AO COLÉGIODOM ORIONE")</f>
        <v>ASSOC. APOIO AO COLÉGIODOM ORIONE</v>
      </c>
      <c r="D889" s="244" t="str">
        <f ca="1">IFERROR(__xludf.DUMMYFUNCTION("""COMPUTED_VALUE"""),"13033002000129")</f>
        <v>13033002000129</v>
      </c>
      <c r="E889" s="244" t="str">
        <f ca="1">IFERROR(__xludf.DUMMYFUNCTION("""COMPUTED_VALUE"""),"001")</f>
        <v>001</v>
      </c>
      <c r="F889" s="244" t="str">
        <f ca="1">IFERROR(__xludf.DUMMYFUNCTION("""COMPUTED_VALUE"""),"0810")</f>
        <v>0810</v>
      </c>
      <c r="G889" s="243" t="str">
        <f ca="1">IFERROR(__xludf.DUMMYFUNCTION("""COMPUTED_VALUE"""),"254193")</f>
        <v>254193</v>
      </c>
      <c r="H889" s="243" t="str">
        <f ca="1">IFERROR(__xludf.DUMMYFUNCTION("""COMPUTED_VALUE"""),"E.F. PARCIAL")</f>
        <v>E.F. PARCIAL</v>
      </c>
      <c r="I889" s="245">
        <f ca="1">IFERROR(__xludf.DUMMYFUNCTION("""COMPUTED_VALUE"""),3948)</f>
        <v>3948</v>
      </c>
    </row>
    <row r="890" spans="1:9" ht="19.5" customHeight="1">
      <c r="A890" s="243" t="str">
        <f ca="1">IFERROR(__xludf.DUMMYFUNCTION("""COMPUTED_VALUE"""),"Tocantinópolis")</f>
        <v>Tocantinópolis</v>
      </c>
      <c r="B890" s="243" t="str">
        <f ca="1">IFERROR(__xludf.DUMMYFUNCTION("""COMPUTED_VALUE"""),"Tocantinopolis")</f>
        <v>Tocantinopolis</v>
      </c>
      <c r="C890" s="243" t="str">
        <f ca="1">IFERROR(__xludf.DUMMYFUNCTION("""COMPUTED_VALUE"""),"ASSOC. APOIO AO COLÉGIODOM ORIONE")</f>
        <v>ASSOC. APOIO AO COLÉGIODOM ORIONE</v>
      </c>
      <c r="D890" s="244" t="str">
        <f ca="1">IFERROR(__xludf.DUMMYFUNCTION("""COMPUTED_VALUE"""),"13033002000129")</f>
        <v>13033002000129</v>
      </c>
      <c r="E890" s="244" t="str">
        <f ca="1">IFERROR(__xludf.DUMMYFUNCTION("""COMPUTED_VALUE"""),"001")</f>
        <v>001</v>
      </c>
      <c r="F890" s="244" t="str">
        <f ca="1">IFERROR(__xludf.DUMMYFUNCTION("""COMPUTED_VALUE"""),"0810")</f>
        <v>0810</v>
      </c>
      <c r="G890" s="243" t="str">
        <f ca="1">IFERROR(__xludf.DUMMYFUNCTION("""COMPUTED_VALUE"""),"254193")</f>
        <v>254193</v>
      </c>
      <c r="H890" s="243" t="str">
        <f ca="1">IFERROR(__xludf.DUMMYFUNCTION("""COMPUTED_VALUE"""),"AEE")</f>
        <v>AEE</v>
      </c>
      <c r="I890" s="245">
        <f ca="1">IFERROR(__xludf.DUMMYFUNCTION("""COMPUTED_VALUE"""),546)</f>
        <v>546</v>
      </c>
    </row>
    <row r="891" spans="1:9" ht="19.5" customHeight="1">
      <c r="A891" s="243" t="str">
        <f ca="1">IFERROR(__xludf.DUMMYFUNCTION("""COMPUTED_VALUE"""),"Tocantinópolis")</f>
        <v>Tocantinópolis</v>
      </c>
      <c r="B891" s="243" t="str">
        <f ca="1">IFERROR(__xludf.DUMMYFUNCTION("""COMPUTED_VALUE"""),"Tocantinopolis")</f>
        <v>Tocantinopolis</v>
      </c>
      <c r="C891" s="243" t="str">
        <f ca="1">IFERROR(__xludf.DUMMYFUNCTION("""COMPUTED_VALUE"""),"ASSOC. APOIO AO COLÉGIODOM ORIONE")</f>
        <v>ASSOC. APOIO AO COLÉGIODOM ORIONE</v>
      </c>
      <c r="D891" s="244" t="str">
        <f ca="1">IFERROR(__xludf.DUMMYFUNCTION("""COMPUTED_VALUE"""),"13033002000129")</f>
        <v>13033002000129</v>
      </c>
      <c r="E891" s="244" t="str">
        <f ca="1">IFERROR(__xludf.DUMMYFUNCTION("""COMPUTED_VALUE"""),"001")</f>
        <v>001</v>
      </c>
      <c r="F891" s="244" t="str">
        <f ca="1">IFERROR(__xludf.DUMMYFUNCTION("""COMPUTED_VALUE"""),"0810")</f>
        <v>0810</v>
      </c>
      <c r="G891" s="243" t="str">
        <f ca="1">IFERROR(__xludf.DUMMYFUNCTION("""COMPUTED_VALUE"""),"254193")</f>
        <v>254193</v>
      </c>
      <c r="H891" s="243" t="str">
        <f ca="1">IFERROR(__xludf.DUMMYFUNCTION("""COMPUTED_VALUE"""),"ENS MEDIO PARCIAL")</f>
        <v>ENS MEDIO PARCIAL</v>
      </c>
      <c r="I891" s="245">
        <f ca="1">IFERROR(__xludf.DUMMYFUNCTION("""COMPUTED_VALUE"""),8421)</f>
        <v>8421</v>
      </c>
    </row>
    <row r="892" spans="1:9" ht="19.5" customHeight="1">
      <c r="A892" s="243"/>
      <c r="B892" s="243"/>
      <c r="C892" s="243"/>
      <c r="D892" s="244"/>
      <c r="E892" s="244"/>
      <c r="F892" s="244"/>
      <c r="G892" s="243"/>
      <c r="H892" s="243"/>
      <c r="I892" s="243"/>
    </row>
    <row r="893" spans="1:9" ht="19.5" customHeight="1">
      <c r="A893" s="243"/>
      <c r="B893" s="243"/>
      <c r="C893" s="243"/>
      <c r="D893" s="244"/>
      <c r="E893" s="244"/>
      <c r="F893" s="244"/>
      <c r="G893" s="243"/>
      <c r="H893" s="243"/>
      <c r="I893" s="243"/>
    </row>
    <row r="894" spans="1:9" ht="19.5" customHeight="1">
      <c r="A894" s="243"/>
      <c r="B894" s="243"/>
      <c r="C894" s="243"/>
      <c r="D894" s="244"/>
      <c r="E894" s="244"/>
      <c r="F894" s="244"/>
      <c r="G894" s="243"/>
      <c r="H894" s="243"/>
      <c r="I894" s="243"/>
    </row>
    <row r="895" spans="1:9" ht="19.5" customHeight="1">
      <c r="A895" s="243"/>
      <c r="B895" s="243"/>
      <c r="C895" s="243"/>
      <c r="D895" s="244"/>
      <c r="E895" s="244"/>
      <c r="F895" s="244"/>
      <c r="G895" s="243"/>
      <c r="H895" s="243"/>
      <c r="I895" s="243"/>
    </row>
    <row r="896" spans="1:9" ht="19.5" customHeight="1">
      <c r="A896" s="243"/>
      <c r="B896" s="243"/>
      <c r="C896" s="243"/>
      <c r="D896" s="244"/>
      <c r="E896" s="244"/>
      <c r="F896" s="244"/>
      <c r="G896" s="243"/>
      <c r="H896" s="243"/>
      <c r="I896" s="243"/>
    </row>
    <row r="897" spans="1:9" ht="19.5" customHeight="1">
      <c r="A897" s="243"/>
      <c r="B897" s="243"/>
      <c r="C897" s="243"/>
      <c r="D897" s="244"/>
      <c r="E897" s="244"/>
      <c r="F897" s="244"/>
      <c r="G897" s="243"/>
      <c r="H897" s="243"/>
      <c r="I897" s="243"/>
    </row>
    <row r="898" spans="1:9" ht="19.5" customHeight="1">
      <c r="A898" s="243"/>
      <c r="B898" s="243"/>
      <c r="C898" s="243"/>
      <c r="D898" s="244"/>
      <c r="E898" s="244"/>
      <c r="F898" s="244"/>
      <c r="G898" s="243"/>
      <c r="H898" s="243"/>
      <c r="I898" s="243"/>
    </row>
    <row r="899" spans="1:9" ht="19.5" customHeight="1">
      <c r="A899" s="243"/>
      <c r="B899" s="243"/>
      <c r="C899" s="243"/>
      <c r="D899" s="244"/>
      <c r="E899" s="244"/>
      <c r="F899" s="244"/>
      <c r="G899" s="243"/>
      <c r="H899" s="243"/>
      <c r="I899" s="243"/>
    </row>
    <row r="900" spans="1:9" ht="19.5" customHeight="1">
      <c r="A900" s="243"/>
      <c r="B900" s="243"/>
      <c r="C900" s="243"/>
      <c r="D900" s="244"/>
      <c r="E900" s="244"/>
      <c r="F900" s="244"/>
      <c r="G900" s="243"/>
      <c r="H900" s="243"/>
      <c r="I900" s="243"/>
    </row>
    <row r="901" spans="1:9" ht="19.5" customHeight="1">
      <c r="A901" s="243"/>
      <c r="B901" s="243"/>
      <c r="C901" s="243"/>
      <c r="D901" s="244"/>
      <c r="E901" s="244"/>
      <c r="F901" s="244"/>
      <c r="G901" s="243"/>
      <c r="H901" s="243"/>
      <c r="I901" s="243"/>
    </row>
    <row r="902" spans="1:9" ht="19.5" customHeight="1">
      <c r="A902" s="243"/>
      <c r="B902" s="243"/>
      <c r="C902" s="243"/>
      <c r="D902" s="244"/>
      <c r="E902" s="244"/>
      <c r="F902" s="244"/>
      <c r="G902" s="243"/>
      <c r="H902" s="243"/>
      <c r="I902" s="243"/>
    </row>
    <row r="903" spans="1:9" ht="19.5" customHeight="1">
      <c r="A903" s="243"/>
      <c r="B903" s="243"/>
      <c r="C903" s="243"/>
      <c r="D903" s="244"/>
      <c r="E903" s="244"/>
      <c r="F903" s="244"/>
      <c r="G903" s="243"/>
      <c r="H903" s="243"/>
      <c r="I903" s="243"/>
    </row>
    <row r="904" spans="1:9" ht="19.5" customHeight="1">
      <c r="A904" s="243"/>
      <c r="B904" s="243"/>
      <c r="C904" s="243"/>
      <c r="D904" s="244"/>
      <c r="E904" s="244"/>
      <c r="F904" s="244"/>
      <c r="G904" s="243"/>
      <c r="H904" s="243"/>
      <c r="I904" s="243"/>
    </row>
    <row r="905" spans="1:9" ht="19.5" customHeight="1">
      <c r="A905" s="243"/>
      <c r="B905" s="243"/>
      <c r="C905" s="243"/>
      <c r="D905" s="244"/>
      <c r="E905" s="244"/>
      <c r="F905" s="244"/>
      <c r="G905" s="243"/>
      <c r="H905" s="243"/>
      <c r="I905" s="243"/>
    </row>
    <row r="906" spans="1:9" ht="19.5" customHeight="1">
      <c r="A906" s="243"/>
      <c r="B906" s="243"/>
      <c r="C906" s="243"/>
      <c r="D906" s="244"/>
      <c r="E906" s="244"/>
      <c r="F906" s="244"/>
      <c r="G906" s="243"/>
      <c r="H906" s="243"/>
      <c r="I906" s="243"/>
    </row>
    <row r="907" spans="1:9" ht="19.5" customHeight="1">
      <c r="A907" s="243"/>
      <c r="B907" s="243"/>
      <c r="C907" s="243"/>
      <c r="D907" s="244"/>
      <c r="E907" s="244"/>
      <c r="F907" s="244"/>
      <c r="G907" s="243"/>
      <c r="H907" s="243"/>
      <c r="I907" s="243"/>
    </row>
    <row r="908" spans="1:9" ht="19.5" customHeight="1">
      <c r="A908" s="243"/>
      <c r="B908" s="243"/>
      <c r="C908" s="243"/>
      <c r="D908" s="244"/>
      <c r="E908" s="244"/>
      <c r="F908" s="244"/>
      <c r="G908" s="243"/>
      <c r="H908" s="243"/>
      <c r="I908" s="243"/>
    </row>
    <row r="909" spans="1:9" ht="19.5" customHeight="1">
      <c r="A909" s="243"/>
      <c r="B909" s="243"/>
      <c r="C909" s="243"/>
      <c r="D909" s="244"/>
      <c r="E909" s="244"/>
      <c r="F909" s="244"/>
      <c r="G909" s="243"/>
      <c r="H909" s="243"/>
      <c r="I909" s="243"/>
    </row>
    <row r="910" spans="1:9" ht="19.5" customHeight="1">
      <c r="A910" s="243"/>
      <c r="B910" s="243"/>
      <c r="C910" s="243"/>
      <c r="D910" s="244"/>
      <c r="E910" s="244"/>
      <c r="F910" s="244"/>
      <c r="G910" s="243"/>
      <c r="H910" s="243"/>
      <c r="I910" s="243"/>
    </row>
    <row r="911" spans="1:9" ht="19.5" customHeight="1">
      <c r="A911" s="243"/>
      <c r="B911" s="243"/>
      <c r="C911" s="243"/>
      <c r="D911" s="244"/>
      <c r="E911" s="244"/>
      <c r="F911" s="244"/>
      <c r="G911" s="243"/>
      <c r="H911" s="243"/>
      <c r="I911" s="243"/>
    </row>
    <row r="912" spans="1:9" ht="19.5" customHeight="1">
      <c r="A912" s="243"/>
      <c r="B912" s="243"/>
      <c r="C912" s="243"/>
      <c r="D912" s="244"/>
      <c r="E912" s="244"/>
      <c r="F912" s="244"/>
      <c r="G912" s="243"/>
      <c r="H912" s="243"/>
      <c r="I912" s="243"/>
    </row>
    <row r="913" spans="1:9" ht="19.5" customHeight="1">
      <c r="A913" s="243"/>
      <c r="B913" s="243"/>
      <c r="C913" s="243"/>
      <c r="D913" s="244"/>
      <c r="E913" s="244"/>
      <c r="F913" s="244"/>
      <c r="G913" s="243"/>
      <c r="H913" s="243"/>
      <c r="I913" s="243"/>
    </row>
    <row r="914" spans="1:9" ht="19.5" customHeight="1">
      <c r="A914" s="243"/>
      <c r="B914" s="243"/>
      <c r="C914" s="243"/>
      <c r="D914" s="244"/>
      <c r="E914" s="244"/>
      <c r="F914" s="244"/>
      <c r="G914" s="243"/>
      <c r="H914" s="243"/>
      <c r="I914" s="243"/>
    </row>
    <row r="915" spans="1:9" ht="19.5" customHeight="1">
      <c r="A915" s="243"/>
      <c r="B915" s="243"/>
      <c r="C915" s="243"/>
      <c r="D915" s="244"/>
      <c r="E915" s="244"/>
      <c r="F915" s="244"/>
      <c r="G915" s="243"/>
      <c r="H915" s="243"/>
      <c r="I915" s="243"/>
    </row>
    <row r="916" spans="1:9" ht="12.75">
      <c r="D916" s="3"/>
      <c r="E916" s="3"/>
      <c r="F916" s="3"/>
    </row>
    <row r="917" spans="1:9" ht="12.75">
      <c r="D917" s="3"/>
      <c r="E917" s="3"/>
      <c r="F917" s="3"/>
    </row>
    <row r="918" spans="1:9" ht="12.75">
      <c r="D918" s="3"/>
      <c r="E918" s="3"/>
      <c r="F918" s="3"/>
    </row>
    <row r="919" spans="1:9" ht="12.75">
      <c r="D919" s="3"/>
      <c r="E919" s="3"/>
      <c r="F919" s="3"/>
    </row>
    <row r="920" spans="1:9" ht="12.75">
      <c r="D920" s="3"/>
      <c r="E920" s="3"/>
      <c r="F920" s="3"/>
    </row>
    <row r="921" spans="1:9" ht="12.75">
      <c r="D921" s="3"/>
      <c r="E921" s="3"/>
      <c r="F921" s="3"/>
    </row>
    <row r="922" spans="1:9" ht="12.75">
      <c r="D922" s="3"/>
      <c r="E922" s="3"/>
      <c r="F922" s="3"/>
    </row>
    <row r="923" spans="1:9" ht="12.75">
      <c r="D923" s="3"/>
      <c r="E923" s="3"/>
      <c r="F923" s="3"/>
    </row>
    <row r="924" spans="1:9" ht="12.75">
      <c r="D924" s="3"/>
      <c r="E924" s="3"/>
      <c r="F924" s="3"/>
    </row>
    <row r="925" spans="1:9" ht="12.75">
      <c r="D925" s="3"/>
      <c r="E925" s="3"/>
      <c r="F925" s="3"/>
    </row>
    <row r="926" spans="1:9" ht="12.75">
      <c r="D926" s="3"/>
      <c r="E926" s="3"/>
      <c r="F926" s="3"/>
    </row>
    <row r="927" spans="1:9" ht="12.75">
      <c r="D927" s="3"/>
      <c r="E927" s="3"/>
      <c r="F927" s="3"/>
    </row>
    <row r="928" spans="1:9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382"/>
      <c r="B1" s="363"/>
      <c r="C1" s="383"/>
      <c r="D1" s="384" t="s">
        <v>140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5"/>
    </row>
    <row r="2" spans="1:20" ht="16.5" customHeight="1">
      <c r="A2" s="363"/>
      <c r="B2" s="363"/>
      <c r="C2" s="383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</row>
    <row r="3" spans="1:20" ht="24" customHeight="1">
      <c r="A3" s="363"/>
      <c r="B3" s="363"/>
      <c r="C3" s="383"/>
      <c r="D3" s="246" t="s">
        <v>124</v>
      </c>
      <c r="E3" s="247"/>
      <c r="F3" s="385"/>
      <c r="G3" s="386"/>
      <c r="H3" s="248">
        <f t="shared" ref="H3:Q3" ca="1" si="0">SUBTOTAL(9,H6:H184)</f>
        <v>737352</v>
      </c>
      <c r="I3" s="248">
        <f t="shared" ca="1" si="0"/>
        <v>0</v>
      </c>
      <c r="J3" s="248">
        <f t="shared" ca="1" si="0"/>
        <v>0</v>
      </c>
      <c r="K3" s="248">
        <f t="shared" ca="1" si="0"/>
        <v>114150.40000000001</v>
      </c>
      <c r="L3" s="248">
        <f t="shared" ca="1" si="0"/>
        <v>0</v>
      </c>
      <c r="M3" s="248">
        <f t="shared" ca="1" si="0"/>
        <v>201772.79999999999</v>
      </c>
      <c r="N3" s="248">
        <f t="shared" ca="1" si="0"/>
        <v>2373.6000000000004</v>
      </c>
      <c r="O3" s="248">
        <f t="shared" ca="1" si="0"/>
        <v>15828.599999999988</v>
      </c>
      <c r="P3" s="248">
        <f t="shared" ca="1" si="0"/>
        <v>65867.999999999913</v>
      </c>
      <c r="Q3" s="248">
        <f t="shared" ca="1" si="0"/>
        <v>1113183.5999999999</v>
      </c>
    </row>
    <row r="4" spans="1:20" ht="58.5" customHeight="1">
      <c r="A4" s="249" t="s">
        <v>4</v>
      </c>
      <c r="B4" s="249" t="s">
        <v>5</v>
      </c>
      <c r="C4" s="250" t="str">
        <f ca="1">"UNIDADES EXECUTORAS = " &amp; COUNTA(C6:C523)</f>
        <v>UNIDADES EXECUTORAS = 43</v>
      </c>
      <c r="D4" s="250" t="s">
        <v>8</v>
      </c>
      <c r="E4" s="251" t="s">
        <v>0</v>
      </c>
      <c r="F4" s="251" t="s">
        <v>1</v>
      </c>
      <c r="G4" s="252" t="s">
        <v>2</v>
      </c>
      <c r="H4" s="140" t="s">
        <v>12</v>
      </c>
      <c r="I4" s="253" t="s">
        <v>13</v>
      </c>
      <c r="J4" s="253" t="s">
        <v>14</v>
      </c>
      <c r="K4" s="140" t="s">
        <v>18</v>
      </c>
      <c r="L4" s="140" t="s">
        <v>21</v>
      </c>
      <c r="M4" s="140" t="s">
        <v>22</v>
      </c>
      <c r="N4" s="253" t="s">
        <v>28</v>
      </c>
      <c r="O4" s="253" t="s">
        <v>29</v>
      </c>
      <c r="P4" s="253" t="s">
        <v>30</v>
      </c>
      <c r="Q4" s="184" t="s">
        <v>137</v>
      </c>
    </row>
    <row r="5" spans="1:20" ht="13.5" customHeight="1">
      <c r="A5" s="254" t="str">
        <f ca="1">IFERROR(__xludf.DUMMYFUNCTION("QUERY(REP_EST!A6:Z590,""select A,B,C,D,E,F,G, K, M, N, R, U, V, X, Y, Z WHERE X&gt;0 OR Y&gt;0 OR Z&gt;0 "")"),"Araguaina")</f>
        <v>Araguaina</v>
      </c>
      <c r="B5" s="254" t="str">
        <f ca="1">IFERROR(__xludf.DUMMYFUNCTION("""COMPUTED_VALUE"""),"Ananas")</f>
        <v>Ananas</v>
      </c>
      <c r="C5" s="254" t="str">
        <f ca="1">IFERROR(__xludf.DUMMYFUNCTION("""COMPUTED_VALUE"""),"ASSOC. DE APOIO DO CENTRO DE ENSINO MÉDIO CABO APARICIO ARAÚJO PAZ")</f>
        <v>ASSOC. DE APOIO DO CENTRO DE ENSINO MÉDIO CABO APARICIO ARAÚJO PAZ</v>
      </c>
      <c r="D5" s="254" t="str">
        <f ca="1">IFERROR(__xludf.DUMMYFUNCTION("""COMPUTED_VALUE"""),"05537116000188")</f>
        <v>05537116000188</v>
      </c>
      <c r="E5" s="255" t="str">
        <f ca="1">IFERROR(__xludf.DUMMYFUNCTION("""COMPUTED_VALUE"""),"001")</f>
        <v>001</v>
      </c>
      <c r="F5" s="255" t="str">
        <f ca="1">IFERROR(__xludf.DUMMYFUNCTION("""COMPUTED_VALUE"""),"3973")</f>
        <v>3973</v>
      </c>
      <c r="G5" s="255" t="str">
        <f ca="1">IFERROR(__xludf.DUMMYFUNCTION("""COMPUTED_VALUE"""),"114510")</f>
        <v>114510</v>
      </c>
      <c r="H5" s="254" t="str">
        <f ca="1">IFERROR(__xludf.DUMMYFUNCTION("""COMPUTED_VALUE"""),"product(078.4())")</f>
        <v>product(078.4())</v>
      </c>
      <c r="I5" s="254" t="str">
        <f ca="1">IFERROR(__xludf.DUMMYFUNCTION("""COMPUTED_VALUE"""),"product(078.4())")</f>
        <v>product(078.4())</v>
      </c>
      <c r="J5" s="254" t="str">
        <f ca="1">IFERROR(__xludf.DUMMYFUNCTION("""COMPUTED_VALUE"""),"product(078.4())")</f>
        <v>product(078.4())</v>
      </c>
      <c r="K5" s="254" t="str">
        <f ca="1">IFERROR(__xludf.DUMMYFUNCTION("""COMPUTED_VALUE"""),"product(078.4())")</f>
        <v>product(078.4())</v>
      </c>
      <c r="L5" s="254" t="str">
        <f ca="1">IFERROR(__xludf.DUMMYFUNCTION("""COMPUTED_VALUE"""),"product(INTERNATO264.6())")</f>
        <v>product(INTERNATO264.6())</v>
      </c>
      <c r="M5" s="254" t="str">
        <f ca="1">IFERROR(__xludf.DUMMYFUNCTION("""COMPUTED_VALUE"""),"product(0148.8())")</f>
        <v>product(0148.8())</v>
      </c>
      <c r="N5" s="254" t="str">
        <f ca="1">IFERROR(__xludf.DUMMYFUNCTION("""COMPUTED_VALUE"""),"product(197.8())")</f>
        <v>product(197.8())</v>
      </c>
      <c r="O5" s="254" t="str">
        <f ca="1">IFERROR(__xludf.DUMMYFUNCTION("""COMPUTED_VALUE"""),"product(170.2())")</f>
        <v>product(170.2())</v>
      </c>
      <c r="P5" s="254" t="str">
        <f ca="1">IFERROR(__xludf.DUMMYFUNCTION("""COMPUTED_VALUE"""),"product(99.8())")</f>
        <v>product(99.8())</v>
      </c>
      <c r="Q5" s="254"/>
      <c r="R5" s="256"/>
      <c r="S5" s="256"/>
      <c r="T5" s="256"/>
    </row>
    <row r="6" spans="1:20" ht="17.25" customHeight="1">
      <c r="A6" s="144" t="str">
        <f ca="1">IFERROR(__xludf.DUMMYFUNCTION("""COMPUTED_VALUE"""),"Araguaina")</f>
        <v>Araguaina</v>
      </c>
      <c r="B6" s="144" t="str">
        <f ca="1">IFERROR(__xludf.DUMMYFUNCTION("""COMPUTED_VALUE"""),"Araguaina")</f>
        <v>Araguaina</v>
      </c>
      <c r="C6" s="145" t="str">
        <f ca="1">IFERROR(__xludf.DUMMYFUNCTION("""COMPUTED_VALUE"""),"A.A. DO CAIC JORGE HUMBERTO CAMARGO")</f>
        <v>A.A. DO CAIC JORGE HUMBERTO CAMARGO</v>
      </c>
      <c r="D6" s="257" t="str">
        <f ca="1">IFERROR(__xludf.DUMMYFUNCTION("""COMPUTED_VALUE"""),"01071395000186")</f>
        <v>01071395000186</v>
      </c>
      <c r="E6" s="146" t="str">
        <f ca="1">IFERROR(__xludf.DUMMYFUNCTION("""COMPUTED_VALUE"""),"001")</f>
        <v>001</v>
      </c>
      <c r="F6" s="146" t="str">
        <f ca="1">IFERROR(__xludf.DUMMYFUNCTION("""COMPUTED_VALUE"""),"0638")</f>
        <v>0638</v>
      </c>
      <c r="G6" s="146" t="str">
        <f ca="1">IFERROR(__xludf.DUMMYFUNCTION("""COMPUTED_VALUE"""),"55099X")</f>
        <v>55099X</v>
      </c>
      <c r="H6" s="148">
        <f ca="1">IFERROR(__xludf.DUMMYFUNCTION("""COMPUTED_VALUE"""),55272)</f>
        <v>55272</v>
      </c>
      <c r="I6" s="148">
        <f ca="1">IFERROR(__xludf.DUMMYFUNCTION("""COMPUTED_VALUE"""),0)</f>
        <v>0</v>
      </c>
      <c r="J6" s="148">
        <f ca="1">IFERROR(__xludf.DUMMYFUNCTION("""COMPUTED_VALUE"""),0)</f>
        <v>0</v>
      </c>
      <c r="K6" s="148">
        <f ca="1">IFERROR(__xludf.DUMMYFUNCTION("""COMPUTED_VALUE"""),0)</f>
        <v>0</v>
      </c>
      <c r="L6" s="148">
        <f ca="1">IFERROR(__xludf.DUMMYFUNCTION("""COMPUTED_VALUE"""),0)</f>
        <v>0</v>
      </c>
      <c r="M6" s="148">
        <f ca="1">IFERROR(__xludf.DUMMYFUNCTION("""COMPUTED_VALUE"""),0)</f>
        <v>0</v>
      </c>
      <c r="N6" s="148">
        <f ca="1">IFERROR(__xludf.DUMMYFUNCTION("""COMPUTED_VALUE"""),0)</f>
        <v>0</v>
      </c>
      <c r="O6" s="148">
        <f ca="1">IFERROR(__xludf.DUMMYFUNCTION("""COMPUTED_VALUE"""),0)</f>
        <v>0</v>
      </c>
      <c r="P6" s="148">
        <f ca="1">IFERROR(__xludf.DUMMYFUNCTION("""COMPUTED_VALUE"""),4690.59999999999)</f>
        <v>4690.5999999999904</v>
      </c>
      <c r="Q6" s="148">
        <f t="shared" ref="Q6:Q46" ca="1" si="1">SUM(H6:P6)</f>
        <v>59962.599999999991</v>
      </c>
    </row>
    <row r="7" spans="1:20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IFERROR(__xludf.DUMMYFUNCTION("""COMPUTED_VALUE"""),"A.A.ESCOLA TEMPO INTEGRAL JARDENIR JORGE FREDERICO")</f>
        <v>A.A.ESCOLA TEMPO INTEGRAL JARDENIR JORGE FREDERICO</v>
      </c>
      <c r="D7" s="258" t="str">
        <f ca="1">IFERROR(__xludf.DUMMYFUNCTION("""COMPUTED_VALUE"""),"43361835000180")</f>
        <v>43361835000180</v>
      </c>
      <c r="E7" s="151" t="str">
        <f ca="1">IFERROR(__xludf.DUMMYFUNCTION("""COMPUTED_VALUE"""),"001")</f>
        <v>001</v>
      </c>
      <c r="F7" s="151" t="str">
        <f ca="1">IFERROR(__xludf.DUMMYFUNCTION("""COMPUTED_VALUE"""),"4348")</f>
        <v>4348</v>
      </c>
      <c r="G7" s="151" t="str">
        <f ca="1">IFERROR(__xludf.DUMMYFUNCTION("""COMPUTED_VALUE"""),"434795")</f>
        <v>434795</v>
      </c>
      <c r="H7" s="153">
        <f ca="1">IFERROR(__xludf.DUMMYFUNCTION("""COMPUTED_VALUE"""),62798.4)</f>
        <v>62798.400000000001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IFERROR(__xludf.DUMMYFUNCTION("""COMPUTED_VALUE"""),5289.4)</f>
        <v>5289.4</v>
      </c>
      <c r="Q7" s="153">
        <f t="shared" ca="1" si="1"/>
        <v>68087.8</v>
      </c>
    </row>
    <row r="8" spans="1:20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IFERROR(__xludf.DUMMYFUNCTION("""COMPUTED_VALUE"""),"A.A. ESCOLA TEMPO INTEGRAL DOMINGOS DA CRUZ MACHADO")</f>
        <v>A.A. ESCOLA TEMPO INTEGRAL DOMINGOS DA CRUZ MACHADO</v>
      </c>
      <c r="D8" s="257" t="str">
        <f ca="1">IFERROR(__xludf.DUMMYFUNCTION("""COMPUTED_VALUE"""),"49868761000159")</f>
        <v>49868761000159</v>
      </c>
      <c r="E8" s="146" t="str">
        <f ca="1">IFERROR(__xludf.DUMMYFUNCTION("""COMPUTED_VALUE"""),"001")</f>
        <v>001</v>
      </c>
      <c r="F8" s="146" t="str">
        <f ca="1">IFERROR(__xludf.DUMMYFUNCTION("""COMPUTED_VALUE"""),"4348")</f>
        <v>4348</v>
      </c>
      <c r="G8" s="146" t="str">
        <f ca="1">IFERROR(__xludf.DUMMYFUNCTION("""COMPUTED_VALUE"""),"460192")</f>
        <v>460192</v>
      </c>
      <c r="H8" s="148">
        <f ca="1">IFERROR(__xludf.DUMMYFUNCTION("""COMPUTED_VALUE"""),32536)</f>
        <v>32536</v>
      </c>
      <c r="I8" s="148">
        <f ca="1">IFERROR(__xludf.DUMMYFUNCTION("""COMPUTED_VALUE"""),0)</f>
        <v>0</v>
      </c>
      <c r="J8" s="148">
        <f ca="1">IFERROR(__xludf.DUMMYFUNCTION("""COMPUTED_VALUE"""),0)</f>
        <v>0</v>
      </c>
      <c r="K8" s="148">
        <f ca="1">IFERROR(__xludf.DUMMYFUNCTION("""COMPUTED_VALUE"""),3214.4)</f>
        <v>3214.4</v>
      </c>
      <c r="L8" s="148">
        <f ca="1">IFERROR(__xludf.DUMMYFUNCTION("""COMPUTED_VALUE"""),0)</f>
        <v>0</v>
      </c>
      <c r="M8" s="148">
        <f ca="1">IFERROR(__xludf.DUMMYFUNCTION("""COMPUTED_VALUE"""),0)</f>
        <v>0</v>
      </c>
      <c r="N8" s="148">
        <f ca="1">IFERROR(__xludf.DUMMYFUNCTION("""COMPUTED_VALUE"""),0)</f>
        <v>0</v>
      </c>
      <c r="O8" s="148">
        <f ca="1">IFERROR(__xludf.DUMMYFUNCTION("""COMPUTED_VALUE"""),0)</f>
        <v>0</v>
      </c>
      <c r="P8" s="148">
        <f ca="1">IFERROR(__xludf.DUMMYFUNCTION("""COMPUTED_VALUE"""),2994)</f>
        <v>2994</v>
      </c>
      <c r="Q8" s="148">
        <f t="shared" ca="1" si="1"/>
        <v>38744.400000000001</v>
      </c>
    </row>
    <row r="9" spans="1:20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 ESCOLA ESPIRITA ANDRE LUIZ")</f>
        <v>A.A.  ESCOLA ESPIRITA ANDRE LUIZ</v>
      </c>
      <c r="D9" s="258" t="str">
        <f ca="1">IFERROR(__xludf.DUMMYFUNCTION("""COMPUTED_VALUE"""),"01066416000175")</f>
        <v>01066416000175</v>
      </c>
      <c r="E9" s="151" t="str">
        <f ca="1">IFERROR(__xludf.DUMMYFUNCTION("""COMPUTED_VALUE"""),"001")</f>
        <v>001</v>
      </c>
      <c r="F9" s="151" t="str">
        <f ca="1">IFERROR(__xludf.DUMMYFUNCTION("""COMPUTED_VALUE"""),"0638")</f>
        <v>0638</v>
      </c>
      <c r="G9" s="151" t="str">
        <f ca="1">IFERROR(__xludf.DUMMYFUNCTION("""COMPUTED_VALUE"""),"463582")</f>
        <v>463582</v>
      </c>
      <c r="H9" s="153">
        <f ca="1">IFERROR(__xludf.DUMMYFUNCTION("""COMPUTED_VALUE"""),17248)</f>
        <v>17248</v>
      </c>
      <c r="I9" s="153">
        <f ca="1">IFERROR(__xludf.DUMMYFUNCTION("""COMPUTED_VALUE"""),0)</f>
        <v>0</v>
      </c>
      <c r="J9" s="153">
        <f ca="1">IFERROR(__xludf.DUMMYFUNCTION("""COMPUTED_VALUE"""),0)</f>
        <v>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IFERROR(__xludf.DUMMYFUNCTION("""COMPUTED_VALUE"""),1497)</f>
        <v>1497</v>
      </c>
      <c r="Q9" s="153">
        <f t="shared" ca="1" si="1"/>
        <v>18745</v>
      </c>
    </row>
    <row r="10" spans="1:20" ht="12.75">
      <c r="A10" s="144" t="str">
        <f ca="1">IFERROR(__xludf.DUMMYFUNCTION("""COMPUTED_VALUE"""),"Araguaina")</f>
        <v>Araguaina</v>
      </c>
      <c r="B10" s="144" t="str">
        <f ca="1">IFERROR(__xludf.DUMMYFUNCTION("""COMPUTED_VALUE"""),"Araguaina")</f>
        <v>Araguaina</v>
      </c>
      <c r="C10" s="145" t="str">
        <f ca="1">IFERROR(__xludf.DUMMYFUNCTION("""COMPUTED_VALUE"""),"ASS. COM. COL EST. SANCHA FERREIRA")</f>
        <v>ASS. COM. COL EST. SANCHA FERREIRA</v>
      </c>
      <c r="D10" s="257" t="str">
        <f ca="1">IFERROR(__xludf.DUMMYFUNCTION("""COMPUTED_VALUE"""),"01338702000142")</f>
        <v>01338702000142</v>
      </c>
      <c r="E10" s="146" t="str">
        <f ca="1">IFERROR(__xludf.DUMMYFUNCTION("""COMPUTED_VALUE"""),"001")</f>
        <v>001</v>
      </c>
      <c r="F10" s="146" t="str">
        <f ca="1">IFERROR(__xludf.DUMMYFUNCTION("""COMPUTED_VALUE"""),"0638")</f>
        <v>0638</v>
      </c>
      <c r="G10" s="146" t="str">
        <f ca="1">IFERROR(__xludf.DUMMYFUNCTION("""COMPUTED_VALUE"""),"0466913")</f>
        <v>0466913</v>
      </c>
      <c r="H10" s="148">
        <f ca="1">IFERROR(__xludf.DUMMYFUNCTION("""COMPUTED_VALUE"""),15680)</f>
        <v>15680</v>
      </c>
      <c r="I10" s="148">
        <f ca="1">IFERROR(__xludf.DUMMYFUNCTION("""COMPUTED_VALUE"""),0)</f>
        <v>0</v>
      </c>
      <c r="J10" s="148">
        <f ca="1">IFERROR(__xludf.DUMMYFUNCTION("""COMPUTED_VALUE"""),0)</f>
        <v>0</v>
      </c>
      <c r="K10" s="148">
        <f ca="1">IFERROR(__xludf.DUMMYFUNCTION("""COMPUTED_VALUE"""),0)</f>
        <v>0</v>
      </c>
      <c r="L10" s="148">
        <f ca="1">IFERROR(__xludf.DUMMYFUNCTION("""COMPUTED_VALUE"""),0)</f>
        <v>0</v>
      </c>
      <c r="M10" s="148">
        <f ca="1">IFERROR(__xludf.DUMMYFUNCTION("""COMPUTED_VALUE"""),0)</f>
        <v>0</v>
      </c>
      <c r="N10" s="148">
        <f ca="1">IFERROR(__xludf.DUMMYFUNCTION("""COMPUTED_VALUE"""),0)</f>
        <v>0</v>
      </c>
      <c r="O10" s="148">
        <f ca="1">IFERROR(__xludf.DUMMYFUNCTION("""COMPUTED_VALUE"""),0)</f>
        <v>0</v>
      </c>
      <c r="P10" s="148">
        <f ca="1">IFERROR(__xludf.DUMMYFUNCTION("""COMPUTED_VALUE"""),1297.39999999999)</f>
        <v>1297.3999999999901</v>
      </c>
      <c r="Q10" s="148">
        <f t="shared" ca="1" si="1"/>
        <v>16977.399999999991</v>
      </c>
    </row>
    <row r="11" spans="1:20" ht="12.75">
      <c r="A11" s="149" t="str">
        <f ca="1">IFERROR(__xludf.DUMMYFUNCTION("""COMPUTED_VALUE"""),"Araguatins")</f>
        <v>Araguatins</v>
      </c>
      <c r="B11" s="149" t="str">
        <f ca="1">IFERROR(__xludf.DUMMYFUNCTION("""COMPUTED_VALUE"""),"Araguatins")</f>
        <v>Araguatins</v>
      </c>
      <c r="C11" s="150" t="str">
        <f ca="1">IFERROR(__xludf.DUMMYFUNCTION("""COMPUTED_VALUE"""),"A.A. ESC. ESTADUAL ALDINAR GONÇALVES DE CARVALHO")</f>
        <v>A.A. ESC. ESTADUAL ALDINAR GONÇALVES DE CARVALHO</v>
      </c>
      <c r="D11" s="258" t="str">
        <f ca="1">IFERROR(__xludf.DUMMYFUNCTION("""COMPUTED_VALUE"""),"09465471000140")</f>
        <v>09465471000140</v>
      </c>
      <c r="E11" s="151" t="str">
        <f ca="1">IFERROR(__xludf.DUMMYFUNCTION("""COMPUTED_VALUE"""),"001")</f>
        <v>001</v>
      </c>
      <c r="F11" s="151" t="str">
        <f ca="1">IFERROR(__xludf.DUMMYFUNCTION("""COMPUTED_VALUE"""),"1305")</f>
        <v>1305</v>
      </c>
      <c r="G11" s="151" t="str">
        <f ca="1">IFERROR(__xludf.DUMMYFUNCTION("""COMPUTED_VALUE"""),"196657")</f>
        <v>196657</v>
      </c>
      <c r="H11" s="153">
        <f ca="1">IFERROR(__xludf.DUMMYFUNCTION("""COMPUTED_VALUE"""),51116.8)</f>
        <v>51116.800000000003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IFERROR(__xludf.DUMMYFUNCTION("""COMPUTED_VALUE"""),3920)</f>
        <v>3920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IFERROR(__xludf.DUMMYFUNCTION("""COMPUTED_VALUE"""),4690.59999999999)</f>
        <v>4690.5999999999904</v>
      </c>
      <c r="Q11" s="153">
        <f t="shared" ca="1" si="1"/>
        <v>59727.399999999994</v>
      </c>
      <c r="R11" s="34"/>
    </row>
    <row r="12" spans="1:20" ht="12.75">
      <c r="A12" s="144" t="str">
        <f ca="1">IFERROR(__xludf.DUMMYFUNCTION("""COMPUTED_VALUE"""),"Araguatins")</f>
        <v>Araguatins</v>
      </c>
      <c r="B12" s="144" t="str">
        <f ca="1">IFERROR(__xludf.DUMMYFUNCTION("""COMPUTED_VALUE"""),"Augustinopolis")</f>
        <v>Augustinopolis</v>
      </c>
      <c r="C12" s="145" t="str">
        <f ca="1">IFERROR(__xludf.DUMMYFUNCTION("""COMPUTED_VALUE"""),"A.A. ESCOLA ESTADUAL AUGUSTINOPOLIS")</f>
        <v>A.A. ESCOLA ESTADUAL AUGUSTINOPOLIS</v>
      </c>
      <c r="D12" s="257" t="str">
        <f ca="1">IFERROR(__xludf.DUMMYFUNCTION("""COMPUTED_VALUE"""),"01133692000109")</f>
        <v>01133692000109</v>
      </c>
      <c r="E12" s="146" t="str">
        <f ca="1">IFERROR(__xludf.DUMMYFUNCTION("""COMPUTED_VALUE"""),"001")</f>
        <v>001</v>
      </c>
      <c r="F12" s="146" t="str">
        <f ca="1">IFERROR(__xludf.DUMMYFUNCTION("""COMPUTED_VALUE"""),"3975")</f>
        <v>3975</v>
      </c>
      <c r="G12" s="146" t="str">
        <f ca="1">IFERROR(__xludf.DUMMYFUNCTION("""COMPUTED_VALUE"""),"019151")</f>
        <v>019151</v>
      </c>
      <c r="H12" s="148">
        <f ca="1">IFERROR(__xludf.DUMMYFUNCTION("""COMPUTED_VALUE"""),25244.8)</f>
        <v>25244.799999999999</v>
      </c>
      <c r="I12" s="148">
        <f ca="1">IFERROR(__xludf.DUMMYFUNCTION("""COMPUTED_VALUE"""),0)</f>
        <v>0</v>
      </c>
      <c r="J12" s="148">
        <f ca="1">IFERROR(__xludf.DUMMYFUNCTION("""COMPUTED_VALUE"""),0)</f>
        <v>0</v>
      </c>
      <c r="K12" s="156">
        <f ca="1">IFERROR(__xludf.DUMMYFUNCTION("""COMPUTED_VALUE"""),0)</f>
        <v>0</v>
      </c>
      <c r="L12" s="148">
        <f ca="1">IFERROR(__xludf.DUMMYFUNCTION("""COMPUTED_VALUE"""),0)</f>
        <v>0</v>
      </c>
      <c r="M12" s="148">
        <f ca="1">IFERROR(__xludf.DUMMYFUNCTION("""COMPUTED_VALUE"""),0)</f>
        <v>0</v>
      </c>
      <c r="N12" s="148">
        <f ca="1">IFERROR(__xludf.DUMMYFUNCTION("""COMPUTED_VALUE"""),0)</f>
        <v>0</v>
      </c>
      <c r="O12" s="148">
        <f ca="1">IFERROR(__xludf.DUMMYFUNCTION("""COMPUTED_VALUE"""),0)</f>
        <v>0</v>
      </c>
      <c r="P12" s="148">
        <f ca="1">IFERROR(__xludf.DUMMYFUNCTION("""COMPUTED_VALUE"""),2095.79999999999)</f>
        <v>2095.7999999999902</v>
      </c>
      <c r="Q12" s="148">
        <f t="shared" ca="1" si="1"/>
        <v>27340.599999999991</v>
      </c>
    </row>
    <row r="13" spans="1:20" ht="12.75">
      <c r="A13" s="149" t="str">
        <f ca="1">IFERROR(__xludf.DUMMYFUNCTION("""COMPUTED_VALUE"""),"Araguatins")</f>
        <v>Araguatins</v>
      </c>
      <c r="B13" s="149" t="str">
        <f ca="1">IFERROR(__xludf.DUMMYFUNCTION("""COMPUTED_VALUE"""),"Esperantina")</f>
        <v>Esperantina</v>
      </c>
      <c r="C13" s="150" t="str">
        <f ca="1">IFERROR(__xludf.DUMMYFUNCTION("""COMPUTED_VALUE"""),"A.A. ESC. FAMÍLIA AGRÍCOLA DO BICO DO PAPAGAIO")</f>
        <v>A.A. ESC. FAMÍLIA AGRÍCOLA DO BICO DO PAPAGAIO</v>
      </c>
      <c r="D13" s="258" t="str">
        <f ca="1">IFERROR(__xludf.DUMMYFUNCTION("""COMPUTED_VALUE"""),"09500499000170")</f>
        <v>09500499000170</v>
      </c>
      <c r="E13" s="151" t="str">
        <f ca="1">IFERROR(__xludf.DUMMYFUNCTION("""COMPUTED_VALUE"""),"001")</f>
        <v>001</v>
      </c>
      <c r="F13" s="151" t="str">
        <f ca="1">IFERROR(__xludf.DUMMYFUNCTION("""COMPUTED_VALUE"""),"3975")</f>
        <v>3975</v>
      </c>
      <c r="G13" s="151" t="str">
        <f ca="1">IFERROR(__xludf.DUMMYFUNCTION("""COMPUTED_VALUE"""),"232653")</f>
        <v>232653</v>
      </c>
      <c r="H13" s="153">
        <f ca="1">IFERROR(__xludf.DUMMYFUNCTION("""COMPUTED_VALUE"""),6507.2)</f>
        <v>6507.2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IFERROR(__xludf.DUMMYFUNCTION("""COMPUTED_VALUE"""),8388.8)</f>
        <v>8388.7999999999993</v>
      </c>
      <c r="L13" s="153">
        <f ca="1">IFERROR(__xludf.DUMMYFUNCTION("""COMPUTED_VALUE"""),0)</f>
        <v>0</v>
      </c>
      <c r="M13" s="153">
        <f ca="1">IFERROR(__xludf.DUMMYFUNCTION("""COMPUTED_VALUE"""),28272)</f>
        <v>28272</v>
      </c>
      <c r="N13" s="153">
        <f ca="1">IFERROR(__xludf.DUMMYFUNCTION("""COMPUTED_VALUE"""),0)</f>
        <v>0</v>
      </c>
      <c r="O13" s="153">
        <f ca="1">IFERROR(__xludf.DUMMYFUNCTION("""COMPUTED_VALUE"""),2212.6)</f>
        <v>2212.6</v>
      </c>
      <c r="P13" s="153">
        <f ca="1">IFERROR(__xludf.DUMMYFUNCTION("""COMPUTED_VALUE"""),0)</f>
        <v>0</v>
      </c>
      <c r="Q13" s="153">
        <f t="shared" ca="1" si="1"/>
        <v>45380.6</v>
      </c>
    </row>
    <row r="14" spans="1:20" ht="12.75">
      <c r="A14" s="144" t="str">
        <f ca="1">IFERROR(__xludf.DUMMYFUNCTION("""COMPUTED_VALUE"""),"Arraias")</f>
        <v>Arraias</v>
      </c>
      <c r="B14" s="144" t="str">
        <f ca="1">IFERROR(__xludf.DUMMYFUNCTION("""COMPUTED_VALUE"""),"Arraias")</f>
        <v>Arraias</v>
      </c>
      <c r="C14" s="145" t="str">
        <f ca="1">IFERROR(__xludf.DUMMYFUNCTION("""COMPUTED_VALUE"""),"A.A. ESC. AGRÍCOLA DAVID AIRES FRANÇA")</f>
        <v>A.A. ESC. AGRÍCOLA DAVID AIRES FRANÇA</v>
      </c>
      <c r="D14" s="257" t="str">
        <f ca="1">IFERROR(__xludf.DUMMYFUNCTION("""COMPUTED_VALUE"""),"04302970000100")</f>
        <v>04302970000100</v>
      </c>
      <c r="E14" s="146" t="str">
        <f ca="1">IFERROR(__xludf.DUMMYFUNCTION("""COMPUTED_VALUE"""),"001")</f>
        <v>001</v>
      </c>
      <c r="F14" s="146" t="str">
        <f ca="1">IFERROR(__xludf.DUMMYFUNCTION("""COMPUTED_VALUE"""),"0541")</f>
        <v>0541</v>
      </c>
      <c r="G14" s="146" t="str">
        <f ca="1">IFERROR(__xludf.DUMMYFUNCTION("""COMPUTED_VALUE"""),"94811")</f>
        <v>94811</v>
      </c>
      <c r="H14" s="156">
        <f ca="1">IFERROR(__xludf.DUMMYFUNCTION("""COMPUTED_VALUE"""),3920)</f>
        <v>3920</v>
      </c>
      <c r="I14" s="148">
        <f ca="1">IFERROR(__xludf.DUMMYFUNCTION("""COMPUTED_VALUE"""),0)</f>
        <v>0</v>
      </c>
      <c r="J14" s="148">
        <f ca="1">IFERROR(__xludf.DUMMYFUNCTION("""COMPUTED_VALUE"""),0)</f>
        <v>0</v>
      </c>
      <c r="K14" s="148">
        <f ca="1">IFERROR(__xludf.DUMMYFUNCTION("""COMPUTED_VALUE"""),0)</f>
        <v>0</v>
      </c>
      <c r="L14" s="148">
        <f ca="1">IFERROR(__xludf.DUMMYFUNCTION("""COMPUTED_VALUE"""),0)</f>
        <v>0</v>
      </c>
      <c r="M14" s="148">
        <f ca="1">IFERROR(__xludf.DUMMYFUNCTION("""COMPUTED_VALUE"""),11308.8)</f>
        <v>11308.8</v>
      </c>
      <c r="N14" s="148">
        <f ca="1">IFERROR(__xludf.DUMMYFUNCTION("""COMPUTED_VALUE"""),1582.4)</f>
        <v>1582.4</v>
      </c>
      <c r="O14" s="148">
        <f ca="1">IFERROR(__xludf.DUMMYFUNCTION("""COMPUTED_VALUE"""),851)</f>
        <v>851</v>
      </c>
      <c r="P14" s="148">
        <f ca="1">IFERROR(__xludf.DUMMYFUNCTION("""COMPUTED_VALUE"""),0)</f>
        <v>0</v>
      </c>
      <c r="Q14" s="148">
        <f t="shared" ca="1" si="1"/>
        <v>17662.2</v>
      </c>
    </row>
    <row r="15" spans="1:20" ht="12.75">
      <c r="A15" s="149" t="str">
        <f ca="1">IFERROR(__xludf.DUMMYFUNCTION("""COMPUTED_VALUE"""),"Arraias")</f>
        <v>Arraias</v>
      </c>
      <c r="B15" s="149" t="str">
        <f ca="1">IFERROR(__xludf.DUMMYFUNCTION("""COMPUTED_VALUE"""),"Combinado")</f>
        <v>Combinado</v>
      </c>
      <c r="C15" s="150" t="str">
        <f ca="1">IFERROR(__xludf.DUMMYFUNCTION("""COMPUTED_VALUE"""),"A.A. DA ESCOLA ESTADUAL COMBINADO")</f>
        <v>A.A. DA ESCOLA ESTADUAL COMBINADO</v>
      </c>
      <c r="D15" s="258" t="str">
        <f ca="1">IFERROR(__xludf.DUMMYFUNCTION("""COMPUTED_VALUE"""),"01136003000110")</f>
        <v>01136003000110</v>
      </c>
      <c r="E15" s="151" t="str">
        <f ca="1">IFERROR(__xludf.DUMMYFUNCTION("""COMPUTED_VALUE"""),"001")</f>
        <v>001</v>
      </c>
      <c r="F15" s="151" t="str">
        <f ca="1">IFERROR(__xludf.DUMMYFUNCTION("""COMPUTED_VALUE"""),"3977")</f>
        <v>3977</v>
      </c>
      <c r="G15" s="151" t="str">
        <f ca="1">IFERROR(__xludf.DUMMYFUNCTION("""COMPUTED_VALUE"""),"231940")</f>
        <v>231940</v>
      </c>
      <c r="H15" s="154">
        <f ca="1">IFERROR(__xludf.DUMMYFUNCTION("""COMPUTED_VALUE"""),15131.2)</f>
        <v>15131.2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IFERROR(__xludf.DUMMYFUNCTION("""COMPUTED_VALUE"""),1297.39999999999)</f>
        <v>1297.3999999999901</v>
      </c>
      <c r="Q15" s="153">
        <f t="shared" ca="1" si="1"/>
        <v>16428.599999999991</v>
      </c>
    </row>
    <row r="16" spans="1:20" ht="12.75">
      <c r="A16" s="144" t="str">
        <f ca="1">IFERROR(__xludf.DUMMYFUNCTION("""COMPUTED_VALUE"""),"Colinas")</f>
        <v>Colinas</v>
      </c>
      <c r="B16" s="144" t="str">
        <f ca="1">IFERROR(__xludf.DUMMYFUNCTION("""COMPUTED_VALUE"""),"Colinas do Tocantins")</f>
        <v>Colinas do Tocantins</v>
      </c>
      <c r="C16" s="145" t="str">
        <f ca="1">IFERROR(__xludf.DUMMYFUNCTION("""COMPUTED_VALUE"""),"A.A. ESCOLA ESTADUAL ERNESTO BARROS")</f>
        <v>A.A. ESCOLA ESTADUAL ERNESTO BARROS</v>
      </c>
      <c r="D16" s="257" t="str">
        <f ca="1">IFERROR(__xludf.DUMMYFUNCTION("""COMPUTED_VALUE"""),"01064857000138")</f>
        <v>01064857000138</v>
      </c>
      <c r="E16" s="146" t="str">
        <f ca="1">IFERROR(__xludf.DUMMYFUNCTION("""COMPUTED_VALUE"""),"001")</f>
        <v>001</v>
      </c>
      <c r="F16" s="146" t="str">
        <f ca="1">IFERROR(__xludf.DUMMYFUNCTION("""COMPUTED_VALUE"""),"0911")</f>
        <v>0911</v>
      </c>
      <c r="G16" s="146" t="str">
        <f ca="1">IFERROR(__xludf.DUMMYFUNCTION("""COMPUTED_VALUE"""),"0368571")</f>
        <v>0368571</v>
      </c>
      <c r="H16" s="148">
        <f ca="1">IFERROR(__xludf.DUMMYFUNCTION("""COMPUTED_VALUE"""),23441.6)</f>
        <v>23441.599999999999</v>
      </c>
      <c r="I16" s="148">
        <f ca="1">IFERROR(__xludf.DUMMYFUNCTION("""COMPUTED_VALUE"""),0)</f>
        <v>0</v>
      </c>
      <c r="J16" s="148">
        <f ca="1">IFERROR(__xludf.DUMMYFUNCTION("""COMPUTED_VALUE"""),0)</f>
        <v>0</v>
      </c>
      <c r="K16" s="148">
        <f ca="1">IFERROR(__xludf.DUMMYFUNCTION("""COMPUTED_VALUE"""),0)</f>
        <v>0</v>
      </c>
      <c r="L16" s="148">
        <f ca="1">IFERROR(__xludf.DUMMYFUNCTION("""COMPUTED_VALUE"""),0)</f>
        <v>0</v>
      </c>
      <c r="M16" s="148">
        <f ca="1">IFERROR(__xludf.DUMMYFUNCTION("""COMPUTED_VALUE"""),0)</f>
        <v>0</v>
      </c>
      <c r="N16" s="148">
        <f ca="1">IFERROR(__xludf.DUMMYFUNCTION("""COMPUTED_VALUE"""),0)</f>
        <v>0</v>
      </c>
      <c r="O16" s="148">
        <f ca="1">IFERROR(__xludf.DUMMYFUNCTION("""COMPUTED_VALUE"""),0)</f>
        <v>0</v>
      </c>
      <c r="P16" s="148">
        <f ca="1">IFERROR(__xludf.DUMMYFUNCTION("""COMPUTED_VALUE"""),1996)</f>
        <v>1996</v>
      </c>
      <c r="Q16" s="148">
        <f t="shared" ca="1" si="1"/>
        <v>25437.599999999999</v>
      </c>
    </row>
    <row r="17" spans="1:17" ht="12.75">
      <c r="A17" s="149" t="str">
        <f ca="1">IFERROR(__xludf.DUMMYFUNCTION("""COMPUTED_VALUE"""),"Colinas")</f>
        <v>Colinas</v>
      </c>
      <c r="B17" s="149" t="str">
        <f ca="1">IFERROR(__xludf.DUMMYFUNCTION("""COMPUTED_VALUE"""),"Colinas do Tocantins")</f>
        <v>Colinas do Tocantins</v>
      </c>
      <c r="C17" s="150" t="str">
        <f ca="1">IFERROR(__xludf.DUMMYFUNCTION("""COMPUTED_VALUE"""),"A.A. E. E. LACERDINO OLIVEIRA CAMPOS")</f>
        <v>A.A. E. E. LACERDINO OLIVEIRA CAMPOS</v>
      </c>
      <c r="D17" s="258" t="str">
        <f ca="1">IFERROR(__xludf.DUMMYFUNCTION("""COMPUTED_VALUE"""),"01077439000185")</f>
        <v>01077439000185</v>
      </c>
      <c r="E17" s="151" t="str">
        <f ca="1">IFERROR(__xludf.DUMMYFUNCTION("""COMPUTED_VALUE"""),"001")</f>
        <v>001</v>
      </c>
      <c r="F17" s="151" t="str">
        <f ca="1">IFERROR(__xludf.DUMMYFUNCTION("""COMPUTED_VALUE"""),"0911")</f>
        <v>0911</v>
      </c>
      <c r="G17" s="151" t="str">
        <f ca="1">IFERROR(__xludf.DUMMYFUNCTION("""COMPUTED_VALUE"""),"368741")</f>
        <v>368741</v>
      </c>
      <c r="H17" s="153">
        <f ca="1">IFERROR(__xludf.DUMMYFUNCTION("""COMPUTED_VALUE"""),17561.6)</f>
        <v>17561.599999999999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IFERROR(__xludf.DUMMYFUNCTION("""COMPUTED_VALUE"""),1497)</f>
        <v>1497</v>
      </c>
      <c r="Q17" s="153">
        <f t="shared" ca="1" si="1"/>
        <v>19058.599999999999</v>
      </c>
    </row>
    <row r="18" spans="1:17" ht="12.75">
      <c r="A18" s="144" t="str">
        <f ca="1">IFERROR(__xludf.DUMMYFUNCTION("""COMPUTED_VALUE"""),"Colinas")</f>
        <v>Colinas</v>
      </c>
      <c r="B18" s="144" t="str">
        <f ca="1">IFERROR(__xludf.DUMMYFUNCTION("""COMPUTED_VALUE"""),"Colinas do Tocantins")</f>
        <v>Colinas do Tocantins</v>
      </c>
      <c r="C18" s="145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57" t="str">
        <f ca="1">IFERROR(__xludf.DUMMYFUNCTION("""COMPUTED_VALUE"""),"03421784000110")</f>
        <v>03421784000110</v>
      </c>
      <c r="E18" s="146" t="str">
        <f ca="1">IFERROR(__xludf.DUMMYFUNCTION("""COMPUTED_VALUE"""),"001")</f>
        <v>001</v>
      </c>
      <c r="F18" s="146" t="str">
        <f ca="1">IFERROR(__xludf.DUMMYFUNCTION("""COMPUTED_VALUE"""),"0911")</f>
        <v>0911</v>
      </c>
      <c r="G18" s="146" t="str">
        <f ca="1">IFERROR(__xludf.DUMMYFUNCTION("""COMPUTED_VALUE"""),"199672")</f>
        <v>199672</v>
      </c>
      <c r="H18" s="148">
        <f ca="1">IFERROR(__xludf.DUMMYFUNCTION("""COMPUTED_VALUE"""),0)</f>
        <v>0</v>
      </c>
      <c r="I18" s="148">
        <f ca="1">IFERROR(__xludf.DUMMYFUNCTION("""COMPUTED_VALUE"""),0)</f>
        <v>0</v>
      </c>
      <c r="J18" s="148">
        <f ca="1">IFERROR(__xludf.DUMMYFUNCTION("""COMPUTED_VALUE"""),0)</f>
        <v>0</v>
      </c>
      <c r="K18" s="148">
        <f ca="1">IFERROR(__xludf.DUMMYFUNCTION("""COMPUTED_VALUE"""),16150.4)</f>
        <v>16150.4</v>
      </c>
      <c r="L18" s="148">
        <f ca="1">IFERROR(__xludf.DUMMYFUNCTION("""COMPUTED_VALUE"""),0)</f>
        <v>0</v>
      </c>
      <c r="M18" s="148">
        <f ca="1">IFERROR(__xludf.DUMMYFUNCTION("""COMPUTED_VALUE"""),30652.8)</f>
        <v>30652.799999999999</v>
      </c>
      <c r="N18" s="148">
        <f ca="1">IFERROR(__xludf.DUMMYFUNCTION("""COMPUTED_VALUE"""),0)</f>
        <v>0</v>
      </c>
      <c r="O18" s="148">
        <f ca="1">IFERROR(__xludf.DUMMYFUNCTION("""COMPUTED_VALUE"""),2382.79999999999)</f>
        <v>2382.7999999999902</v>
      </c>
      <c r="P18" s="148">
        <f ca="1">IFERROR(__xludf.DUMMYFUNCTION("""COMPUTED_VALUE"""),0)</f>
        <v>0</v>
      </c>
      <c r="Q18" s="148">
        <f t="shared" ca="1" si="1"/>
        <v>49185.999999999985</v>
      </c>
    </row>
    <row r="19" spans="1:17" ht="12.75">
      <c r="A19" s="149" t="str">
        <f ca="1">IFERROR(__xludf.DUMMYFUNCTION("""COMPUTED_VALUE"""),"Dianópolis")</f>
        <v>Dianópolis</v>
      </c>
      <c r="B19" s="149" t="str">
        <f ca="1">IFERROR(__xludf.DUMMYFUNCTION("""COMPUTED_VALUE"""),"Almas")</f>
        <v>Almas</v>
      </c>
      <c r="C19" s="150" t="str">
        <f ca="1">IFERROR(__xludf.DUMMYFUNCTION("""COMPUTED_VALUE"""),"ASSOC.MES.P.EDUC.FUNC.DO COL.AGROP.ALMAS")</f>
        <v>ASSOC.MES.P.EDUC.FUNC.DO COL.AGROP.ALMAS</v>
      </c>
      <c r="D19" s="258" t="str">
        <f ca="1">IFERROR(__xludf.DUMMYFUNCTION("""COMPUTED_VALUE"""),"03751406000102")</f>
        <v>03751406000102</v>
      </c>
      <c r="E19" s="151" t="str">
        <f ca="1">IFERROR(__xludf.DUMMYFUNCTION("""COMPUTED_VALUE"""),"001")</f>
        <v>001</v>
      </c>
      <c r="F19" s="151" t="str">
        <f ca="1">IFERROR(__xludf.DUMMYFUNCTION("""COMPUTED_VALUE"""),"1307")</f>
        <v>1307</v>
      </c>
      <c r="G19" s="151" t="str">
        <f ca="1">IFERROR(__xludf.DUMMYFUNCTION("""COMPUTED_VALUE"""),"115312")</f>
        <v>115312</v>
      </c>
      <c r="H19" s="153">
        <f ca="1">IFERROR(__xludf.DUMMYFUNCTION("""COMPUTED_VALUE"""),3057.6)</f>
        <v>3057.6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IFERROR(__xludf.DUMMYFUNCTION("""COMPUTED_VALUE"""),11838.4)</f>
        <v>11838.4</v>
      </c>
      <c r="L19" s="153">
        <f ca="1">IFERROR(__xludf.DUMMYFUNCTION("""COMPUTED_VALUE"""),0)</f>
        <v>0</v>
      </c>
      <c r="M19" s="153">
        <f ca="1">IFERROR(__xludf.DUMMYFUNCTION("""COMPUTED_VALUE"""),21873.6)</f>
        <v>21873.599999999999</v>
      </c>
      <c r="N19" s="153">
        <f ca="1">IFERROR(__xludf.DUMMYFUNCTION("""COMPUTED_VALUE"""),791.2)</f>
        <v>791.2</v>
      </c>
      <c r="O19" s="153">
        <f ca="1">IFERROR(__xludf.DUMMYFUNCTION("""COMPUTED_VALUE"""),1702)</f>
        <v>1702</v>
      </c>
      <c r="P19" s="153">
        <f ca="1">IFERROR(__xludf.DUMMYFUNCTION("""COMPUTED_VALUE"""),0)</f>
        <v>0</v>
      </c>
      <c r="Q19" s="153">
        <f t="shared" ca="1" si="1"/>
        <v>39262.799999999996</v>
      </c>
    </row>
    <row r="20" spans="1:17" ht="12.75">
      <c r="A20" s="144" t="str">
        <f ca="1">IFERROR(__xludf.DUMMYFUNCTION("""COMPUTED_VALUE"""),"Dianópolis")</f>
        <v>Dianópolis</v>
      </c>
      <c r="B20" s="144" t="str">
        <f ca="1">IFERROR(__xludf.DUMMYFUNCTION("""COMPUTED_VALUE"""),"Almas")</f>
        <v>Almas</v>
      </c>
      <c r="C20" s="145" t="str">
        <f ca="1">IFERROR(__xludf.DUMMYFUNCTION("""COMPUTED_VALUE"""),"A.A.  ESC. ESTADUAL DEOCLIDES MUNIZ")</f>
        <v>A.A.  ESC. ESTADUAL DEOCLIDES MUNIZ</v>
      </c>
      <c r="D20" s="257" t="str">
        <f ca="1">IFERROR(__xludf.DUMMYFUNCTION("""COMPUTED_VALUE"""),"01143807000146")</f>
        <v>01143807000146</v>
      </c>
      <c r="E20" s="146" t="str">
        <f ca="1">IFERROR(__xludf.DUMMYFUNCTION("""COMPUTED_VALUE"""),"001")</f>
        <v>001</v>
      </c>
      <c r="F20" s="146" t="str">
        <f ca="1">IFERROR(__xludf.DUMMYFUNCTION("""COMPUTED_VALUE"""),"1307")</f>
        <v>1307</v>
      </c>
      <c r="G20" s="146" t="str">
        <f ca="1">IFERROR(__xludf.DUMMYFUNCTION("""COMPUTED_VALUE"""),"107786")</f>
        <v>107786</v>
      </c>
      <c r="H20" s="148">
        <f ca="1">IFERROR(__xludf.DUMMYFUNCTION("""COMPUTED_VALUE"""),0)</f>
        <v>0</v>
      </c>
      <c r="I20" s="148">
        <f ca="1">IFERROR(__xludf.DUMMYFUNCTION("""COMPUTED_VALUE"""),0)</f>
        <v>0</v>
      </c>
      <c r="J20" s="148">
        <f ca="1">IFERROR(__xludf.DUMMYFUNCTION("""COMPUTED_VALUE"""),0)</f>
        <v>0</v>
      </c>
      <c r="K20" s="148">
        <f ca="1">IFERROR(__xludf.DUMMYFUNCTION("""COMPUTED_VALUE"""),0)</f>
        <v>0</v>
      </c>
      <c r="L20" s="148">
        <f ca="1">IFERROR(__xludf.DUMMYFUNCTION("""COMPUTED_VALUE"""),0)</f>
        <v>0</v>
      </c>
      <c r="M20" s="148">
        <f ca="1">IFERROR(__xludf.DUMMYFUNCTION("""COMPUTED_VALUE"""),0)</f>
        <v>0</v>
      </c>
      <c r="N20" s="148">
        <f ca="1">IFERROR(__xludf.DUMMYFUNCTION("""COMPUTED_VALUE"""),0)</f>
        <v>0</v>
      </c>
      <c r="O20" s="148">
        <f ca="1">IFERROR(__xludf.DUMMYFUNCTION("""COMPUTED_VALUE"""),0)</f>
        <v>0</v>
      </c>
      <c r="P20" s="148">
        <f ca="1">IFERROR(__xludf.DUMMYFUNCTION("""COMPUTED_VALUE"""),1397.2)</f>
        <v>1397.2</v>
      </c>
      <c r="Q20" s="148">
        <f t="shared" ca="1" si="1"/>
        <v>1397.2</v>
      </c>
    </row>
    <row r="21" spans="1:17" ht="12.75">
      <c r="A21" s="149" t="str">
        <f ca="1">IFERROR(__xludf.DUMMYFUNCTION("""COMPUTED_VALUE"""),"Dianópolis")</f>
        <v>Dianópolis</v>
      </c>
      <c r="B21" s="149" t="str">
        <f ca="1">IFERROR(__xludf.DUMMYFUNCTION("""COMPUTED_VALUE"""),"Dianopolis")</f>
        <v>Dianopolis</v>
      </c>
      <c r="C21" s="150" t="str">
        <f ca="1">IFERROR(__xludf.DUMMYFUNCTION("""COMPUTED_VALUE"""),"A. ESC. COMUN.DA E. EST. ANTONIO POVOA")</f>
        <v>A. ESC. COMUN.DA E. EST. ANTONIO POVOA</v>
      </c>
      <c r="D21" s="258" t="str">
        <f ca="1">IFERROR(__xludf.DUMMYFUNCTION("""COMPUTED_VALUE"""),"00895665000100")</f>
        <v>00895665000100</v>
      </c>
      <c r="E21" s="151" t="str">
        <f ca="1">IFERROR(__xludf.DUMMYFUNCTION("""COMPUTED_VALUE"""),"001")</f>
        <v>001</v>
      </c>
      <c r="F21" s="151" t="str">
        <f ca="1">IFERROR(__xludf.DUMMYFUNCTION("""COMPUTED_VALUE"""),"1307")</f>
        <v>1307</v>
      </c>
      <c r="G21" s="151" t="str">
        <f ca="1">IFERROR(__xludf.DUMMYFUNCTION("""COMPUTED_VALUE"""),"010616X")</f>
        <v>010616X</v>
      </c>
      <c r="H21" s="153">
        <f ca="1">IFERROR(__xludf.DUMMYFUNCTION("""COMPUTED_VALUE"""),3136)</f>
        <v>3136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IFERROR(__xludf.DUMMYFUNCTION("""COMPUTED_VALUE"""),299.4)</f>
        <v>299.39999999999998</v>
      </c>
      <c r="Q21" s="153">
        <f t="shared" ca="1" si="1"/>
        <v>3435.4</v>
      </c>
    </row>
    <row r="22" spans="1:17" ht="12.75">
      <c r="A22" s="144" t="str">
        <f ca="1">IFERROR(__xludf.DUMMYFUNCTION("""COMPUTED_VALUE"""),"Guaraí")</f>
        <v>Guaraí</v>
      </c>
      <c r="B22" s="144" t="str">
        <f ca="1">IFERROR(__xludf.DUMMYFUNCTION("""COMPUTED_VALUE"""),"Couto Magalhaes")</f>
        <v>Couto Magalhaes</v>
      </c>
      <c r="C22" s="145" t="str">
        <f ca="1">IFERROR(__xludf.DUMMYFUNCTION("""COMPUTED_VALUE"""),"A.A. COL. EST. ARCHANGELA MILHOMEM")</f>
        <v>A.A. COL. EST. ARCHANGELA MILHOMEM</v>
      </c>
      <c r="D22" s="257" t="str">
        <f ca="1">IFERROR(__xludf.DUMMYFUNCTION("""COMPUTED_VALUE"""),"01138334000199")</f>
        <v>01138334000199</v>
      </c>
      <c r="E22" s="146" t="str">
        <f ca="1">IFERROR(__xludf.DUMMYFUNCTION("""COMPUTED_VALUE"""),"001")</f>
        <v>001</v>
      </c>
      <c r="F22" s="146" t="str">
        <f ca="1">IFERROR(__xludf.DUMMYFUNCTION("""COMPUTED_VALUE"""),"2094")</f>
        <v>2094</v>
      </c>
      <c r="G22" s="146" t="str">
        <f ca="1">IFERROR(__xludf.DUMMYFUNCTION("""COMPUTED_VALUE"""),"50385")</f>
        <v>50385</v>
      </c>
      <c r="H22" s="148">
        <f ca="1">IFERROR(__xludf.DUMMYFUNCTION("""COMPUTED_VALUE"""),0)</f>
        <v>0</v>
      </c>
      <c r="I22" s="148">
        <f ca="1">IFERROR(__xludf.DUMMYFUNCTION("""COMPUTED_VALUE"""),0)</f>
        <v>0</v>
      </c>
      <c r="J22" s="148">
        <f ca="1">IFERROR(__xludf.DUMMYFUNCTION("""COMPUTED_VALUE"""),0)</f>
        <v>0</v>
      </c>
      <c r="K22" s="148">
        <f ca="1">IFERROR(__xludf.DUMMYFUNCTION("""COMPUTED_VALUE"""),13092.8)</f>
        <v>13092.8</v>
      </c>
      <c r="L22" s="148">
        <f ca="1">IFERROR(__xludf.DUMMYFUNCTION("""COMPUTED_VALUE"""),0)</f>
        <v>0</v>
      </c>
      <c r="M22" s="148">
        <f ca="1">IFERROR(__xludf.DUMMYFUNCTION("""COMPUTED_VALUE"""),0)</f>
        <v>0</v>
      </c>
      <c r="N22" s="148">
        <f ca="1">IFERROR(__xludf.DUMMYFUNCTION("""COMPUTED_VALUE"""),0)</f>
        <v>0</v>
      </c>
      <c r="O22" s="148">
        <f ca="1">IFERROR(__xludf.DUMMYFUNCTION("""COMPUTED_VALUE"""),0)</f>
        <v>0</v>
      </c>
      <c r="P22" s="148">
        <f ca="1">IFERROR(__xludf.DUMMYFUNCTION("""COMPUTED_VALUE"""),1097.8)</f>
        <v>1097.8</v>
      </c>
      <c r="Q22" s="148">
        <f t="shared" ca="1" si="1"/>
        <v>14190.599999999999</v>
      </c>
    </row>
    <row r="23" spans="1:17" ht="12.75">
      <c r="A23" s="149" t="str">
        <f ca="1">IFERROR(__xludf.DUMMYFUNCTION("""COMPUTED_VALUE"""),"Guaraí")</f>
        <v>Guaraí</v>
      </c>
      <c r="B23" s="149" t="str">
        <f ca="1">IFERROR(__xludf.DUMMYFUNCTION("""COMPUTED_VALUE"""),"Fortaleza do Tabocao")</f>
        <v>Fortaleza do Tabocao</v>
      </c>
      <c r="C23" s="150" t="str">
        <f ca="1">IFERROR(__xludf.DUMMYFUNCTION("""COMPUTED_VALUE"""),"A.A. DA ESC. EST. MAJOR JUVENAL P.DE SOUZA")</f>
        <v>A.A. DA ESC. EST. MAJOR JUVENAL P.DE SOUZA</v>
      </c>
      <c r="D23" s="258" t="str">
        <f ca="1">IFERROR(__xludf.DUMMYFUNCTION("""COMPUTED_VALUE"""),"01408714000104")</f>
        <v>01408714000104</v>
      </c>
      <c r="E23" s="151" t="str">
        <f ca="1">IFERROR(__xludf.DUMMYFUNCTION("""COMPUTED_VALUE"""),"001")</f>
        <v>001</v>
      </c>
      <c r="F23" s="151" t="str">
        <f ca="1">IFERROR(__xludf.DUMMYFUNCTION("""COMPUTED_VALUE"""),"2094")</f>
        <v>2094</v>
      </c>
      <c r="G23" s="151" t="str">
        <f ca="1">IFERROR(__xludf.DUMMYFUNCTION("""COMPUTED_VALUE"""),"46743X")</f>
        <v>46743X</v>
      </c>
      <c r="H23" s="153">
        <f ca="1">IFERROR(__xludf.DUMMYFUNCTION("""COMPUTED_VALUE"""),7761.6)</f>
        <v>7761.6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IFERROR(__xludf.DUMMYFUNCTION("""COMPUTED_VALUE"""),698.6)</f>
        <v>698.6</v>
      </c>
      <c r="Q23" s="153">
        <f t="shared" ca="1" si="1"/>
        <v>8460.2000000000007</v>
      </c>
    </row>
    <row r="24" spans="1:17" ht="12.75">
      <c r="A24" s="144" t="str">
        <f ca="1">IFERROR(__xludf.DUMMYFUNCTION("""COMPUTED_VALUE"""),"Gurupi")</f>
        <v>Gurupi</v>
      </c>
      <c r="B24" s="144" t="str">
        <f ca="1">IFERROR(__xludf.DUMMYFUNCTION("""COMPUTED_VALUE"""),"Alianca do Tocantins")</f>
        <v>Alianca do Tocantins</v>
      </c>
      <c r="C24" s="145" t="str">
        <f ca="1">IFERROR(__xludf.DUMMYFUNCTION("""COMPUTED_VALUE"""),"A. PAIS E MESTRES ESC. EST.N.SRA.DO CARMO")</f>
        <v>A. PAIS E MESTRES ESC. EST.N.SRA.DO CARMO</v>
      </c>
      <c r="D24" s="257" t="str">
        <f ca="1">IFERROR(__xludf.DUMMYFUNCTION("""COMPUTED_VALUE"""),"01034192000110")</f>
        <v>01034192000110</v>
      </c>
      <c r="E24" s="146" t="str">
        <f ca="1">IFERROR(__xludf.DUMMYFUNCTION("""COMPUTED_VALUE"""),"001")</f>
        <v>001</v>
      </c>
      <c r="F24" s="146" t="str">
        <f ca="1">IFERROR(__xludf.DUMMYFUNCTION("""COMPUTED_VALUE"""),"3972")</f>
        <v>3972</v>
      </c>
      <c r="G24" s="146" t="str">
        <f ca="1">IFERROR(__xludf.DUMMYFUNCTION("""COMPUTED_VALUE"""),"243590")</f>
        <v>243590</v>
      </c>
      <c r="H24" s="148">
        <f ca="1">IFERROR(__xludf.DUMMYFUNCTION("""COMPUTED_VALUE"""),11054.4)</f>
        <v>11054.4</v>
      </c>
      <c r="I24" s="148">
        <f ca="1">IFERROR(__xludf.DUMMYFUNCTION("""COMPUTED_VALUE"""),0)</f>
        <v>0</v>
      </c>
      <c r="J24" s="148">
        <f ca="1">IFERROR(__xludf.DUMMYFUNCTION("""COMPUTED_VALUE"""),0)</f>
        <v>0</v>
      </c>
      <c r="K24" s="148">
        <f ca="1">IFERROR(__xludf.DUMMYFUNCTION("""COMPUTED_VALUE"""),2273.6)</f>
        <v>2273.6</v>
      </c>
      <c r="L24" s="148">
        <f ca="1">IFERROR(__xludf.DUMMYFUNCTION("""COMPUTED_VALUE"""),0)</f>
        <v>0</v>
      </c>
      <c r="M24" s="148">
        <f ca="1">IFERROR(__xludf.DUMMYFUNCTION("""COMPUTED_VALUE"""),0)</f>
        <v>0</v>
      </c>
      <c r="N24" s="148">
        <f ca="1">IFERROR(__xludf.DUMMYFUNCTION("""COMPUTED_VALUE"""),0)</f>
        <v>0</v>
      </c>
      <c r="O24" s="148">
        <f ca="1">IFERROR(__xludf.DUMMYFUNCTION("""COMPUTED_VALUE"""),0)</f>
        <v>0</v>
      </c>
      <c r="P24" s="148">
        <f ca="1">IFERROR(__xludf.DUMMYFUNCTION("""COMPUTED_VALUE"""),1097.8)</f>
        <v>1097.8</v>
      </c>
      <c r="Q24" s="148">
        <f t="shared" ca="1" si="1"/>
        <v>14425.8</v>
      </c>
    </row>
    <row r="25" spans="1:17" ht="12.75">
      <c r="A25" s="149" t="str">
        <f ca="1">IFERROR(__xludf.DUMMYFUNCTION("""COMPUTED_VALUE"""),"Gurupi")</f>
        <v>Gurupi</v>
      </c>
      <c r="B25" s="149" t="str">
        <f ca="1">IFERROR(__xludf.DUMMYFUNCTION("""COMPUTED_VALUE"""),"Gurupi")</f>
        <v>Gurupi</v>
      </c>
      <c r="C25" s="150" t="str">
        <f ca="1">IFERROR(__xludf.DUMMYFUNCTION("""COMPUTED_VALUE"""),"A.A.  ESCOLAR DO COL. EST. JOSE SEABRA")</f>
        <v>A.A.  ESCOLAR DO COL. EST. JOSE SEABRA</v>
      </c>
      <c r="D25" s="258" t="str">
        <f ca="1">IFERROR(__xludf.DUMMYFUNCTION("""COMPUTED_VALUE"""),"01910570000181")</f>
        <v>01910570000181</v>
      </c>
      <c r="E25" s="151" t="str">
        <f ca="1">IFERROR(__xludf.DUMMYFUNCTION("""COMPUTED_VALUE"""),"001")</f>
        <v>001</v>
      </c>
      <c r="F25" s="151" t="str">
        <f ca="1">IFERROR(__xludf.DUMMYFUNCTION("""COMPUTED_VALUE"""),"0794")</f>
        <v>0794</v>
      </c>
      <c r="G25" s="151" t="str">
        <f ca="1">IFERROR(__xludf.DUMMYFUNCTION("""COMPUTED_VALUE"""),"66982")</f>
        <v>66982</v>
      </c>
      <c r="H25" s="153">
        <f ca="1">IFERROR(__xludf.DUMMYFUNCTION("""COMPUTED_VALUE"""),24696)</f>
        <v>24696</v>
      </c>
      <c r="I25" s="153">
        <f ca="1">IFERROR(__xludf.DUMMYFUNCTION("""COMPUTED_VALUE"""),0)</f>
        <v>0</v>
      </c>
      <c r="J25" s="153">
        <f ca="1">IFERROR(__xludf.DUMMYFUNCTION("""COMPUTED_VALUE"""),0)</f>
        <v>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IFERROR(__xludf.DUMMYFUNCTION("""COMPUTED_VALUE"""),2095.79999999999)</f>
        <v>2095.7999999999902</v>
      </c>
      <c r="Q25" s="153">
        <f t="shared" ca="1" si="1"/>
        <v>26791.799999999988</v>
      </c>
    </row>
    <row r="26" spans="1:17" ht="12.75">
      <c r="A26" s="144" t="str">
        <f ca="1">IFERROR(__xludf.DUMMYFUNCTION("""COMPUTED_VALUE"""),"Gurupi")</f>
        <v>Gurupi</v>
      </c>
      <c r="B26" s="144" t="str">
        <f ca="1">IFERROR(__xludf.DUMMYFUNCTION("""COMPUTED_VALUE"""),"Gurupi")</f>
        <v>Gurupi</v>
      </c>
      <c r="C26" s="145" t="str">
        <f ca="1">IFERROR(__xludf.DUMMYFUNCTION("""COMPUTED_VALUE"""),"A. EDUCACIONAL PRES. COSTA E SILVA")</f>
        <v>A. EDUCACIONAL PRES. COSTA E SILVA</v>
      </c>
      <c r="D26" s="257" t="str">
        <f ca="1">IFERROR(__xludf.DUMMYFUNCTION("""COMPUTED_VALUE"""),"01888719000173")</f>
        <v>01888719000173</v>
      </c>
      <c r="E26" s="146" t="str">
        <f ca="1">IFERROR(__xludf.DUMMYFUNCTION("""COMPUTED_VALUE"""),"001")</f>
        <v>001</v>
      </c>
      <c r="F26" s="146" t="str">
        <f ca="1">IFERROR(__xludf.DUMMYFUNCTION("""COMPUTED_VALUE"""),"0794")</f>
        <v>0794</v>
      </c>
      <c r="G26" s="146" t="str">
        <f ca="1">IFERROR(__xludf.DUMMYFUNCTION("""COMPUTED_VALUE"""),"67490")</f>
        <v>67490</v>
      </c>
      <c r="H26" s="156">
        <f ca="1">IFERROR(__xludf.DUMMYFUNCTION("""COMPUTED_VALUE"""),34888)</f>
        <v>34888</v>
      </c>
      <c r="I26" s="148">
        <f ca="1">IFERROR(__xludf.DUMMYFUNCTION("""COMPUTED_VALUE"""),0)</f>
        <v>0</v>
      </c>
      <c r="J26" s="148">
        <f ca="1">IFERROR(__xludf.DUMMYFUNCTION("""COMPUTED_VALUE"""),0)</f>
        <v>0</v>
      </c>
      <c r="K26" s="148">
        <f ca="1">IFERROR(__xludf.DUMMYFUNCTION("""COMPUTED_VALUE"""),12936)</f>
        <v>12936</v>
      </c>
      <c r="L26" s="148">
        <f ca="1">IFERROR(__xludf.DUMMYFUNCTION("""COMPUTED_VALUE"""),0)</f>
        <v>0</v>
      </c>
      <c r="M26" s="148">
        <f ca="1">IFERROR(__xludf.DUMMYFUNCTION("""COMPUTED_VALUE"""),0)</f>
        <v>0</v>
      </c>
      <c r="N26" s="148">
        <f ca="1">IFERROR(__xludf.DUMMYFUNCTION("""COMPUTED_VALUE"""),0)</f>
        <v>0</v>
      </c>
      <c r="O26" s="148">
        <f ca="1">IFERROR(__xludf.DUMMYFUNCTION("""COMPUTED_VALUE"""),0)</f>
        <v>0</v>
      </c>
      <c r="P26" s="148">
        <f ca="1">IFERROR(__xludf.DUMMYFUNCTION("""COMPUTED_VALUE"""),4091.79999999999)</f>
        <v>4091.7999999999902</v>
      </c>
      <c r="Q26" s="148">
        <f t="shared" ca="1" si="1"/>
        <v>51915.799999999988</v>
      </c>
    </row>
    <row r="27" spans="1:17" ht="12.75">
      <c r="A27" s="149" t="str">
        <f ca="1">IFERROR(__xludf.DUMMYFUNCTION("""COMPUTED_VALUE"""),"Gurupi")</f>
        <v>Gurupi</v>
      </c>
      <c r="B27" s="149" t="str">
        <f ca="1">IFERROR(__xludf.DUMMYFUNCTION("""COMPUTED_VALUE"""),"Gurupi")</f>
        <v>Gurupi</v>
      </c>
      <c r="C27" s="150" t="str">
        <f ca="1">IFERROR(__xludf.DUMMYFUNCTION("""COMPUTED_VALUE"""),"APM. DA INSTITUIÇÃO BENEFICENTE IRMÃ DULCE")</f>
        <v>APM. DA INSTITUIÇÃO BENEFICENTE IRMÃ DULCE</v>
      </c>
      <c r="D27" s="258" t="str">
        <f ca="1">IFERROR(__xludf.DUMMYFUNCTION("""COMPUTED_VALUE"""),"10807313000100")</f>
        <v>10807313000100</v>
      </c>
      <c r="E27" s="151" t="str">
        <f ca="1">IFERROR(__xludf.DUMMYFUNCTION("""COMPUTED_VALUE"""),"001")</f>
        <v>001</v>
      </c>
      <c r="F27" s="151" t="str">
        <f ca="1">IFERROR(__xludf.DUMMYFUNCTION("""COMPUTED_VALUE"""),"0794")</f>
        <v>0794</v>
      </c>
      <c r="G27" s="151" t="str">
        <f ca="1">IFERROR(__xludf.DUMMYFUNCTION("""COMPUTED_VALUE"""),"447218")</f>
        <v>447218</v>
      </c>
      <c r="H27" s="153">
        <f ca="1">IFERROR(__xludf.DUMMYFUNCTION("""COMPUTED_VALUE"""),11524.8)</f>
        <v>11524.8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IFERROR(__xludf.DUMMYFUNCTION("""COMPUTED_VALUE"""),998)</f>
        <v>998</v>
      </c>
      <c r="Q27" s="153">
        <f t="shared" ca="1" si="1"/>
        <v>12522.8</v>
      </c>
    </row>
    <row r="28" spans="1:17" ht="12.75">
      <c r="A28" s="144" t="str">
        <f ca="1">IFERROR(__xludf.DUMMYFUNCTION("""COMPUTED_VALUE"""),"Gurupi")</f>
        <v>Gurupi</v>
      </c>
      <c r="B28" s="144" t="str">
        <f ca="1">IFERROR(__xludf.DUMMYFUNCTION("""COMPUTED_VALUE"""),"Sao Salvador do Tocantins")</f>
        <v>Sao Salvador do Tocantins</v>
      </c>
      <c r="C28" s="145" t="str">
        <f ca="1">IFERROR(__xludf.DUMMYFUNCTION("""COMPUTED_VALUE"""),"A.A. COLEGIO ESTADUAL AGRÍCOLA JOSÉ PORFÍRIO DE SOUZA")</f>
        <v>A.A. COLEGIO ESTADUAL AGRÍCOLA JOSÉ PORFÍRIO DE SOUZA</v>
      </c>
      <c r="D28" s="257" t="str">
        <f ca="1">IFERROR(__xludf.DUMMYFUNCTION("""COMPUTED_VALUE"""),"49952315000128")</f>
        <v>49952315000128</v>
      </c>
      <c r="E28" s="146" t="str">
        <f ca="1">IFERROR(__xludf.DUMMYFUNCTION("""COMPUTED_VALUE"""),"001")</f>
        <v>001</v>
      </c>
      <c r="F28" s="146" t="str">
        <f ca="1">IFERROR(__xludf.DUMMYFUNCTION("""COMPUTED_VALUE"""),"4608")</f>
        <v>4608</v>
      </c>
      <c r="G28" s="146" t="str">
        <f ca="1">IFERROR(__xludf.DUMMYFUNCTION("""COMPUTED_VALUE"""),"183679")</f>
        <v>183679</v>
      </c>
      <c r="H28" s="148">
        <f ca="1">IFERROR(__xludf.DUMMYFUNCTION("""COMPUTED_VALUE"""),7761.6)</f>
        <v>7761.6</v>
      </c>
      <c r="I28" s="148">
        <f ca="1">IFERROR(__xludf.DUMMYFUNCTION("""COMPUTED_VALUE"""),0)</f>
        <v>0</v>
      </c>
      <c r="J28" s="148">
        <f ca="1">IFERROR(__xludf.DUMMYFUNCTION("""COMPUTED_VALUE"""),0)</f>
        <v>0</v>
      </c>
      <c r="K28" s="148">
        <f ca="1">IFERROR(__xludf.DUMMYFUNCTION("""COMPUTED_VALUE"""),6977.6)</f>
        <v>6977.6</v>
      </c>
      <c r="L28" s="148">
        <f ca="1">IFERROR(__xludf.DUMMYFUNCTION("""COMPUTED_VALUE"""),0)</f>
        <v>0</v>
      </c>
      <c r="M28" s="148">
        <f ca="1">IFERROR(__xludf.DUMMYFUNCTION("""COMPUTED_VALUE"""),27974.4)</f>
        <v>27974.400000000001</v>
      </c>
      <c r="N28" s="148">
        <f ca="1">IFERROR(__xludf.DUMMYFUNCTION("""COMPUTED_VALUE"""),0)</f>
        <v>0</v>
      </c>
      <c r="O28" s="148">
        <f ca="1">IFERROR(__xludf.DUMMYFUNCTION("""COMPUTED_VALUE"""),2212.6)</f>
        <v>2212.6</v>
      </c>
      <c r="P28" s="148">
        <f ca="1">IFERROR(__xludf.DUMMYFUNCTION("""COMPUTED_VALUE"""),0)</f>
        <v>0</v>
      </c>
      <c r="Q28" s="148">
        <f t="shared" ca="1" si="1"/>
        <v>44926.200000000004</v>
      </c>
    </row>
    <row r="29" spans="1:17" ht="12.75">
      <c r="A29" s="149" t="str">
        <f ca="1">IFERROR(__xludf.DUMMYFUNCTION("""COMPUTED_VALUE"""),"Miracema")</f>
        <v>Miracema</v>
      </c>
      <c r="B29" s="149" t="str">
        <f ca="1">IFERROR(__xludf.DUMMYFUNCTION("""COMPUTED_VALUE"""),"Tocantinia")</f>
        <v>Tocantinia</v>
      </c>
      <c r="C29" s="150" t="str">
        <f ca="1">IFERROR(__xludf.DUMMYFUNCTION("""COMPUTED_VALUE"""),"ASS. APOIO AO CEM XERENTE WARA")</f>
        <v>ASS. APOIO AO CEM XERENTE WARA</v>
      </c>
      <c r="D29" s="258" t="str">
        <f ca="1">IFERROR(__xludf.DUMMYFUNCTION("""COMPUTED_VALUE"""),"07674098000101")</f>
        <v>07674098000101</v>
      </c>
      <c r="E29" s="151" t="str">
        <f ca="1">IFERROR(__xludf.DUMMYFUNCTION("""COMPUTED_VALUE"""),"001")</f>
        <v>001</v>
      </c>
      <c r="F29" s="151" t="str">
        <f ca="1">IFERROR(__xludf.DUMMYFUNCTION("""COMPUTED_VALUE"""),"0862")</f>
        <v>0862</v>
      </c>
      <c r="G29" s="151" t="str">
        <f ca="1">IFERROR(__xludf.DUMMYFUNCTION("""COMPUTED_VALUE"""),"183407")</f>
        <v>183407</v>
      </c>
      <c r="H29" s="153">
        <f ca="1">IFERROR(__xludf.DUMMYFUNCTION("""COMPUTED_VALUE"""),12230.4)</f>
        <v>12230.4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IFERROR(__xludf.DUMMYFUNCTION("""COMPUTED_VALUE"""),998)</f>
        <v>998</v>
      </c>
      <c r="Q29" s="153">
        <f t="shared" ca="1" si="1"/>
        <v>13228.4</v>
      </c>
    </row>
    <row r="30" spans="1:17" ht="12.75">
      <c r="A30" s="144" t="str">
        <f ca="1">IFERROR(__xludf.DUMMYFUNCTION("""COMPUTED_VALUE"""),"Miracema")</f>
        <v>Miracema</v>
      </c>
      <c r="B30" s="144" t="str">
        <f ca="1">IFERROR(__xludf.DUMMYFUNCTION("""COMPUTED_VALUE"""),"Tocantinia")</f>
        <v>Tocantinia</v>
      </c>
      <c r="C30" s="145" t="str">
        <f ca="1">IFERROR(__xludf.DUMMYFUNCTION("""COMPUTED_VALUE"""),"A.COM.DO COLEGIO FREI ANTONIO CONVENIADO")</f>
        <v>A.COM.DO COLEGIO FREI ANTONIO CONVENIADO</v>
      </c>
      <c r="D30" s="257" t="str">
        <f ca="1">IFERROR(__xludf.DUMMYFUNCTION("""COMPUTED_VALUE"""),"01066427000155")</f>
        <v>01066427000155</v>
      </c>
      <c r="E30" s="146" t="str">
        <f ca="1">IFERROR(__xludf.DUMMYFUNCTION("""COMPUTED_VALUE"""),"001")</f>
        <v>001</v>
      </c>
      <c r="F30" s="146" t="str">
        <f ca="1">IFERROR(__xludf.DUMMYFUNCTION("""COMPUTED_VALUE"""),"0862")</f>
        <v>0862</v>
      </c>
      <c r="G30" s="146" t="str">
        <f ca="1">IFERROR(__xludf.DUMMYFUNCTION("""COMPUTED_VALUE"""),"68985")</f>
        <v>68985</v>
      </c>
      <c r="H30" s="148">
        <f ca="1">IFERROR(__xludf.DUMMYFUNCTION("""COMPUTED_VALUE"""),23363.2)</f>
        <v>23363.200000000001</v>
      </c>
      <c r="I30" s="148">
        <f ca="1">IFERROR(__xludf.DUMMYFUNCTION("""COMPUTED_VALUE"""),0)</f>
        <v>0</v>
      </c>
      <c r="J30" s="148">
        <f ca="1">IFERROR(__xludf.DUMMYFUNCTION("""COMPUTED_VALUE"""),0)</f>
        <v>0</v>
      </c>
      <c r="K30" s="148">
        <f ca="1">IFERROR(__xludf.DUMMYFUNCTION("""COMPUTED_VALUE"""),0)</f>
        <v>0</v>
      </c>
      <c r="L30" s="148">
        <f ca="1">IFERROR(__xludf.DUMMYFUNCTION("""COMPUTED_VALUE"""),0)</f>
        <v>0</v>
      </c>
      <c r="M30" s="148">
        <f ca="1">IFERROR(__xludf.DUMMYFUNCTION("""COMPUTED_VALUE"""),0)</f>
        <v>0</v>
      </c>
      <c r="N30" s="148">
        <f ca="1">IFERROR(__xludf.DUMMYFUNCTION("""COMPUTED_VALUE"""),0)</f>
        <v>0</v>
      </c>
      <c r="O30" s="148">
        <f ca="1">IFERROR(__xludf.DUMMYFUNCTION("""COMPUTED_VALUE"""),0)</f>
        <v>0</v>
      </c>
      <c r="P30" s="148">
        <f ca="1">IFERROR(__xludf.DUMMYFUNCTION("""COMPUTED_VALUE"""),1996)</f>
        <v>1996</v>
      </c>
      <c r="Q30" s="148">
        <f t="shared" ca="1" si="1"/>
        <v>25359.200000000001</v>
      </c>
    </row>
    <row r="31" spans="1:17" ht="12.75">
      <c r="A31" s="149" t="str">
        <f ca="1">IFERROR(__xludf.DUMMYFUNCTION("""COMPUTED_VALUE"""),"Palmas")</f>
        <v>Palmas</v>
      </c>
      <c r="B31" s="149" t="str">
        <f ca="1">IFERROR(__xludf.DUMMYFUNCTION("""COMPUTED_VALUE"""),"Palmas")</f>
        <v>Palmas</v>
      </c>
      <c r="C31" s="150" t="str">
        <f ca="1">IFERROR(__xludf.DUMMYFUNCTION("""COMPUTED_VALUE"""),"ASSOCIAÇÃO DE APOIO A ESC. ESTADUAL DA 403 SUL")</f>
        <v>ASSOCIAÇÃO DE APOIO A ESC. ESTADUAL DA 403 SUL</v>
      </c>
      <c r="D31" s="258" t="str">
        <f ca="1">IFERROR(__xludf.DUMMYFUNCTION("""COMPUTED_VALUE"""),"11332101000186")</f>
        <v>11332101000186</v>
      </c>
      <c r="E31" s="151" t="str">
        <f ca="1">IFERROR(__xludf.DUMMYFUNCTION("""COMPUTED_VALUE"""),"001")</f>
        <v>001</v>
      </c>
      <c r="F31" s="151" t="str">
        <f ca="1">IFERROR(__xludf.DUMMYFUNCTION("""COMPUTED_VALUE"""),"1505")</f>
        <v>1505</v>
      </c>
      <c r="G31" s="151" t="str">
        <f ca="1">IFERROR(__xludf.DUMMYFUNCTION("""COMPUTED_VALUE"""),"467588")</f>
        <v>467588</v>
      </c>
      <c r="H31" s="153">
        <f ca="1">IFERROR(__xludf.DUMMYFUNCTION("""COMPUTED_VALUE"""),71265.6)</f>
        <v>71265.600000000006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IFERROR(__xludf.DUMMYFUNCTION("""COMPUTED_VALUE"""),6087.8)</f>
        <v>6087.8</v>
      </c>
      <c r="Q31" s="153">
        <f t="shared" ca="1" si="1"/>
        <v>77353.400000000009</v>
      </c>
    </row>
    <row r="32" spans="1:17" ht="12.75">
      <c r="A32" s="144" t="str">
        <f ca="1">IFERROR(__xludf.DUMMYFUNCTION("""COMPUTED_VALUE"""),"Palmas")</f>
        <v>Palmas</v>
      </c>
      <c r="B32" s="144" t="str">
        <f ca="1">IFERROR(__xludf.DUMMYFUNCTION("""COMPUTED_VALUE"""),"Palmas")</f>
        <v>Palmas</v>
      </c>
      <c r="C32" s="145" t="str">
        <f ca="1">IFERROR(__xludf.DUMMYFUNCTION("""COMPUTED_VALUE"""),"ASSOC.COMUNIDADE ESC. ESTADUAL RURAL ENTRE RIOS")</f>
        <v>ASSOC.COMUNIDADE ESC. ESTADUAL RURAL ENTRE RIOS</v>
      </c>
      <c r="D32" s="257" t="str">
        <f ca="1">IFERROR(__xludf.DUMMYFUNCTION("""COMPUTED_VALUE"""),"11257180000108")</f>
        <v>11257180000108</v>
      </c>
      <c r="E32" s="146" t="str">
        <f ca="1">IFERROR(__xludf.DUMMYFUNCTION("""COMPUTED_VALUE"""),"001")</f>
        <v>001</v>
      </c>
      <c r="F32" s="146" t="str">
        <f ca="1">IFERROR(__xludf.DUMMYFUNCTION("""COMPUTED_VALUE"""),"1886")</f>
        <v>1886</v>
      </c>
      <c r="G32" s="146" t="str">
        <f ca="1">IFERROR(__xludf.DUMMYFUNCTION("""COMPUTED_VALUE"""),"1464884")</f>
        <v>1464884</v>
      </c>
      <c r="H32" s="148">
        <f ca="1">IFERROR(__xludf.DUMMYFUNCTION("""COMPUTED_VALUE"""),3057.6)</f>
        <v>3057.6</v>
      </c>
      <c r="I32" s="148">
        <f ca="1">IFERROR(__xludf.DUMMYFUNCTION("""COMPUTED_VALUE"""),0)</f>
        <v>0</v>
      </c>
      <c r="J32" s="148">
        <f ca="1">IFERROR(__xludf.DUMMYFUNCTION("""COMPUTED_VALUE"""),0)</f>
        <v>0</v>
      </c>
      <c r="K32" s="148">
        <f ca="1">IFERROR(__xludf.DUMMYFUNCTION("""COMPUTED_VALUE"""),0)</f>
        <v>0</v>
      </c>
      <c r="L32" s="148">
        <f ca="1">IFERROR(__xludf.DUMMYFUNCTION("""COMPUTED_VALUE"""),0)</f>
        <v>0</v>
      </c>
      <c r="M32" s="148">
        <f ca="1">IFERROR(__xludf.DUMMYFUNCTION("""COMPUTED_VALUE"""),5803.2)</f>
        <v>5803.2</v>
      </c>
      <c r="N32" s="148">
        <f ca="1">IFERROR(__xludf.DUMMYFUNCTION("""COMPUTED_VALUE"""),0)</f>
        <v>0</v>
      </c>
      <c r="O32" s="148">
        <f ca="1">IFERROR(__xludf.DUMMYFUNCTION("""COMPUTED_VALUE"""),510.599999999999)</f>
        <v>510.599999999999</v>
      </c>
      <c r="P32" s="148">
        <f ca="1">IFERROR(__xludf.DUMMYFUNCTION("""COMPUTED_VALUE"""),0)</f>
        <v>0</v>
      </c>
      <c r="Q32" s="148">
        <f t="shared" ca="1" si="1"/>
        <v>9371.3999999999978</v>
      </c>
    </row>
    <row r="33" spans="1:17" ht="12.75">
      <c r="A33" s="149" t="str">
        <f ca="1">IFERROR(__xludf.DUMMYFUNCTION("""COMPUTED_VALUE"""),"Paraíso")</f>
        <v>Paraíso</v>
      </c>
      <c r="B33" s="149" t="str">
        <f ca="1">IFERROR(__xludf.DUMMYFUNCTION("""COMPUTED_VALUE"""),"Nova Rosalandia")</f>
        <v>Nova Rosalandia</v>
      </c>
      <c r="C33" s="150" t="str">
        <f ca="1">IFERROR(__xludf.DUMMYFUNCTION("""COMPUTED_VALUE"""),"ASSOC.COM. ESC EST.REGINA SIQUEIRA CAMPOS")</f>
        <v>ASSOC.COM. ESC EST.REGINA SIQUEIRA CAMPOS</v>
      </c>
      <c r="D33" s="258" t="str">
        <f ca="1">IFERROR(__xludf.DUMMYFUNCTION("""COMPUTED_VALUE"""),"01181170000182")</f>
        <v>01181170000182</v>
      </c>
      <c r="E33" s="151" t="str">
        <f ca="1">IFERROR(__xludf.DUMMYFUNCTION("""COMPUTED_VALUE"""),"001")</f>
        <v>001</v>
      </c>
      <c r="F33" s="151" t="str">
        <f ca="1">IFERROR(__xludf.DUMMYFUNCTION("""COMPUTED_VALUE"""),"0804")</f>
        <v>0804</v>
      </c>
      <c r="G33" s="151" t="str">
        <f ca="1">IFERROR(__xludf.DUMMYFUNCTION("""COMPUTED_VALUE"""),"16383X")</f>
        <v>16383X</v>
      </c>
      <c r="H33" s="153">
        <f ca="1">IFERROR(__xludf.DUMMYFUNCTION("""COMPUTED_VALUE"""),11603.2)</f>
        <v>11603.2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IFERROR(__xludf.DUMMYFUNCTION("""COMPUTED_VALUE"""),1176)</f>
        <v>1176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IFERROR(__xludf.DUMMYFUNCTION("""COMPUTED_VALUE"""),1097.8)</f>
        <v>1097.8</v>
      </c>
      <c r="Q33" s="153">
        <f t="shared" ca="1" si="1"/>
        <v>13877</v>
      </c>
    </row>
    <row r="34" spans="1:17" ht="12.75">
      <c r="A34" s="144" t="str">
        <f ca="1">IFERROR(__xludf.DUMMYFUNCTION("""COMPUTED_VALUE"""),"Paraíso")</f>
        <v>Paraíso</v>
      </c>
      <c r="B34" s="144" t="str">
        <f ca="1">IFERROR(__xludf.DUMMYFUNCTION("""COMPUTED_VALUE"""),"Paraiso do Tocantins")</f>
        <v>Paraiso do Tocantins</v>
      </c>
      <c r="C34" s="145" t="str">
        <f ca="1">IFERROR(__xludf.DUMMYFUNCTION("""COMPUTED_VALUE"""),"ASS. A. ESCOLA EST. DE TEMPO INTEGRAL PROFESSORA RITA ANDRADE SANTOS")</f>
        <v>ASS. A. ESCOLA EST. DE TEMPO INTEGRAL PROFESSORA RITA ANDRADE SANTOS</v>
      </c>
      <c r="D34" s="257" t="str">
        <f ca="1">IFERROR(__xludf.DUMMYFUNCTION("""COMPUTED_VALUE"""),"48740961000169")</f>
        <v>48740961000169</v>
      </c>
      <c r="E34" s="146" t="str">
        <f ca="1">IFERROR(__xludf.DUMMYFUNCTION("""COMPUTED_VALUE"""),"001")</f>
        <v>001</v>
      </c>
      <c r="F34" s="146" t="str">
        <f ca="1">IFERROR(__xludf.DUMMYFUNCTION("""COMPUTED_VALUE"""),"0804")</f>
        <v>0804</v>
      </c>
      <c r="G34" s="146" t="str">
        <f ca="1">IFERROR(__xludf.DUMMYFUNCTION("""COMPUTED_VALUE"""),"58858X")</f>
        <v>58858X</v>
      </c>
      <c r="H34" s="148">
        <f ca="1">IFERROR(__xludf.DUMMYFUNCTION("""COMPUTED_VALUE"""),41787.2)</f>
        <v>41787.199999999997</v>
      </c>
      <c r="I34" s="148">
        <f ca="1">IFERROR(__xludf.DUMMYFUNCTION("""COMPUTED_VALUE"""),0)</f>
        <v>0</v>
      </c>
      <c r="J34" s="148">
        <f ca="1">IFERROR(__xludf.DUMMYFUNCTION("""COMPUTED_VALUE"""),0)</f>
        <v>0</v>
      </c>
      <c r="K34" s="148">
        <f ca="1">IFERROR(__xludf.DUMMYFUNCTION("""COMPUTED_VALUE"""),2508.8)</f>
        <v>2508.8000000000002</v>
      </c>
      <c r="L34" s="148">
        <f ca="1">IFERROR(__xludf.DUMMYFUNCTION("""COMPUTED_VALUE"""),0)</f>
        <v>0</v>
      </c>
      <c r="M34" s="148">
        <f ca="1">IFERROR(__xludf.DUMMYFUNCTION("""COMPUTED_VALUE"""),0)</f>
        <v>0</v>
      </c>
      <c r="N34" s="148">
        <f ca="1">IFERROR(__xludf.DUMMYFUNCTION("""COMPUTED_VALUE"""),0)</f>
        <v>0</v>
      </c>
      <c r="O34" s="148">
        <f ca="1">IFERROR(__xludf.DUMMYFUNCTION("""COMPUTED_VALUE"""),0)</f>
        <v>0</v>
      </c>
      <c r="P34" s="148">
        <f ca="1">IFERROR(__xludf.DUMMYFUNCTION("""COMPUTED_VALUE"""),3792.4)</f>
        <v>3792.4</v>
      </c>
      <c r="Q34" s="148">
        <f t="shared" ca="1" si="1"/>
        <v>48088.4</v>
      </c>
    </row>
    <row r="35" spans="1:17" ht="12.75">
      <c r="A35" s="149" t="str">
        <f ca="1">IFERROR(__xludf.DUMMYFUNCTION("""COMPUTED_VALUE"""),"Pedro Afonso")</f>
        <v>Pedro Afonso</v>
      </c>
      <c r="B35" s="149" t="str">
        <f ca="1">IFERROR(__xludf.DUMMYFUNCTION("""COMPUTED_VALUE"""),"Pedro Afonso")</f>
        <v>Pedro Afonso</v>
      </c>
      <c r="C35" s="150" t="str">
        <f ca="1">IFERROR(__xludf.DUMMYFUNCTION("""COMPUTED_VALUE"""),"A.A. AO COLÉGIO DE TEMPO INTEGRAL PROFESSOR ANTONIO BELARMINO FILHO")</f>
        <v>A.A. AO COLÉGIO DE TEMPO INTEGRAL PROFESSOR ANTONIO BELARMINO FILHO</v>
      </c>
      <c r="D35" s="258" t="str">
        <f ca="1">IFERROR(__xludf.DUMMYFUNCTION("""COMPUTED_VALUE"""),"47823286000179")</f>
        <v>47823286000179</v>
      </c>
      <c r="E35" s="151" t="str">
        <f ca="1">IFERROR(__xludf.DUMMYFUNCTION("""COMPUTED_VALUE"""),"001")</f>
        <v>001</v>
      </c>
      <c r="F35" s="151" t="str">
        <f ca="1">IFERROR(__xludf.DUMMYFUNCTION("""COMPUTED_VALUE"""),"1595")</f>
        <v>1595</v>
      </c>
      <c r="G35" s="151" t="str">
        <f ca="1">IFERROR(__xludf.DUMMYFUNCTION("""COMPUTED_VALUE"""),"334804")</f>
        <v>334804</v>
      </c>
      <c r="H35" s="153">
        <f ca="1">IFERROR(__xludf.DUMMYFUNCTION("""COMPUTED_VALUE"""),33398.4)</f>
        <v>33398.400000000001</v>
      </c>
      <c r="I35" s="153">
        <f ca="1">IFERROR(__xludf.DUMMYFUNCTION("""COMPUTED_VALUE"""),0)</f>
        <v>0</v>
      </c>
      <c r="J35" s="153">
        <f ca="1">IFERROR(__xludf.DUMMYFUNCTION("""COMPUTED_VALUE"""),0)</f>
        <v>0</v>
      </c>
      <c r="K35" s="153">
        <f ca="1">IFERROR(__xludf.DUMMYFUNCTION("""COMPUTED_VALUE"""),9172.8)</f>
        <v>9172.7999999999993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IFERROR(__xludf.DUMMYFUNCTION("""COMPUTED_VALUE"""),3592.79999999999)</f>
        <v>3592.7999999999902</v>
      </c>
      <c r="Q35" s="153">
        <f t="shared" ca="1" si="1"/>
        <v>46163.999999999985</v>
      </c>
    </row>
    <row r="36" spans="1:17" ht="12.75">
      <c r="A36" s="144" t="str">
        <f ca="1">IFERROR(__xludf.DUMMYFUNCTION("""COMPUTED_VALUE"""),"Pedro Afonso")</f>
        <v>Pedro Afonso</v>
      </c>
      <c r="B36" s="144" t="str">
        <f ca="1">IFERROR(__xludf.DUMMYFUNCTION("""COMPUTED_VALUE"""),"Santa Maria do Tocantins")</f>
        <v>Santa Maria do Tocantins</v>
      </c>
      <c r="C36" s="145" t="str">
        <f ca="1">IFERROR(__xludf.DUMMYFUNCTION("""COMPUTED_VALUE"""),"A. A.AS ESC.DO COL. EST. SANTA MARIA")</f>
        <v>A. A.AS ESC.DO COL. EST. SANTA MARIA</v>
      </c>
      <c r="D36" s="257" t="str">
        <f ca="1">IFERROR(__xludf.DUMMYFUNCTION("""COMPUTED_VALUE"""),"02087933000193")</f>
        <v>02087933000193</v>
      </c>
      <c r="E36" s="146" t="str">
        <f ca="1">IFERROR(__xludf.DUMMYFUNCTION("""COMPUTED_VALUE"""),"001")</f>
        <v>001</v>
      </c>
      <c r="F36" s="146" t="str">
        <f ca="1">IFERROR(__xludf.DUMMYFUNCTION("""COMPUTED_VALUE"""),"1595")</f>
        <v>1595</v>
      </c>
      <c r="G36" s="146" t="str">
        <f ca="1">IFERROR(__xludf.DUMMYFUNCTION("""COMPUTED_VALUE"""),"83089")</f>
        <v>83089</v>
      </c>
      <c r="H36" s="148">
        <f ca="1">IFERROR(__xludf.DUMMYFUNCTION("""COMPUTED_VALUE"""),8780.8)</f>
        <v>8780.7999999999993</v>
      </c>
      <c r="I36" s="148">
        <f ca="1">IFERROR(__xludf.DUMMYFUNCTION("""COMPUTED_VALUE"""),0)</f>
        <v>0</v>
      </c>
      <c r="J36" s="148">
        <f ca="1">IFERROR(__xludf.DUMMYFUNCTION("""COMPUTED_VALUE"""),0)</f>
        <v>0</v>
      </c>
      <c r="K36" s="148">
        <f ca="1">IFERROR(__xludf.DUMMYFUNCTION("""COMPUTED_VALUE"""),0)</f>
        <v>0</v>
      </c>
      <c r="L36" s="148">
        <f ca="1">IFERROR(__xludf.DUMMYFUNCTION("""COMPUTED_VALUE"""),0)</f>
        <v>0</v>
      </c>
      <c r="M36" s="148">
        <f ca="1">IFERROR(__xludf.DUMMYFUNCTION("""COMPUTED_VALUE"""),0)</f>
        <v>0</v>
      </c>
      <c r="N36" s="148">
        <f ca="1">IFERROR(__xludf.DUMMYFUNCTION("""COMPUTED_VALUE"""),0)</f>
        <v>0</v>
      </c>
      <c r="O36" s="148">
        <f ca="1">IFERROR(__xludf.DUMMYFUNCTION("""COMPUTED_VALUE"""),0)</f>
        <v>0</v>
      </c>
      <c r="P36" s="148">
        <f ca="1">IFERROR(__xludf.DUMMYFUNCTION("""COMPUTED_VALUE"""),698.6)</f>
        <v>698.6</v>
      </c>
      <c r="Q36" s="148">
        <f t="shared" ca="1" si="1"/>
        <v>9479.4</v>
      </c>
    </row>
    <row r="37" spans="1:17" ht="12.75">
      <c r="A37" s="149" t="str">
        <f ca="1">IFERROR(__xludf.DUMMYFUNCTION("""COMPUTED_VALUE"""),"Pedro Afonso")</f>
        <v>Pedro Afonso</v>
      </c>
      <c r="B37" s="149" t="str">
        <f ca="1">IFERROR(__xludf.DUMMYFUNCTION("""COMPUTED_VALUE"""),"Tupirama")</f>
        <v>Tupirama</v>
      </c>
      <c r="C37" s="150" t="str">
        <f ca="1">IFERROR(__xludf.DUMMYFUNCTION("""COMPUTED_VALUE"""),"A.A. A ESCOLA EST. MARIA DA GLORIA")</f>
        <v>A.A. A ESCOLA EST. MARIA DA GLORIA</v>
      </c>
      <c r="D37" s="258" t="str">
        <f ca="1">IFERROR(__xludf.DUMMYFUNCTION("""COMPUTED_VALUE"""),"02096555000104")</f>
        <v>02096555000104</v>
      </c>
      <c r="E37" s="151" t="str">
        <f ca="1">IFERROR(__xludf.DUMMYFUNCTION("""COMPUTED_VALUE"""),"001")</f>
        <v>001</v>
      </c>
      <c r="F37" s="151" t="str">
        <f ca="1">IFERROR(__xludf.DUMMYFUNCTION("""COMPUTED_VALUE"""),"2094")</f>
        <v>2094</v>
      </c>
      <c r="G37" s="151" t="str">
        <f ca="1">IFERROR(__xludf.DUMMYFUNCTION("""COMPUTED_VALUE"""),"50482")</f>
        <v>50482</v>
      </c>
      <c r="H37" s="153">
        <f ca="1">IFERROR(__xludf.DUMMYFUNCTION("""COMPUTED_VALUE"""),9956.8)</f>
        <v>9956.7999999999993</v>
      </c>
      <c r="I37" s="153">
        <f ca="1">IFERROR(__xludf.DUMMYFUNCTION("""COMPUTED_VALUE"""),0)</f>
        <v>0</v>
      </c>
      <c r="J37" s="153">
        <f ca="1">IFERROR(__xludf.DUMMYFUNCTION("""COMPUTED_VALUE"""),0)</f>
        <v>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IFERROR(__xludf.DUMMYFUNCTION("""COMPUTED_VALUE"""),798.4)</f>
        <v>798.4</v>
      </c>
      <c r="Q37" s="153">
        <f t="shared" ca="1" si="1"/>
        <v>10755.199999999999</v>
      </c>
    </row>
    <row r="38" spans="1:17" ht="12.75">
      <c r="A38" s="144" t="str">
        <f ca="1">IFERROR(__xludf.DUMMYFUNCTION("""COMPUTED_VALUE"""),"Porto Nacional")</f>
        <v>Porto Nacional</v>
      </c>
      <c r="B38" s="144" t="str">
        <f ca="1">IFERROR(__xludf.DUMMYFUNCTION("""COMPUTED_VALUE"""),"Brejinho de Nazare")</f>
        <v>Brejinho de Nazare</v>
      </c>
      <c r="C38" s="145" t="str">
        <f ca="1">IFERROR(__xludf.DUMMYFUNCTION("""COMPUTED_VALUE"""),"AS.DE APOIO A ESC. EST. JONAS PEREIRA LIMA")</f>
        <v>AS.DE APOIO A ESC. EST. JONAS PEREIRA LIMA</v>
      </c>
      <c r="D38" s="257" t="str">
        <f ca="1">IFERROR(__xludf.DUMMYFUNCTION("""COMPUTED_VALUE"""),"01148459000108")</f>
        <v>01148459000108</v>
      </c>
      <c r="E38" s="146" t="str">
        <f ca="1">IFERROR(__xludf.DUMMYFUNCTION("""COMPUTED_VALUE"""),"001")</f>
        <v>001</v>
      </c>
      <c r="F38" s="146" t="str">
        <f ca="1">IFERROR(__xludf.DUMMYFUNCTION("""COMPUTED_VALUE"""),"3976")</f>
        <v>3976</v>
      </c>
      <c r="G38" s="146" t="str">
        <f ca="1">IFERROR(__xludf.DUMMYFUNCTION("""COMPUTED_VALUE"""),"80489")</f>
        <v>80489</v>
      </c>
      <c r="H38" s="148">
        <f ca="1">IFERROR(__xludf.DUMMYFUNCTION("""COMPUTED_VALUE"""),21716.8)</f>
        <v>21716.799999999999</v>
      </c>
      <c r="I38" s="148">
        <f ca="1">IFERROR(__xludf.DUMMYFUNCTION("""COMPUTED_VALUE"""),0)</f>
        <v>0</v>
      </c>
      <c r="J38" s="148">
        <f ca="1">IFERROR(__xludf.DUMMYFUNCTION("""COMPUTED_VALUE"""),0)</f>
        <v>0</v>
      </c>
      <c r="K38" s="148">
        <f ca="1">IFERROR(__xludf.DUMMYFUNCTION("""COMPUTED_VALUE"""),0)</f>
        <v>0</v>
      </c>
      <c r="L38" s="148">
        <f ca="1">IFERROR(__xludf.DUMMYFUNCTION("""COMPUTED_VALUE"""),0)</f>
        <v>0</v>
      </c>
      <c r="M38" s="148">
        <f ca="1">IFERROR(__xludf.DUMMYFUNCTION("""COMPUTED_VALUE"""),0)</f>
        <v>0</v>
      </c>
      <c r="N38" s="148">
        <f ca="1">IFERROR(__xludf.DUMMYFUNCTION("""COMPUTED_VALUE"""),0)</f>
        <v>0</v>
      </c>
      <c r="O38" s="148">
        <f ca="1">IFERROR(__xludf.DUMMYFUNCTION("""COMPUTED_VALUE"""),0)</f>
        <v>0</v>
      </c>
      <c r="P38" s="148">
        <f ca="1">IFERROR(__xludf.DUMMYFUNCTION("""COMPUTED_VALUE"""),1796.39999999999)</f>
        <v>1796.3999999999901</v>
      </c>
      <c r="Q38" s="148">
        <f t="shared" ca="1" si="1"/>
        <v>23513.19999999999</v>
      </c>
    </row>
    <row r="39" spans="1:17" ht="12.75">
      <c r="A39" s="259" t="str">
        <f ca="1">IFERROR(__xludf.DUMMYFUNCTION("""COMPUTED_VALUE"""),"Porto Nacional")</f>
        <v>Porto Nacional</v>
      </c>
      <c r="B39" s="259" t="str">
        <f ca="1">IFERROR(__xludf.DUMMYFUNCTION("""COMPUTED_VALUE"""),"Monte do Carmo")</f>
        <v>Monte do Carmo</v>
      </c>
      <c r="C39" s="260" t="str">
        <f ca="1">IFERROR(__xludf.DUMMYFUNCTION("""COMPUTED_VALUE"""),"A.A. DA ESC. EST. BRIGADAS CHE GUEVARA")</f>
        <v>A.A. DA ESC. EST. BRIGADAS CHE GUEVARA</v>
      </c>
      <c r="D39" s="261" t="str">
        <f ca="1">IFERROR(__xludf.DUMMYFUNCTION("""COMPUTED_VALUE"""),"08593650000108")</f>
        <v>08593650000108</v>
      </c>
      <c r="E39" s="262" t="str">
        <f ca="1">IFERROR(__xludf.DUMMYFUNCTION("""COMPUTED_VALUE"""),"001")</f>
        <v>001</v>
      </c>
      <c r="F39" s="262" t="str">
        <f ca="1">IFERROR(__xludf.DUMMYFUNCTION("""COMPUTED_VALUE"""),"1117")</f>
        <v>1117</v>
      </c>
      <c r="G39" s="262" t="str">
        <f ca="1">IFERROR(__xludf.DUMMYFUNCTION("""COMPUTED_VALUE"""),"263060")</f>
        <v>263060</v>
      </c>
      <c r="H39" s="263">
        <f ca="1">IFERROR(__xludf.DUMMYFUNCTION("""COMPUTED_VALUE"""),0)</f>
        <v>0</v>
      </c>
      <c r="I39" s="263">
        <f ca="1">IFERROR(__xludf.DUMMYFUNCTION("""COMPUTED_VALUE"""),0)</f>
        <v>0</v>
      </c>
      <c r="J39" s="263">
        <f ca="1">IFERROR(__xludf.DUMMYFUNCTION("""COMPUTED_VALUE"""),0)</f>
        <v>0</v>
      </c>
      <c r="K39" s="263">
        <f ca="1">IFERROR(__xludf.DUMMYFUNCTION("""COMPUTED_VALUE"""),4233.6)</f>
        <v>4233.6000000000004</v>
      </c>
      <c r="L39" s="263">
        <f ca="1">IFERROR(__xludf.DUMMYFUNCTION("""COMPUTED_VALUE"""),0)</f>
        <v>0</v>
      </c>
      <c r="M39" s="263">
        <f ca="1">IFERROR(__xludf.DUMMYFUNCTION("""COMPUTED_VALUE"""),8035.2)</f>
        <v>8035.2</v>
      </c>
      <c r="N39" s="264">
        <f ca="1">IFERROR(__xludf.DUMMYFUNCTION("""COMPUTED_VALUE"""),0)</f>
        <v>0</v>
      </c>
      <c r="O39" s="264">
        <f ca="1">IFERROR(__xludf.DUMMYFUNCTION("""COMPUTED_VALUE"""),680.8)</f>
        <v>680.8</v>
      </c>
      <c r="P39" s="264">
        <f ca="1">IFERROR(__xludf.DUMMYFUNCTION("""COMPUTED_VALUE"""),0)</f>
        <v>0</v>
      </c>
      <c r="Q39" s="264">
        <f t="shared" ca="1" si="1"/>
        <v>12949.599999999999</v>
      </c>
    </row>
    <row r="40" spans="1:17" ht="12.75">
      <c r="A40" s="144" t="str">
        <f ca="1">IFERROR(__xludf.DUMMYFUNCTION("""COMPUTED_VALUE"""),"Porto Nacional")</f>
        <v>Porto Nacional</v>
      </c>
      <c r="B40" s="144" t="str">
        <f ca="1">IFERROR(__xludf.DUMMYFUNCTION("""COMPUTED_VALUE"""),"Monte do Carmo")</f>
        <v>Monte do Carmo</v>
      </c>
      <c r="C40" s="145" t="str">
        <f ca="1">IFERROR(__xludf.DUMMYFUNCTION("""COMPUTED_VALUE"""),"A.APOIO DA ESCOLA ESTADUAL MESTRA BELA")</f>
        <v>A.APOIO DA ESCOLA ESTADUAL MESTRA BELA</v>
      </c>
      <c r="D40" s="257" t="str">
        <f ca="1">IFERROR(__xludf.DUMMYFUNCTION("""COMPUTED_VALUE"""),"01071442000191")</f>
        <v>01071442000191</v>
      </c>
      <c r="E40" s="146" t="str">
        <f ca="1">IFERROR(__xludf.DUMMYFUNCTION("""COMPUTED_VALUE"""),"001")</f>
        <v>001</v>
      </c>
      <c r="F40" s="146" t="str">
        <f ca="1">IFERROR(__xludf.DUMMYFUNCTION("""COMPUTED_VALUE"""),"1117")</f>
        <v>1117</v>
      </c>
      <c r="G40" s="257" t="str">
        <f ca="1">IFERROR(__xludf.DUMMYFUNCTION("""COMPUTED_VALUE"""),"31286X")</f>
        <v>31286X</v>
      </c>
      <c r="H40" s="148">
        <f ca="1">IFERROR(__xludf.DUMMYFUNCTION("""COMPUTED_VALUE"""),8937.6)</f>
        <v>8937.6</v>
      </c>
      <c r="I40" s="148">
        <f ca="1">IFERROR(__xludf.DUMMYFUNCTION("""COMPUTED_VALUE"""),0)</f>
        <v>0</v>
      </c>
      <c r="J40" s="148">
        <f ca="1">IFERROR(__xludf.DUMMYFUNCTION("""COMPUTED_VALUE"""),0)</f>
        <v>0</v>
      </c>
      <c r="K40" s="148">
        <f ca="1">IFERROR(__xludf.DUMMYFUNCTION("""COMPUTED_VALUE"""),0)</f>
        <v>0</v>
      </c>
      <c r="L40" s="148">
        <f ca="1">IFERROR(__xludf.DUMMYFUNCTION("""COMPUTED_VALUE"""),0)</f>
        <v>0</v>
      </c>
      <c r="M40" s="148">
        <f ca="1">IFERROR(__xludf.DUMMYFUNCTION("""COMPUTED_VALUE"""),0)</f>
        <v>0</v>
      </c>
      <c r="N40" s="148">
        <f ca="1">IFERROR(__xludf.DUMMYFUNCTION("""COMPUTED_VALUE"""),0)</f>
        <v>0</v>
      </c>
      <c r="O40" s="148">
        <f ca="1">IFERROR(__xludf.DUMMYFUNCTION("""COMPUTED_VALUE"""),0)</f>
        <v>0</v>
      </c>
      <c r="P40" s="148">
        <f ca="1">IFERROR(__xludf.DUMMYFUNCTION("""COMPUTED_VALUE"""),798.4)</f>
        <v>798.4</v>
      </c>
      <c r="Q40" s="148">
        <f t="shared" ca="1" si="1"/>
        <v>9736</v>
      </c>
    </row>
    <row r="41" spans="1:17" ht="12.75">
      <c r="A41" s="259" t="str">
        <f ca="1">IFERROR(__xludf.DUMMYFUNCTION("""COMPUTED_VALUE"""),"Porto Nacional")</f>
        <v>Porto Nacional</v>
      </c>
      <c r="B41" s="259" t="str">
        <f ca="1">IFERROR(__xludf.DUMMYFUNCTION("""COMPUTED_VALUE"""),"Natividade")</f>
        <v>Natividade</v>
      </c>
      <c r="C41" s="260" t="str">
        <f ca="1">IFERROR(__xludf.DUMMYFUNCTION("""COMPUTED_VALUE"""),"ASSOC. NOSSA SENHORA NATIVIDADE COL. AGRÍCOLA")</f>
        <v>ASSOC. NOSSA SENHORA NATIVIDADE COL. AGRÍCOLA</v>
      </c>
      <c r="D41" s="261" t="str">
        <f ca="1">IFERROR(__xludf.DUMMYFUNCTION("""COMPUTED_VALUE"""),"03758716000140")</f>
        <v>03758716000140</v>
      </c>
      <c r="E41" s="262" t="str">
        <f ca="1">IFERROR(__xludf.DUMMYFUNCTION("""COMPUTED_VALUE"""),"001")</f>
        <v>001</v>
      </c>
      <c r="F41" s="262" t="str">
        <f ca="1">IFERROR(__xludf.DUMMYFUNCTION("""COMPUTED_VALUE"""),"3980")</f>
        <v>3980</v>
      </c>
      <c r="G41" s="261" t="str">
        <f ca="1">IFERROR(__xludf.DUMMYFUNCTION("""COMPUTED_VALUE"""),"282782")</f>
        <v>282782</v>
      </c>
      <c r="H41" s="263">
        <f ca="1">IFERROR(__xludf.DUMMYFUNCTION("""COMPUTED_VALUE"""),0)</f>
        <v>0</v>
      </c>
      <c r="I41" s="263">
        <f ca="1">IFERROR(__xludf.DUMMYFUNCTION("""COMPUTED_VALUE"""),0)</f>
        <v>0</v>
      </c>
      <c r="J41" s="263">
        <f ca="1">IFERROR(__xludf.DUMMYFUNCTION("""COMPUTED_VALUE"""),0)</f>
        <v>0</v>
      </c>
      <c r="K41" s="263">
        <f ca="1">IFERROR(__xludf.DUMMYFUNCTION("""COMPUTED_VALUE"""),0)</f>
        <v>0</v>
      </c>
      <c r="L41" s="263">
        <f ca="1">IFERROR(__xludf.DUMMYFUNCTION("""COMPUTED_VALUE"""),0)</f>
        <v>0</v>
      </c>
      <c r="M41" s="263">
        <f ca="1">IFERROR(__xludf.DUMMYFUNCTION("""COMPUTED_VALUE"""),33182.4)</f>
        <v>33182.400000000001</v>
      </c>
      <c r="N41" s="263">
        <f ca="1">IFERROR(__xludf.DUMMYFUNCTION("""COMPUTED_VALUE"""),0)</f>
        <v>0</v>
      </c>
      <c r="O41" s="263">
        <f ca="1">IFERROR(__xludf.DUMMYFUNCTION("""COMPUTED_VALUE"""),2553)</f>
        <v>2553</v>
      </c>
      <c r="P41" s="263">
        <f ca="1">IFERROR(__xludf.DUMMYFUNCTION("""COMPUTED_VALUE"""),0)</f>
        <v>0</v>
      </c>
      <c r="Q41" s="153">
        <f t="shared" ca="1" si="1"/>
        <v>35735.4</v>
      </c>
    </row>
    <row r="42" spans="1:17" ht="12.75">
      <c r="A42" s="144" t="str">
        <f ca="1">IFERROR(__xludf.DUMMYFUNCTION("""COMPUTED_VALUE"""),"Porto Nacional")</f>
        <v>Porto Nacional</v>
      </c>
      <c r="B42" s="144" t="str">
        <f ca="1">IFERROR(__xludf.DUMMYFUNCTION("""COMPUTED_VALUE"""),"Pindorama do Tocantins")</f>
        <v>Pindorama do Tocantins</v>
      </c>
      <c r="C42" s="145" t="str">
        <f ca="1">IFERROR(__xludf.DUMMYFUNCTION("""COMPUTED_VALUE"""),"A.A. DO COL. EST. MANOEL DOS SANTOS ROSAL")</f>
        <v>A.A. DO COL. EST. MANOEL DOS SANTOS ROSAL</v>
      </c>
      <c r="D42" s="257" t="str">
        <f ca="1">IFERROR(__xludf.DUMMYFUNCTION("""COMPUTED_VALUE"""),"01034136000185")</f>
        <v>01034136000185</v>
      </c>
      <c r="E42" s="146" t="str">
        <f ca="1">IFERROR(__xludf.DUMMYFUNCTION("""COMPUTED_VALUE"""),"001")</f>
        <v>001</v>
      </c>
      <c r="F42" s="146" t="str">
        <f ca="1">IFERROR(__xludf.DUMMYFUNCTION("""COMPUTED_VALUE"""),"1117")</f>
        <v>1117</v>
      </c>
      <c r="G42" s="257" t="str">
        <f ca="1">IFERROR(__xludf.DUMMYFUNCTION("""COMPUTED_VALUE"""),"312991")</f>
        <v>312991</v>
      </c>
      <c r="H42" s="148">
        <f ca="1">IFERROR(__xludf.DUMMYFUNCTION("""COMPUTED_VALUE"""),8545.6)</f>
        <v>8545.6</v>
      </c>
      <c r="I42" s="148">
        <f ca="1">IFERROR(__xludf.DUMMYFUNCTION("""COMPUTED_VALUE"""),0)</f>
        <v>0</v>
      </c>
      <c r="J42" s="148">
        <f ca="1">IFERROR(__xludf.DUMMYFUNCTION("""COMPUTED_VALUE"""),0)</f>
        <v>0</v>
      </c>
      <c r="K42" s="148">
        <f ca="1">IFERROR(__xludf.DUMMYFUNCTION("""COMPUTED_VALUE"""),0)</f>
        <v>0</v>
      </c>
      <c r="L42" s="148">
        <f ca="1">IFERROR(__xludf.DUMMYFUNCTION("""COMPUTED_VALUE"""),0)</f>
        <v>0</v>
      </c>
      <c r="M42" s="148">
        <f ca="1">IFERROR(__xludf.DUMMYFUNCTION("""COMPUTED_VALUE"""),0)</f>
        <v>0</v>
      </c>
      <c r="N42" s="148">
        <f ca="1">IFERROR(__xludf.DUMMYFUNCTION("""COMPUTED_VALUE"""),0)</f>
        <v>0</v>
      </c>
      <c r="O42" s="148">
        <f ca="1">IFERROR(__xludf.DUMMYFUNCTION("""COMPUTED_VALUE"""),0)</f>
        <v>0</v>
      </c>
      <c r="P42" s="148">
        <f ca="1">IFERROR(__xludf.DUMMYFUNCTION("""COMPUTED_VALUE"""),698.6)</f>
        <v>698.6</v>
      </c>
      <c r="Q42" s="148">
        <f t="shared" ca="1" si="1"/>
        <v>9244.2000000000007</v>
      </c>
    </row>
    <row r="43" spans="1:17" ht="12.75">
      <c r="A43" s="259" t="str">
        <f ca="1">IFERROR(__xludf.DUMMYFUNCTION("""COMPUTED_VALUE"""),"Porto Nacional")</f>
        <v>Porto Nacional</v>
      </c>
      <c r="B43" s="259" t="str">
        <f ca="1">IFERROR(__xludf.DUMMYFUNCTION("""COMPUTED_VALUE"""),"Porto Nacional")</f>
        <v>Porto Nacional</v>
      </c>
      <c r="C43" s="150" t="str">
        <f ca="1">IFERROR(__xludf.DUMMYFUNCTION("""COMPUTED_VALUE"""),"ASSOCIAÇÃO DE APOIO DA ESCOLA FAMÍLIA AGRÍCOLA")</f>
        <v>ASSOCIAÇÃO DE APOIO DA ESCOLA FAMÍLIA AGRÍCOLA</v>
      </c>
      <c r="D43" s="258" t="str">
        <f ca="1">IFERROR(__xludf.DUMMYFUNCTION("""COMPUTED_VALUE"""),"01197155000122")</f>
        <v>01197155000122</v>
      </c>
      <c r="E43" s="151" t="str">
        <f ca="1">IFERROR(__xludf.DUMMYFUNCTION("""COMPUTED_VALUE"""),"001")</f>
        <v>001</v>
      </c>
      <c r="F43" s="151" t="str">
        <f ca="1">IFERROR(__xludf.DUMMYFUNCTION("""COMPUTED_VALUE"""),"1117")</f>
        <v>1117</v>
      </c>
      <c r="G43" s="258" t="str">
        <f ca="1">IFERROR(__xludf.DUMMYFUNCTION("""COMPUTED_VALUE"""),"313483")</f>
        <v>313483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IFERROR(__xludf.DUMMYFUNCTION("""COMPUTED_VALUE"""),18267.2)</f>
        <v>18267.2</v>
      </c>
      <c r="L43" s="153">
        <f ca="1">IFERROR(__xludf.DUMMYFUNCTION("""COMPUTED_VALUE"""),0)</f>
        <v>0</v>
      </c>
      <c r="M43" s="153">
        <f ca="1">IFERROR(__xludf.DUMMYFUNCTION("""COMPUTED_VALUE"""),34670.4)</f>
        <v>34670.400000000001</v>
      </c>
      <c r="N43" s="153">
        <f ca="1">IFERROR(__xludf.DUMMYFUNCTION("""COMPUTED_VALUE"""),0)</f>
        <v>0</v>
      </c>
      <c r="O43" s="153">
        <f ca="1">IFERROR(__xludf.DUMMYFUNCTION("""COMPUTED_VALUE"""),2723.2)</f>
        <v>2723.2</v>
      </c>
      <c r="P43" s="153">
        <f ca="1">IFERROR(__xludf.DUMMYFUNCTION("""COMPUTED_VALUE"""),0)</f>
        <v>0</v>
      </c>
      <c r="Q43" s="153">
        <f t="shared" ca="1" si="1"/>
        <v>55660.800000000003</v>
      </c>
    </row>
    <row r="44" spans="1:17" ht="12.75">
      <c r="A44" s="259" t="str">
        <f ca="1">IFERROR(__xludf.DUMMYFUNCTION("""COMPUTED_VALUE"""),"Porto Nacional")</f>
        <v>Porto Nacional</v>
      </c>
      <c r="B44" s="259" t="str">
        <f ca="1">IFERROR(__xludf.DUMMYFUNCTION("""COMPUTED_VALUE"""),"Porto Nacional")</f>
        <v>Porto Nacional</v>
      </c>
      <c r="C44" s="145" t="str">
        <f ca="1">IFERROR(__xludf.DUMMYFUNCTION("""COMPUTED_VALUE"""),"A.A.  A ESCOLA D. PEDRO II")</f>
        <v>A.A.  A ESCOLA D. PEDRO II</v>
      </c>
      <c r="D44" s="257" t="str">
        <f ca="1">IFERROR(__xludf.DUMMYFUNCTION("""COMPUTED_VALUE"""),"01133697000131")</f>
        <v>01133697000131</v>
      </c>
      <c r="E44" s="146" t="str">
        <f ca="1">IFERROR(__xludf.DUMMYFUNCTION("""COMPUTED_VALUE"""),"001")</f>
        <v>001</v>
      </c>
      <c r="F44" s="146" t="str">
        <f ca="1">IFERROR(__xludf.DUMMYFUNCTION("""COMPUTED_VALUE"""),"1117")</f>
        <v>1117</v>
      </c>
      <c r="G44" s="257" t="str">
        <f ca="1">IFERROR(__xludf.DUMMYFUNCTION("""COMPUTED_VALUE"""),"0313092")</f>
        <v>0313092</v>
      </c>
      <c r="H44" s="148">
        <f ca="1">IFERROR(__xludf.DUMMYFUNCTION("""COMPUTED_VALUE"""),10976)</f>
        <v>10976</v>
      </c>
      <c r="I44" s="148">
        <f ca="1">IFERROR(__xludf.DUMMYFUNCTION("""COMPUTED_VALUE"""),0)</f>
        <v>0</v>
      </c>
      <c r="J44" s="148">
        <f ca="1">IFERROR(__xludf.DUMMYFUNCTION("""COMPUTED_VALUE"""),0)</f>
        <v>0</v>
      </c>
      <c r="K44" s="148">
        <f ca="1">IFERROR(__xludf.DUMMYFUNCTION("""COMPUTED_VALUE"""),0)</f>
        <v>0</v>
      </c>
      <c r="L44" s="148">
        <f ca="1">IFERROR(__xludf.DUMMYFUNCTION("""COMPUTED_VALUE"""),0)</f>
        <v>0</v>
      </c>
      <c r="M44" s="148">
        <f ca="1">IFERROR(__xludf.DUMMYFUNCTION("""COMPUTED_VALUE"""),0)</f>
        <v>0</v>
      </c>
      <c r="N44" s="148">
        <f ca="1">IFERROR(__xludf.DUMMYFUNCTION("""COMPUTED_VALUE"""),0)</f>
        <v>0</v>
      </c>
      <c r="O44" s="148">
        <f ca="1">IFERROR(__xludf.DUMMYFUNCTION("""COMPUTED_VALUE"""),0)</f>
        <v>0</v>
      </c>
      <c r="P44" s="148">
        <f ca="1">IFERROR(__xludf.DUMMYFUNCTION("""COMPUTED_VALUE"""),898.199999999999)</f>
        <v>898.19999999999902</v>
      </c>
      <c r="Q44" s="148">
        <f t="shared" ca="1" si="1"/>
        <v>11874.199999999999</v>
      </c>
    </row>
    <row r="45" spans="1:17" ht="12.75">
      <c r="A45" s="259" t="str">
        <f ca="1">IFERROR(__xludf.DUMMYFUNCTION("""COMPUTED_VALUE"""),"Porto Nacional")</f>
        <v>Porto Nacional</v>
      </c>
      <c r="B45" s="259" t="str">
        <f ca="1">IFERROR(__xludf.DUMMYFUNCTION("""COMPUTED_VALUE"""),"Silvanopolis")</f>
        <v>Silvanopolis</v>
      </c>
      <c r="C45" s="150" t="str">
        <f ca="1">IFERROR(__xludf.DUMMYFUNCTION("""COMPUTED_VALUE"""),"A.A. A ESC. EST. JOAO PIRES QUERIDO")</f>
        <v>A.A. A ESC. EST. JOAO PIRES QUERIDO</v>
      </c>
      <c r="D45" s="258" t="str">
        <f ca="1">IFERROR(__xludf.DUMMYFUNCTION("""COMPUTED_VALUE"""),"01284632000197")</f>
        <v>01284632000197</v>
      </c>
      <c r="E45" s="151" t="str">
        <f ca="1">IFERROR(__xludf.DUMMYFUNCTION("""COMPUTED_VALUE"""),"001")</f>
        <v>001</v>
      </c>
      <c r="F45" s="151" t="str">
        <f ca="1">IFERROR(__xludf.DUMMYFUNCTION("""COMPUTED_VALUE"""),"3980")</f>
        <v>3980</v>
      </c>
      <c r="G45" s="258" t="str">
        <f ca="1">IFERROR(__xludf.DUMMYFUNCTION("""COMPUTED_VALUE"""),"051187")</f>
        <v>051187</v>
      </c>
      <c r="H45" s="153">
        <f ca="1">IFERROR(__xludf.DUMMYFUNCTION("""COMPUTED_VALUE"""),11916.8)</f>
        <v>11916.8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IFERROR(__xludf.DUMMYFUNCTION("""COMPUTED_VALUE"""),998)</f>
        <v>998</v>
      </c>
      <c r="Q45" s="153">
        <f t="shared" ca="1" si="1"/>
        <v>12914.8</v>
      </c>
    </row>
    <row r="46" spans="1:17" ht="12.75">
      <c r="A46" s="1" t="str">
        <f ca="1">IFERROR(__xludf.DUMMYFUNCTION("""COMPUTED_VALUE"""),"Tocantinópolis")</f>
        <v>Tocantinópolis</v>
      </c>
      <c r="B46" s="1" t="str">
        <f ca="1">IFERROR(__xludf.DUMMYFUNCTION("""COMPUTED_VALUE"""),"Aguiarnopolis")</f>
        <v>Aguiarnopolis</v>
      </c>
      <c r="C46" s="265" t="str">
        <f ca="1">IFERROR(__xludf.DUMMYFUNCTION("""COMPUTED_VALUE"""),"A.A. DA ESC. EST. NAZARÉ NUNES DA SILVA (AGUIARNOPOLIS)")</f>
        <v>A.A. DA ESC. EST. NAZARÉ NUNES DA SILVA (AGUIARNOPOLIS)</v>
      </c>
      <c r="D46" s="266" t="str">
        <f ca="1">IFERROR(__xludf.DUMMYFUNCTION("""COMPUTED_VALUE"""),"01213519000110")</f>
        <v>01213519000110</v>
      </c>
      <c r="E46" s="267" t="str">
        <f ca="1">IFERROR(__xludf.DUMMYFUNCTION("""COMPUTED_VALUE"""),"001")</f>
        <v>001</v>
      </c>
      <c r="F46" s="267" t="str">
        <f ca="1">IFERROR(__xludf.DUMMYFUNCTION("""COMPUTED_VALUE"""),"0810")</f>
        <v>0810</v>
      </c>
      <c r="G46" s="266" t="str">
        <f ca="1">IFERROR(__xludf.DUMMYFUNCTION("""COMPUTED_VALUE"""),"217727")</f>
        <v>217727</v>
      </c>
      <c r="H46" s="268">
        <f ca="1">IFERROR(__xludf.DUMMYFUNCTION("""COMPUTED_VALUE"""),7212.8)</f>
        <v>7212.8</v>
      </c>
      <c r="I46" s="268">
        <f ca="1">IFERROR(__xludf.DUMMYFUNCTION("""COMPUTED_VALUE"""),0)</f>
        <v>0</v>
      </c>
      <c r="J46" s="268">
        <f ca="1">IFERROR(__xludf.DUMMYFUNCTION("""COMPUTED_VALUE"""),0)</f>
        <v>0</v>
      </c>
      <c r="K46" s="268">
        <f ca="1">IFERROR(__xludf.DUMMYFUNCTION("""COMPUTED_VALUE"""),0)</f>
        <v>0</v>
      </c>
      <c r="L46" s="268">
        <f ca="1">IFERROR(__xludf.DUMMYFUNCTION("""COMPUTED_VALUE"""),0)</f>
        <v>0</v>
      </c>
      <c r="M46" s="268">
        <f ca="1">IFERROR(__xludf.DUMMYFUNCTION("""COMPUTED_VALUE"""),0)</f>
        <v>0</v>
      </c>
      <c r="N46" s="268">
        <f ca="1">IFERROR(__xludf.DUMMYFUNCTION("""COMPUTED_VALUE"""),0)</f>
        <v>0</v>
      </c>
      <c r="O46" s="268">
        <f ca="1">IFERROR(__xludf.DUMMYFUNCTION("""COMPUTED_VALUE"""),0)</f>
        <v>0</v>
      </c>
      <c r="P46" s="268">
        <f ca="1">IFERROR(__xludf.DUMMYFUNCTION("""COMPUTED_VALUE"""),598.8)</f>
        <v>598.79999999999995</v>
      </c>
      <c r="Q46" s="268">
        <f t="shared" ca="1" si="1"/>
        <v>7811.6</v>
      </c>
    </row>
    <row r="47" spans="1:17" ht="12.75">
      <c r="A47" t="str">
        <f ca="1">IFERROR(__xludf.DUMMYFUNCTION("""COMPUTED_VALUE"""),"Tocantinópolis")</f>
        <v>Tocantinópolis</v>
      </c>
      <c r="B47" t="str">
        <f ca="1">IFERROR(__xludf.DUMMYFUNCTION("""COMPUTED_VALUE"""),"Tocantinopolis")</f>
        <v>Tocantinopolis</v>
      </c>
      <c r="C47" s="61" t="str">
        <f ca="1">IFERROR(__xludf.DUMMYFUNCTION("""COMPUTED_VALUE"""),"A.A. ESC. E. E.PROF.ALDENORA A.CORREIA")</f>
        <v>A.A. ESC. E. E.PROF.ALDENORA A.CORREIA</v>
      </c>
      <c r="D47" s="62" t="str">
        <f ca="1">IFERROR(__xludf.DUMMYFUNCTION("""COMPUTED_VALUE"""),"01213527000167")</f>
        <v>01213527000167</v>
      </c>
      <c r="E47" s="165" t="str">
        <f ca="1">IFERROR(__xludf.DUMMYFUNCTION("""COMPUTED_VALUE"""),"001")</f>
        <v>001</v>
      </c>
      <c r="F47" s="165" t="str">
        <f ca="1">IFERROR(__xludf.DUMMYFUNCTION("""COMPUTED_VALUE"""),"0810")</f>
        <v>0810</v>
      </c>
      <c r="G47" s="62" t="str">
        <f ca="1">IFERROR(__xludf.DUMMYFUNCTION("""COMPUTED_VALUE"""),"58319")</f>
        <v>58319</v>
      </c>
      <c r="H47" s="8">
        <f ca="1">IFERROR(__xludf.DUMMYFUNCTION("""COMPUTED_VALUE"""),8624)</f>
        <v>8624</v>
      </c>
      <c r="I47" s="8">
        <f ca="1">IFERROR(__xludf.DUMMYFUNCTION("""COMPUTED_VALUE"""),0)</f>
        <v>0</v>
      </c>
      <c r="J47" s="8">
        <f ca="1">IFERROR(__xludf.DUMMYFUNCTION("""COMPUTED_VALUE"""),0)</f>
        <v>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IFERROR(__xludf.DUMMYFUNCTION("""COMPUTED_VALUE"""),698.6)</f>
        <v>698.6</v>
      </c>
    </row>
    <row r="48" spans="1:17" ht="12.75">
      <c r="A48" t="str">
        <f ca="1">IFERROR(__xludf.DUMMYFUNCTION("""COMPUTED_VALUE"""),"Tocantinópolis")</f>
        <v>Tocantinópolis</v>
      </c>
      <c r="B48" t="str">
        <f ca="1">IFERROR(__xludf.DUMMYFUNCTION("""COMPUTED_VALUE"""),"Tocantinopolis")</f>
        <v>Tocantinopolis</v>
      </c>
      <c r="C48" t="str">
        <f ca="1">IFERROR(__xludf.DUMMYFUNCTION("""COMPUTED_VALUE"""),"A. PAIS DA ESC. EST. XV DE NOVEMBRO")</f>
        <v>A. PAIS DA ESC. EST. XV DE NOVEMBRO</v>
      </c>
      <c r="D48" s="62" t="str">
        <f ca="1">IFERROR(__xludf.DUMMYFUNCTION("""COMPUTED_VALUE"""),"01213520000145")</f>
        <v>01213520000145</v>
      </c>
      <c r="E48" s="165" t="str">
        <f ca="1">IFERROR(__xludf.DUMMYFUNCTION("""COMPUTED_VALUE"""),"001")</f>
        <v>001</v>
      </c>
      <c r="F48" s="165" t="str">
        <f ca="1">IFERROR(__xludf.DUMMYFUNCTION("""COMPUTED_VALUE"""),"0810")</f>
        <v>0810</v>
      </c>
      <c r="G48" s="62" t="str">
        <f ca="1">IFERROR(__xludf.DUMMYFUNCTION("""COMPUTED_VALUE"""),"58238")</f>
        <v>58238</v>
      </c>
      <c r="H48" s="8">
        <f ca="1">IFERROR(__xludf.DUMMYFUNCTION("""COMPUTED_VALUE"""),13641.6)</f>
        <v>13641.6</v>
      </c>
      <c r="I48" s="8">
        <f ca="1">IFERROR(__xludf.DUMMYFUNCTION("""COMPUTED_VALUE"""),0)</f>
        <v>0</v>
      </c>
      <c r="J48" s="8">
        <f ca="1">IFERROR(__xludf.DUMMYFUNCTION("""COMPUTED_VALUE"""),0)</f>
        <v>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IFERROR(__xludf.DUMMYFUNCTION("""COMPUTED_VALUE"""),1197.6)</f>
        <v>1197.5999999999999</v>
      </c>
    </row>
    <row r="49" spans="4:13" ht="12.75">
      <c r="D49" s="62"/>
      <c r="E49" s="165"/>
      <c r="F49" s="165"/>
      <c r="G49" s="62"/>
      <c r="H49" s="8"/>
      <c r="I49" s="8"/>
      <c r="J49" s="8"/>
      <c r="K49" s="8"/>
      <c r="L49" s="8"/>
      <c r="M49" s="8"/>
    </row>
    <row r="50" spans="4:13" ht="12.75">
      <c r="D50" s="62"/>
      <c r="E50" s="165"/>
      <c r="F50" s="165"/>
      <c r="G50" s="62"/>
      <c r="H50" s="8"/>
      <c r="I50" s="8"/>
      <c r="J50" s="8"/>
      <c r="K50" s="8"/>
      <c r="L50" s="8"/>
      <c r="M50" s="8"/>
    </row>
    <row r="51" spans="4:13" ht="12.75">
      <c r="D51" s="62"/>
      <c r="E51" s="165"/>
      <c r="F51" s="165"/>
      <c r="G51" s="62"/>
      <c r="H51" s="8"/>
      <c r="I51" s="8"/>
      <c r="J51" s="8"/>
      <c r="K51" s="8"/>
      <c r="L51" s="8"/>
      <c r="M51" s="8"/>
    </row>
    <row r="52" spans="4:13" ht="12.75">
      <c r="D52" s="62"/>
      <c r="E52" s="165"/>
      <c r="F52" s="165"/>
      <c r="G52" s="62"/>
      <c r="H52" s="8"/>
      <c r="I52" s="8"/>
      <c r="J52" s="8"/>
      <c r="K52" s="8"/>
      <c r="L52" s="8"/>
      <c r="M52" s="8"/>
    </row>
    <row r="53" spans="4:13" ht="12.75">
      <c r="D53" s="62"/>
      <c r="E53" s="165"/>
      <c r="F53" s="165"/>
      <c r="G53" s="62"/>
      <c r="H53" s="8"/>
      <c r="I53" s="8"/>
      <c r="J53" s="8"/>
      <c r="K53" s="8"/>
      <c r="L53" s="8"/>
      <c r="M53" s="8"/>
    </row>
    <row r="54" spans="4:13" ht="12.75">
      <c r="D54" s="62"/>
      <c r="E54" s="165"/>
      <c r="F54" s="165"/>
      <c r="G54" s="62"/>
      <c r="H54" s="8"/>
      <c r="I54" s="8"/>
      <c r="J54" s="8"/>
      <c r="K54" s="8"/>
      <c r="L54" s="8"/>
      <c r="M54" s="8"/>
    </row>
    <row r="55" spans="4:13" ht="12.75">
      <c r="D55" s="62"/>
      <c r="E55" s="165"/>
      <c r="F55" s="165"/>
      <c r="G55" s="62"/>
      <c r="H55" s="8"/>
      <c r="I55" s="8"/>
      <c r="J55" s="8"/>
      <c r="K55" s="8"/>
      <c r="L55" s="8"/>
      <c r="M55" s="8"/>
    </row>
    <row r="56" spans="4:13" ht="12.75">
      <c r="D56" s="62"/>
      <c r="E56" s="165"/>
      <c r="F56" s="165"/>
      <c r="G56" s="62"/>
      <c r="H56" s="8"/>
      <c r="I56" s="8"/>
      <c r="J56" s="8"/>
      <c r="K56" s="8"/>
      <c r="L56" s="8"/>
      <c r="M56" s="8"/>
    </row>
    <row r="57" spans="4:13" ht="12.75">
      <c r="D57" s="62"/>
      <c r="E57" s="165"/>
      <c r="F57" s="165"/>
      <c r="G57" s="62"/>
      <c r="H57" s="8"/>
      <c r="I57" s="8"/>
      <c r="J57" s="8"/>
      <c r="K57" s="8"/>
      <c r="L57" s="8"/>
      <c r="M57" s="8"/>
    </row>
    <row r="58" spans="4:13" ht="12.75">
      <c r="D58" s="62"/>
      <c r="E58" s="165"/>
      <c r="F58" s="165"/>
      <c r="G58" s="62"/>
      <c r="H58" s="8"/>
      <c r="I58" s="8"/>
      <c r="J58" s="8"/>
      <c r="K58" s="8"/>
      <c r="L58" s="8"/>
      <c r="M58" s="8"/>
    </row>
    <row r="59" spans="4:13" ht="12.75">
      <c r="D59" s="62"/>
      <c r="E59" s="165"/>
      <c r="F59" s="165"/>
      <c r="G59" s="62"/>
      <c r="H59" s="8"/>
      <c r="I59" s="8"/>
      <c r="J59" s="8"/>
      <c r="K59" s="8"/>
      <c r="L59" s="8"/>
      <c r="M59" s="8"/>
    </row>
    <row r="60" spans="4:13" ht="12.75">
      <c r="D60" s="62"/>
      <c r="E60" s="165"/>
      <c r="F60" s="165"/>
      <c r="G60" s="62"/>
      <c r="H60" s="8"/>
      <c r="I60" s="8"/>
      <c r="J60" s="8"/>
      <c r="K60" s="8"/>
      <c r="L60" s="8"/>
      <c r="M60" s="8"/>
    </row>
    <row r="61" spans="4:13" ht="12.75">
      <c r="D61" s="62"/>
      <c r="E61" s="165"/>
      <c r="F61" s="165"/>
      <c r="G61" s="62"/>
      <c r="H61" s="8"/>
      <c r="I61" s="8"/>
      <c r="J61" s="8"/>
      <c r="K61" s="8"/>
      <c r="L61" s="8"/>
      <c r="M61" s="8"/>
    </row>
    <row r="62" spans="4:13" ht="12.75">
      <c r="D62" s="62"/>
      <c r="E62" s="165"/>
      <c r="F62" s="165"/>
      <c r="G62" s="62"/>
      <c r="H62" s="8"/>
      <c r="I62" s="8"/>
      <c r="J62" s="8"/>
      <c r="K62" s="8"/>
      <c r="L62" s="8"/>
      <c r="M62" s="8"/>
    </row>
    <row r="63" spans="4:13" ht="12.75">
      <c r="D63" s="62"/>
      <c r="E63" s="165"/>
      <c r="F63" s="165"/>
      <c r="G63" s="62"/>
      <c r="H63" s="8"/>
      <c r="I63" s="8"/>
      <c r="J63" s="8"/>
      <c r="K63" s="8"/>
      <c r="L63" s="8"/>
      <c r="M63" s="8"/>
    </row>
    <row r="64" spans="4:13" ht="12.75">
      <c r="D64" s="62"/>
      <c r="E64" s="165"/>
      <c r="F64" s="165"/>
      <c r="G64" s="62"/>
      <c r="H64" s="8"/>
      <c r="I64" s="8"/>
      <c r="J64" s="8"/>
      <c r="K64" s="8"/>
      <c r="L64" s="8"/>
      <c r="M64" s="8"/>
    </row>
    <row r="65" spans="4:13" ht="12.75">
      <c r="D65" s="62"/>
      <c r="E65" s="165"/>
      <c r="F65" s="165"/>
      <c r="G65" s="62"/>
      <c r="H65" s="8"/>
      <c r="I65" s="8"/>
      <c r="J65" s="8"/>
      <c r="K65" s="8"/>
      <c r="L65" s="8"/>
      <c r="M65" s="8"/>
    </row>
    <row r="66" spans="4:13" ht="12.75">
      <c r="D66" s="62"/>
      <c r="E66" s="165"/>
      <c r="F66" s="165"/>
      <c r="G66" s="62"/>
      <c r="H66" s="8"/>
      <c r="I66" s="8"/>
      <c r="J66" s="8"/>
      <c r="K66" s="8"/>
      <c r="L66" s="8"/>
      <c r="M66" s="8"/>
    </row>
    <row r="67" spans="4:13" ht="12.75">
      <c r="D67" s="62"/>
      <c r="E67" s="165"/>
      <c r="F67" s="165"/>
      <c r="G67" s="62"/>
      <c r="H67" s="8"/>
      <c r="I67" s="8"/>
      <c r="J67" s="8"/>
      <c r="K67" s="8"/>
      <c r="L67" s="8"/>
      <c r="M67" s="8"/>
    </row>
    <row r="68" spans="4:13" ht="12.75">
      <c r="D68" s="62"/>
      <c r="E68" s="165"/>
      <c r="F68" s="165"/>
      <c r="G68" s="62"/>
      <c r="H68" s="8"/>
      <c r="I68" s="8"/>
      <c r="J68" s="8"/>
      <c r="K68" s="8"/>
      <c r="L68" s="8"/>
      <c r="M68" s="8"/>
    </row>
    <row r="69" spans="4:13" ht="12.75">
      <c r="D69" s="62"/>
      <c r="E69" s="165"/>
      <c r="F69" s="165"/>
      <c r="G69" s="62"/>
      <c r="H69" s="8"/>
      <c r="I69" s="8"/>
      <c r="J69" s="8"/>
      <c r="K69" s="8"/>
      <c r="L69" s="8"/>
      <c r="M69" s="8"/>
    </row>
    <row r="70" spans="4:13" ht="12.75">
      <c r="D70" s="62"/>
      <c r="E70" s="165"/>
      <c r="F70" s="165"/>
      <c r="G70" s="62"/>
      <c r="H70" s="8"/>
      <c r="I70" s="8"/>
      <c r="J70" s="8"/>
      <c r="K70" s="8"/>
      <c r="L70" s="8"/>
      <c r="M70" s="8"/>
    </row>
    <row r="71" spans="4:13" ht="12.75">
      <c r="D71" s="62"/>
      <c r="E71" s="165"/>
      <c r="F71" s="165"/>
      <c r="G71" s="62"/>
      <c r="H71" s="8"/>
      <c r="I71" s="8"/>
      <c r="J71" s="8"/>
      <c r="K71" s="8"/>
      <c r="L71" s="8"/>
      <c r="M71" s="8"/>
    </row>
    <row r="72" spans="4:13" ht="12.75">
      <c r="D72" s="62"/>
      <c r="E72" s="165"/>
      <c r="F72" s="165"/>
      <c r="G72" s="62"/>
      <c r="H72" s="8"/>
      <c r="I72" s="8"/>
      <c r="J72" s="8"/>
      <c r="K72" s="8"/>
      <c r="L72" s="8"/>
      <c r="M72" s="8"/>
    </row>
    <row r="73" spans="4:13" ht="12.75">
      <c r="D73" s="62"/>
      <c r="E73" s="165"/>
      <c r="F73" s="165"/>
      <c r="G73" s="62"/>
      <c r="H73" s="8"/>
      <c r="I73" s="8"/>
      <c r="J73" s="8"/>
      <c r="K73" s="8"/>
      <c r="L73" s="8"/>
      <c r="M73" s="8"/>
    </row>
    <row r="74" spans="4:13" ht="12.75">
      <c r="D74" s="62"/>
      <c r="E74" s="165"/>
      <c r="F74" s="165"/>
      <c r="G74" s="62"/>
      <c r="H74" s="8"/>
      <c r="I74" s="8"/>
      <c r="J74" s="8"/>
      <c r="K74" s="8"/>
      <c r="L74" s="8"/>
      <c r="M74" s="8"/>
    </row>
    <row r="75" spans="4:13" ht="12.75">
      <c r="D75" s="62"/>
      <c r="E75" s="165"/>
      <c r="F75" s="165"/>
      <c r="G75" s="62"/>
      <c r="H75" s="8"/>
      <c r="I75" s="8"/>
      <c r="J75" s="8"/>
      <c r="K75" s="8"/>
      <c r="L75" s="8"/>
      <c r="M75" s="8"/>
    </row>
    <row r="76" spans="4:13" ht="12.75">
      <c r="D76" s="62"/>
      <c r="E76" s="165"/>
      <c r="F76" s="165"/>
      <c r="G76" s="62"/>
      <c r="H76" s="8"/>
      <c r="I76" s="8"/>
      <c r="J76" s="8"/>
      <c r="K76" s="8"/>
      <c r="L76" s="8"/>
      <c r="M76" s="8"/>
    </row>
    <row r="77" spans="4:13" ht="12.75">
      <c r="D77" s="62"/>
      <c r="E77" s="165"/>
      <c r="F77" s="165"/>
      <c r="G77" s="62"/>
      <c r="H77" s="8"/>
      <c r="I77" s="8"/>
      <c r="J77" s="8"/>
      <c r="K77" s="8"/>
      <c r="L77" s="8"/>
      <c r="M77" s="8"/>
    </row>
    <row r="78" spans="4:13" ht="12.75">
      <c r="D78" s="62"/>
      <c r="E78" s="165"/>
      <c r="F78" s="165"/>
      <c r="G78" s="62"/>
      <c r="H78" s="8"/>
      <c r="I78" s="8"/>
      <c r="J78" s="8"/>
      <c r="K78" s="8"/>
      <c r="L78" s="8"/>
      <c r="M78" s="8"/>
    </row>
    <row r="79" spans="4:13" ht="12.75">
      <c r="D79" s="62"/>
      <c r="E79" s="165"/>
      <c r="F79" s="165"/>
      <c r="G79" s="62"/>
      <c r="H79" s="8"/>
      <c r="I79" s="8"/>
      <c r="J79" s="8"/>
      <c r="K79" s="8"/>
      <c r="L79" s="8"/>
      <c r="M79" s="8"/>
    </row>
    <row r="80" spans="4:13" ht="12.75">
      <c r="D80" s="62"/>
      <c r="E80" s="165"/>
      <c r="F80" s="165"/>
      <c r="G80" s="62"/>
      <c r="H80" s="8"/>
      <c r="I80" s="8"/>
      <c r="J80" s="8"/>
      <c r="K80" s="8"/>
      <c r="L80" s="8"/>
      <c r="M80" s="8"/>
    </row>
    <row r="81" spans="4:13" ht="12.75">
      <c r="D81" s="62"/>
      <c r="E81" s="165"/>
      <c r="F81" s="165"/>
      <c r="G81" s="62"/>
      <c r="H81" s="8"/>
      <c r="I81" s="8"/>
      <c r="J81" s="8"/>
      <c r="K81" s="8"/>
      <c r="L81" s="8"/>
      <c r="M81" s="8"/>
    </row>
    <row r="82" spans="4:13" ht="12.75">
      <c r="D82" s="62"/>
      <c r="E82" s="165"/>
      <c r="F82" s="165"/>
      <c r="G82" s="62"/>
      <c r="H82" s="8"/>
      <c r="I82" s="8"/>
      <c r="J82" s="8"/>
      <c r="K82" s="8"/>
      <c r="L82" s="8"/>
      <c r="M82" s="8"/>
    </row>
    <row r="83" spans="4:13" ht="12.75">
      <c r="D83" s="62"/>
      <c r="E83" s="165"/>
      <c r="F83" s="165"/>
      <c r="G83" s="62"/>
      <c r="H83" s="8"/>
      <c r="I83" s="8"/>
      <c r="J83" s="8"/>
      <c r="K83" s="8"/>
      <c r="L83" s="8"/>
      <c r="M83" s="8"/>
    </row>
    <row r="84" spans="4:13" ht="12.75">
      <c r="D84" s="62"/>
      <c r="E84" s="165"/>
      <c r="F84" s="165"/>
      <c r="G84" s="62"/>
      <c r="H84" s="8"/>
      <c r="I84" s="8"/>
      <c r="J84" s="8"/>
      <c r="K84" s="8"/>
      <c r="L84" s="8"/>
      <c r="M84" s="8"/>
    </row>
    <row r="85" spans="4:13" ht="12.75">
      <c r="D85" s="62"/>
      <c r="E85" s="165"/>
      <c r="F85" s="165"/>
      <c r="G85" s="62"/>
      <c r="H85" s="8"/>
      <c r="I85" s="8"/>
      <c r="J85" s="8"/>
      <c r="K85" s="8"/>
      <c r="L85" s="8"/>
      <c r="M85" s="8"/>
    </row>
    <row r="86" spans="4:13" ht="12.75">
      <c r="D86" s="62"/>
      <c r="E86" s="165"/>
      <c r="F86" s="165"/>
      <c r="G86" s="62"/>
      <c r="H86" s="8"/>
      <c r="I86" s="8"/>
      <c r="J86" s="8"/>
      <c r="K86" s="8"/>
      <c r="L86" s="8"/>
      <c r="M86" s="8"/>
    </row>
    <row r="87" spans="4:13" ht="12.75">
      <c r="D87" s="62"/>
      <c r="E87" s="165"/>
      <c r="F87" s="165"/>
      <c r="G87" s="62"/>
      <c r="H87" s="8"/>
      <c r="I87" s="8"/>
      <c r="J87" s="8"/>
      <c r="K87" s="8"/>
      <c r="L87" s="8"/>
      <c r="M87" s="8"/>
    </row>
    <row r="88" spans="4:13" ht="12.75">
      <c r="D88" s="62"/>
      <c r="E88" s="165"/>
      <c r="F88" s="165"/>
      <c r="G88" s="62"/>
      <c r="H88" s="8"/>
      <c r="I88" s="8"/>
      <c r="J88" s="8"/>
      <c r="K88" s="8"/>
      <c r="L88" s="8"/>
      <c r="M88" s="8"/>
    </row>
    <row r="89" spans="4:13" ht="12.75">
      <c r="D89" s="62"/>
      <c r="E89" s="165"/>
      <c r="F89" s="165"/>
      <c r="G89" s="62"/>
      <c r="H89" s="8"/>
      <c r="I89" s="8"/>
      <c r="J89" s="8"/>
      <c r="K89" s="8"/>
      <c r="L89" s="8"/>
      <c r="M89" s="8"/>
    </row>
    <row r="90" spans="4:13" ht="12.75">
      <c r="D90" s="62"/>
      <c r="E90" s="165"/>
      <c r="F90" s="165"/>
      <c r="G90" s="62"/>
      <c r="H90" s="8"/>
      <c r="I90" s="8"/>
      <c r="J90" s="8"/>
      <c r="K90" s="8"/>
      <c r="L90" s="8"/>
      <c r="M90" s="8"/>
    </row>
    <row r="91" spans="4:13" ht="12.75">
      <c r="D91" s="62"/>
      <c r="E91" s="165"/>
      <c r="F91" s="165"/>
      <c r="G91" s="62"/>
      <c r="H91" s="8"/>
      <c r="I91" s="8"/>
      <c r="J91" s="8"/>
      <c r="K91" s="8"/>
      <c r="L91" s="8"/>
      <c r="M91" s="8"/>
    </row>
    <row r="92" spans="4:13" ht="12.75">
      <c r="D92" s="62"/>
      <c r="E92" s="165"/>
      <c r="F92" s="165"/>
      <c r="G92" s="62"/>
      <c r="H92" s="8"/>
      <c r="I92" s="8"/>
      <c r="J92" s="8"/>
      <c r="K92" s="8"/>
      <c r="L92" s="8"/>
      <c r="M92" s="8"/>
    </row>
    <row r="93" spans="4:13" ht="12.75">
      <c r="D93" s="62"/>
      <c r="E93" s="165"/>
      <c r="F93" s="165"/>
      <c r="G93" s="62"/>
      <c r="H93" s="8"/>
      <c r="I93" s="8"/>
      <c r="J93" s="8"/>
      <c r="K93" s="8"/>
      <c r="L93" s="8"/>
      <c r="M93" s="8"/>
    </row>
    <row r="94" spans="4:13" ht="12.75">
      <c r="D94" s="62"/>
      <c r="E94" s="165"/>
      <c r="F94" s="165"/>
      <c r="G94" s="62"/>
      <c r="H94" s="8"/>
      <c r="I94" s="8"/>
      <c r="J94" s="8"/>
      <c r="K94" s="8"/>
      <c r="L94" s="8"/>
      <c r="M94" s="8"/>
    </row>
    <row r="95" spans="4:13" ht="12.75">
      <c r="D95" s="62"/>
      <c r="E95" s="165"/>
      <c r="F95" s="165"/>
      <c r="G95" s="62"/>
      <c r="H95" s="8"/>
      <c r="I95" s="8"/>
      <c r="J95" s="8"/>
      <c r="K95" s="8"/>
      <c r="L95" s="8"/>
      <c r="M95" s="8"/>
    </row>
    <row r="96" spans="4:13" ht="12.75">
      <c r="D96" s="62"/>
      <c r="E96" s="165"/>
      <c r="F96" s="165"/>
      <c r="G96" s="62"/>
      <c r="H96" s="8"/>
      <c r="I96" s="8"/>
      <c r="J96" s="8"/>
      <c r="K96" s="8"/>
      <c r="L96" s="8"/>
      <c r="M96" s="8"/>
    </row>
    <row r="97" spans="4:13" ht="12.75">
      <c r="D97" s="62"/>
      <c r="E97" s="165"/>
      <c r="F97" s="165"/>
      <c r="G97" s="62"/>
      <c r="H97" s="8"/>
      <c r="I97" s="8"/>
      <c r="J97" s="8"/>
      <c r="K97" s="8"/>
      <c r="L97" s="8"/>
      <c r="M97" s="8"/>
    </row>
    <row r="98" spans="4:13" ht="12.75">
      <c r="D98" s="62"/>
      <c r="E98" s="165"/>
      <c r="F98" s="165"/>
      <c r="G98" s="62"/>
      <c r="H98" s="8"/>
      <c r="I98" s="8"/>
      <c r="J98" s="8"/>
      <c r="K98" s="8"/>
      <c r="L98" s="8"/>
      <c r="M98" s="8"/>
    </row>
    <row r="99" spans="4:13" ht="12.75">
      <c r="D99" s="62"/>
      <c r="E99" s="165"/>
      <c r="F99" s="165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65"/>
      <c r="F100" s="165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65"/>
      <c r="F101" s="165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65"/>
      <c r="F102" s="165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65"/>
      <c r="F103" s="165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65"/>
      <c r="F104" s="165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65"/>
      <c r="F105" s="165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65"/>
      <c r="F106" s="165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65"/>
      <c r="F107" s="165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65"/>
      <c r="F108" s="165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65"/>
      <c r="F109" s="165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65"/>
      <c r="F110" s="165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65"/>
      <c r="F111" s="165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65"/>
      <c r="F112" s="165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65"/>
      <c r="F113" s="165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65"/>
      <c r="F114" s="165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65"/>
      <c r="F115" s="165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65"/>
      <c r="F116" s="165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65"/>
      <c r="F117" s="165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65"/>
      <c r="F118" s="165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65"/>
      <c r="F119" s="165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65"/>
      <c r="F120" s="165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65"/>
      <c r="F121" s="165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65"/>
      <c r="F122" s="165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65"/>
      <c r="F123" s="165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65"/>
      <c r="F124" s="165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65"/>
      <c r="F125" s="165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65"/>
      <c r="F126" s="165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65"/>
      <c r="F127" s="165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65"/>
      <c r="F128" s="165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65"/>
      <c r="F129" s="165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65"/>
      <c r="F130" s="165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65"/>
      <c r="F131" s="165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65"/>
      <c r="F132" s="165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65"/>
      <c r="F133" s="165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65"/>
      <c r="F134" s="165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65"/>
      <c r="F135" s="165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65"/>
      <c r="F136" s="165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65"/>
      <c r="F137" s="165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65"/>
      <c r="F138" s="165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65"/>
      <c r="F139" s="165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65"/>
      <c r="F140" s="165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65"/>
      <c r="F141" s="165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65"/>
      <c r="F142" s="165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65"/>
      <c r="F143" s="165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65"/>
      <c r="F144" s="165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65"/>
      <c r="F145" s="165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65"/>
      <c r="F146" s="165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65"/>
      <c r="F147" s="165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65"/>
      <c r="F148" s="165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65"/>
      <c r="F149" s="165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65"/>
      <c r="F150" s="165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65"/>
      <c r="F151" s="165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65"/>
      <c r="F152" s="165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65"/>
      <c r="F153" s="165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65"/>
      <c r="F154" s="165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65"/>
      <c r="F155" s="165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65"/>
      <c r="F156" s="165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65"/>
      <c r="F157" s="165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65"/>
      <c r="F158" s="165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65"/>
      <c r="F159" s="165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65"/>
      <c r="F160" s="165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65"/>
      <c r="F161" s="165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65"/>
      <c r="F162" s="165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65"/>
      <c r="F163" s="165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65"/>
      <c r="F164" s="165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65"/>
      <c r="F165" s="165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65"/>
      <c r="F166" s="165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65"/>
      <c r="F167" s="165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65"/>
      <c r="F168" s="165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65"/>
      <c r="F169" s="165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65"/>
      <c r="F170" s="165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65"/>
      <c r="F171" s="165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65"/>
      <c r="F172" s="165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65"/>
      <c r="F173" s="165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65"/>
      <c r="F174" s="165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65"/>
      <c r="F175" s="165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65"/>
      <c r="F176" s="165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65"/>
      <c r="F177" s="165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65"/>
      <c r="F178" s="165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65"/>
      <c r="F179" s="165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65"/>
      <c r="F180" s="165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65"/>
      <c r="F181" s="165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65"/>
      <c r="F182" s="165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65"/>
      <c r="F183" s="165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65"/>
      <c r="F184" s="165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65"/>
      <c r="F185" s="165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65"/>
      <c r="F186" s="165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65"/>
      <c r="F187" s="165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65"/>
      <c r="F188" s="165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65"/>
      <c r="F189" s="165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65"/>
      <c r="F190" s="165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65"/>
      <c r="F191" s="165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65"/>
      <c r="F192" s="165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65"/>
      <c r="F193" s="165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65"/>
      <c r="F194" s="165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65"/>
      <c r="F195" s="165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65"/>
      <c r="F196" s="165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65"/>
      <c r="F197" s="165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65"/>
      <c r="F198" s="165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65"/>
      <c r="F199" s="165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65"/>
      <c r="F200" s="165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65"/>
      <c r="F201" s="165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65"/>
      <c r="F202" s="165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65"/>
      <c r="F203" s="165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65"/>
      <c r="F204" s="165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65"/>
      <c r="F205" s="165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65"/>
      <c r="F206" s="165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65"/>
      <c r="F207" s="165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65"/>
      <c r="F208" s="165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65"/>
      <c r="F209" s="165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65"/>
      <c r="F210" s="165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65"/>
      <c r="F211" s="165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65"/>
      <c r="F212" s="165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65"/>
      <c r="F213" s="165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65"/>
      <c r="F214" s="165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65"/>
      <c r="F215" s="165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65"/>
      <c r="F216" s="165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65"/>
      <c r="F217" s="165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65"/>
      <c r="F218" s="165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65"/>
      <c r="F219" s="165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65"/>
      <c r="F220" s="165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65"/>
      <c r="F221" s="165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65"/>
      <c r="F222" s="165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65"/>
      <c r="F223" s="165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65"/>
      <c r="F224" s="165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65"/>
      <c r="F225" s="165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65"/>
      <c r="F226" s="165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65"/>
      <c r="F227" s="165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65"/>
      <c r="F228" s="165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65"/>
      <c r="F229" s="165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65"/>
      <c r="F230" s="165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65"/>
      <c r="F231" s="165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65"/>
      <c r="F232" s="165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65"/>
      <c r="F233" s="165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65"/>
      <c r="F234" s="165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65"/>
      <c r="F235" s="165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65"/>
      <c r="F236" s="165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65"/>
      <c r="F237" s="165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65"/>
      <c r="F238" s="165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65"/>
      <c r="F239" s="165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65"/>
      <c r="F240" s="165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65"/>
      <c r="F241" s="165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65"/>
      <c r="F242" s="165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65"/>
      <c r="F243" s="165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65"/>
      <c r="F244" s="165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65"/>
      <c r="F245" s="165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65"/>
      <c r="F246" s="165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65"/>
      <c r="F247" s="165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65"/>
      <c r="F248" s="165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65"/>
      <c r="F249" s="165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65"/>
      <c r="F250" s="165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65"/>
      <c r="F251" s="165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65"/>
      <c r="F252" s="165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65"/>
      <c r="F253" s="165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65"/>
      <c r="F254" s="165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65"/>
      <c r="F255" s="165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65"/>
      <c r="F256" s="165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65"/>
      <c r="F257" s="165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65"/>
      <c r="F258" s="165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65"/>
      <c r="F259" s="165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65"/>
      <c r="F260" s="165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65"/>
      <c r="F261" s="165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65"/>
      <c r="F262" s="165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65"/>
      <c r="F263" s="165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65"/>
      <c r="F264" s="165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65"/>
      <c r="F265" s="165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65"/>
      <c r="F266" s="165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65"/>
      <c r="F267" s="165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65"/>
      <c r="F268" s="165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65"/>
      <c r="F269" s="165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65"/>
      <c r="F270" s="165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65"/>
      <c r="F271" s="165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65"/>
      <c r="F272" s="165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65"/>
      <c r="F273" s="165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65"/>
      <c r="F274" s="165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65"/>
      <c r="F275" s="165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65"/>
      <c r="F276" s="165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65"/>
      <c r="F277" s="165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65"/>
      <c r="F278" s="165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65"/>
      <c r="F279" s="165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65"/>
      <c r="F280" s="165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65"/>
      <c r="F281" s="165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65"/>
      <c r="F282" s="165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65"/>
      <c r="F283" s="165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65"/>
      <c r="F284" s="165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65"/>
      <c r="F285" s="165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65"/>
      <c r="F286" s="165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65"/>
      <c r="F287" s="165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65"/>
      <c r="F288" s="165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65"/>
      <c r="F289" s="165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65"/>
      <c r="F290" s="165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65"/>
      <c r="F291" s="165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65"/>
      <c r="F292" s="165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65"/>
      <c r="F293" s="165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65"/>
      <c r="F294" s="165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65"/>
      <c r="F295" s="165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65"/>
      <c r="F296" s="165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65"/>
      <c r="F297" s="165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65"/>
      <c r="F298" s="165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65"/>
      <c r="F299" s="165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65"/>
      <c r="F300" s="165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65"/>
      <c r="F301" s="165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65"/>
      <c r="F302" s="165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65"/>
      <c r="F303" s="165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65"/>
      <c r="F304" s="165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65"/>
      <c r="F305" s="165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65"/>
      <c r="F306" s="165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65"/>
      <c r="F307" s="165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65"/>
      <c r="F308" s="165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65"/>
      <c r="F309" s="165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65"/>
      <c r="F310" s="165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65"/>
      <c r="F311" s="165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65"/>
      <c r="F312" s="165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65"/>
      <c r="F313" s="165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65"/>
      <c r="F314" s="165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65"/>
      <c r="F315" s="165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65"/>
      <c r="F316" s="165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65"/>
      <c r="F317" s="165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65"/>
      <c r="F318" s="165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65"/>
      <c r="F319" s="165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65"/>
      <c r="F320" s="165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65"/>
      <c r="F321" s="165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65"/>
      <c r="F322" s="165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65"/>
      <c r="F323" s="165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65"/>
      <c r="F324" s="165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65"/>
      <c r="F325" s="165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65"/>
      <c r="F326" s="165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65"/>
      <c r="F327" s="165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65"/>
      <c r="F328" s="165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65"/>
      <c r="F329" s="165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65"/>
      <c r="F330" s="165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65"/>
      <c r="F331" s="165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65"/>
      <c r="F332" s="165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65"/>
      <c r="F333" s="165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65"/>
      <c r="F334" s="165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65"/>
      <c r="F335" s="165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65"/>
      <c r="F336" s="165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65"/>
      <c r="F337" s="165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65"/>
      <c r="F338" s="165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65"/>
      <c r="F339" s="165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65"/>
      <c r="F340" s="165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65"/>
      <c r="F341" s="165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65"/>
      <c r="F342" s="165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65"/>
      <c r="F343" s="165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65"/>
      <c r="F344" s="165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65"/>
      <c r="F345" s="165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65"/>
      <c r="F346" s="165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65"/>
      <c r="F347" s="165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65"/>
      <c r="F348" s="165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65"/>
      <c r="F349" s="165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65"/>
      <c r="F350" s="165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65"/>
      <c r="F351" s="165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65"/>
      <c r="F352" s="165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65"/>
      <c r="F353" s="165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65"/>
      <c r="F354" s="165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65"/>
      <c r="F355" s="165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65"/>
      <c r="F356" s="165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65"/>
      <c r="F357" s="165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65"/>
      <c r="F358" s="165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65"/>
      <c r="F359" s="165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65"/>
      <c r="F360" s="165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65"/>
      <c r="F361" s="165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65"/>
      <c r="F362" s="165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65"/>
      <c r="F363" s="165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65"/>
      <c r="F364" s="165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65"/>
      <c r="F365" s="165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65"/>
      <c r="F366" s="165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65"/>
      <c r="F367" s="165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65"/>
      <c r="F368" s="165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65"/>
      <c r="F369" s="165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65"/>
      <c r="F370" s="165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65"/>
      <c r="F371" s="165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65"/>
      <c r="F372" s="165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65"/>
      <c r="F373" s="165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65"/>
      <c r="F374" s="165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65"/>
      <c r="F375" s="165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65"/>
      <c r="F376" s="165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65"/>
      <c r="F377" s="165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65"/>
      <c r="F378" s="165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65"/>
      <c r="F379" s="165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65"/>
      <c r="F380" s="165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65"/>
      <c r="F381" s="165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65"/>
      <c r="F382" s="165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65"/>
      <c r="F383" s="165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65"/>
      <c r="F384" s="165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65"/>
      <c r="F385" s="165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65"/>
      <c r="F386" s="165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65"/>
      <c r="F387" s="165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65"/>
      <c r="F388" s="165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65"/>
      <c r="F389" s="165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65"/>
      <c r="F390" s="165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65"/>
      <c r="F391" s="165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65"/>
      <c r="F392" s="165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65"/>
      <c r="F393" s="165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65"/>
      <c r="F394" s="165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65"/>
      <c r="F395" s="165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65"/>
      <c r="F396" s="165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65"/>
      <c r="F397" s="165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65"/>
      <c r="F398" s="165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65"/>
      <c r="F399" s="165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65"/>
      <c r="F400" s="165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65"/>
      <c r="F401" s="165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65"/>
      <c r="F402" s="165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65"/>
      <c r="F403" s="165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65"/>
      <c r="F404" s="165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65"/>
      <c r="F405" s="165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65"/>
      <c r="F406" s="165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65"/>
      <c r="F407" s="165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65"/>
      <c r="F408" s="165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65"/>
      <c r="F409" s="165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65"/>
      <c r="F410" s="165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65"/>
      <c r="F411" s="165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65"/>
      <c r="F412" s="165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65"/>
      <c r="F413" s="165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65"/>
      <c r="F414" s="165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65"/>
      <c r="F415" s="165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65"/>
      <c r="F416" s="165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65"/>
      <c r="F417" s="165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65"/>
      <c r="F418" s="165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65"/>
      <c r="F419" s="165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65"/>
      <c r="F420" s="165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65"/>
      <c r="F421" s="165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65"/>
      <c r="F422" s="165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65"/>
      <c r="F423" s="165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65"/>
      <c r="F424" s="165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65"/>
      <c r="F425" s="165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65"/>
      <c r="F426" s="165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65"/>
      <c r="F427" s="165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65"/>
      <c r="F428" s="165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65"/>
      <c r="F429" s="165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65"/>
      <c r="F430" s="165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65"/>
      <c r="F431" s="165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65"/>
      <c r="F432" s="165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65"/>
      <c r="F433" s="165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65"/>
      <c r="F434" s="165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65"/>
      <c r="F435" s="165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65"/>
      <c r="F436" s="165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65"/>
      <c r="F437" s="165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65"/>
      <c r="F438" s="165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65"/>
      <c r="F439" s="165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65"/>
      <c r="F440" s="165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65"/>
      <c r="F441" s="165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65"/>
      <c r="F442" s="165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65"/>
      <c r="F443" s="165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65"/>
      <c r="F444" s="165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65"/>
      <c r="F445" s="165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65"/>
      <c r="F446" s="165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65"/>
      <c r="F447" s="165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65"/>
      <c r="F448" s="165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65"/>
      <c r="F449" s="165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65"/>
      <c r="F450" s="165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65"/>
      <c r="F451" s="165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65"/>
      <c r="F452" s="165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65"/>
      <c r="F453" s="165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65"/>
      <c r="F454" s="165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65"/>
      <c r="F455" s="165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65"/>
      <c r="F456" s="165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65"/>
      <c r="F457" s="165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65"/>
      <c r="F458" s="165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65"/>
      <c r="F459" s="165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65"/>
      <c r="F460" s="165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65"/>
      <c r="F461" s="165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65"/>
      <c r="F462" s="165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65"/>
      <c r="F463" s="165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65"/>
      <c r="F464" s="165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65"/>
      <c r="F465" s="165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65"/>
      <c r="F466" s="165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65"/>
      <c r="F467" s="165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65"/>
      <c r="F468" s="165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65"/>
      <c r="F469" s="165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65"/>
      <c r="F470" s="165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65"/>
      <c r="F471" s="165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65"/>
      <c r="F472" s="165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65"/>
      <c r="F473" s="165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65"/>
      <c r="F474" s="165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65"/>
      <c r="F475" s="165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65"/>
      <c r="F476" s="165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65"/>
      <c r="F477" s="165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65"/>
      <c r="F478" s="165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65"/>
      <c r="F479" s="165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65"/>
      <c r="F480" s="165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65"/>
      <c r="F481" s="165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65"/>
      <c r="F482" s="165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65"/>
      <c r="F483" s="165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65"/>
      <c r="F484" s="165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65"/>
      <c r="F485" s="165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65"/>
      <c r="F486" s="165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65"/>
      <c r="F487" s="165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65"/>
      <c r="F488" s="165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65"/>
      <c r="F489" s="165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65"/>
      <c r="F490" s="165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65"/>
      <c r="F491" s="165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65"/>
      <c r="F492" s="165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65"/>
      <c r="F493" s="165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65"/>
      <c r="F494" s="165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65"/>
      <c r="F495" s="165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65"/>
      <c r="F496" s="165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65"/>
      <c r="F497" s="165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65"/>
      <c r="F498" s="165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65"/>
      <c r="F499" s="165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65"/>
      <c r="F500" s="165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65"/>
      <c r="F501" s="165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65"/>
      <c r="F502" s="165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65"/>
      <c r="F503" s="165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65"/>
      <c r="F504" s="165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65"/>
      <c r="F505" s="165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65"/>
      <c r="F506" s="165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65"/>
      <c r="F507" s="165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65"/>
      <c r="F508" s="165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65"/>
      <c r="F509" s="165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65"/>
      <c r="F510" s="165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65"/>
      <c r="F511" s="165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65"/>
      <c r="F512" s="165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65"/>
      <c r="F513" s="165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65"/>
      <c r="F514" s="165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65"/>
      <c r="F515" s="165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65"/>
      <c r="F516" s="165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65"/>
      <c r="F517" s="165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65"/>
      <c r="F518" s="165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65"/>
      <c r="F519" s="165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65"/>
      <c r="F520" s="165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65"/>
      <c r="F521" s="165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65"/>
      <c r="F522" s="165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65"/>
      <c r="F523" s="165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65"/>
      <c r="F524" s="165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65"/>
      <c r="F525" s="165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65"/>
      <c r="F526" s="165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65"/>
      <c r="F527" s="165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65"/>
      <c r="F528" s="165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65"/>
      <c r="F529" s="165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65"/>
      <c r="F530" s="165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65"/>
      <c r="F531" s="165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65"/>
      <c r="F532" s="165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65"/>
      <c r="F533" s="165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65"/>
      <c r="F534" s="165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65"/>
      <c r="F535" s="165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65"/>
      <c r="F536" s="165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65"/>
      <c r="F537" s="165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65"/>
      <c r="F538" s="165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65"/>
      <c r="F539" s="165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65"/>
      <c r="F540" s="165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65"/>
      <c r="F541" s="165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65"/>
      <c r="F542" s="165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65"/>
      <c r="F543" s="165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65"/>
      <c r="F544" s="165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65"/>
      <c r="F545" s="165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65"/>
      <c r="F546" s="165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65"/>
      <c r="F547" s="165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65"/>
      <c r="F548" s="165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65"/>
      <c r="F549" s="165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65"/>
      <c r="F550" s="165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65"/>
      <c r="F551" s="165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65"/>
      <c r="F552" s="165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65"/>
      <c r="F553" s="165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65"/>
      <c r="F554" s="165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65"/>
      <c r="F555" s="165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65"/>
      <c r="F556" s="165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65"/>
      <c r="F557" s="165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65"/>
      <c r="F558" s="165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65"/>
      <c r="F559" s="165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65"/>
      <c r="F560" s="165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65"/>
      <c r="F561" s="165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65"/>
      <c r="F562" s="165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65"/>
      <c r="F563" s="165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65"/>
      <c r="F564" s="165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65"/>
      <c r="F565" s="165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65"/>
      <c r="F566" s="165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65"/>
      <c r="F567" s="165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65"/>
      <c r="F568" s="165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65"/>
      <c r="F569" s="165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65"/>
      <c r="F570" s="165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65"/>
      <c r="F571" s="165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65"/>
      <c r="F572" s="165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65"/>
      <c r="F573" s="165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65"/>
      <c r="F574" s="165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65"/>
      <c r="F575" s="165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65"/>
      <c r="F576" s="165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65"/>
      <c r="F577" s="165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65"/>
      <c r="F578" s="165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65"/>
      <c r="F579" s="165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65"/>
      <c r="F580" s="165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65"/>
      <c r="F581" s="165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65"/>
      <c r="F582" s="165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65"/>
      <c r="F583" s="165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65"/>
      <c r="F584" s="165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65"/>
      <c r="F585" s="165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65"/>
      <c r="F586" s="165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65"/>
      <c r="F587" s="165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65"/>
      <c r="F588" s="165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65"/>
      <c r="F589" s="165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65"/>
      <c r="F590" s="165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0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69" t="str">
        <f ca="1">IFERROR(__xludf.DUMMYFUNCTION("QUERY(REP_EST_TI!A5:Z1000,""SELECT A,B,C,D,E,F,G,H WHERE H&gt;0 label H 'FUND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IFERROR(__xludf.DUMMYFUNCTION("""COMPUTED_VALUE"""),"FUND INTEGRAL")</f>
        <v>FUND INTEGRAL</v>
      </c>
      <c r="I1" s="271" t="str">
        <f t="array" ref="I1:I1000">IF(ROW(A1:A1000)=1,"ETAPA",IF(A1:A1000&lt;&gt;"","FUND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IFERROR(__xludf.DUMMYFUNCTION("""COMPUTED_VALUE"""),6507.2)</f>
        <v>6507.2</v>
      </c>
      <c r="I9" t="str">
        <v>FUND INTEGRAL</v>
      </c>
    </row>
    <row r="10" spans="1:26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IFERROR(__xludf.DUMMYFUNCTION("""COMPUTED_VALUE"""),3920)</f>
        <v>3920</v>
      </c>
      <c r="I10" t="str">
        <v>FUND INTEGRAL</v>
      </c>
    </row>
    <row r="11" spans="1:26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IFERROR(__xludf.DUMMYFUNCTION("""COMPUTED_VALUE"""),15131.2)</f>
        <v>15131.2</v>
      </c>
      <c r="I11" t="str">
        <v>FUND INTEGRAL</v>
      </c>
    </row>
    <row r="12" spans="1:26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IFERROR(__xludf.DUMMYFUNCTION("""COMPUTED_VALUE"""),23441.6)</f>
        <v>23441.599999999999</v>
      </c>
      <c r="I12" t="str">
        <v>FUND INTEGRAL</v>
      </c>
    </row>
    <row r="13" spans="1:26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IFERROR(__xludf.DUMMYFUNCTION("""COMPUTED_VALUE"""),17561.6)</f>
        <v>17561.599999999999</v>
      </c>
      <c r="I13" t="str">
        <v>FUND INTEGRAL</v>
      </c>
    </row>
    <row r="14" spans="1:26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IFERROR(__xludf.DUMMYFUNCTION("""COMPUTED_VALUE"""),3057.6)</f>
        <v>3057.6</v>
      </c>
      <c r="I14" t="str">
        <v>FUND INTEGRAL</v>
      </c>
    </row>
    <row r="15" spans="1:26" ht="12.75">
      <c r="A15" t="str">
        <f ca="1">IFERROR(__xludf.DUMMYFUNCTION("""COMPUTED_VALUE"""),"Dianópolis")</f>
        <v>Dianópolis</v>
      </c>
      <c r="B15" t="str">
        <f ca="1">IFERROR(__xludf.DUMMYFUNCTION("""COMPUTED_VALUE"""),"Dianopolis")</f>
        <v>Dianopolis</v>
      </c>
      <c r="C15" t="str">
        <f ca="1">IFERROR(__xludf.DUMMYFUNCTION("""COMPUTED_VALUE"""),"A. ESC. COMUN.DA E. EST. ANTONIO POVOA")</f>
        <v>A. ESC. COMUN.DA E. EST. ANTONIO POVOA</v>
      </c>
      <c r="D15" t="str">
        <f ca="1">IFERROR(__xludf.DUMMYFUNCTION("""COMPUTED_VALUE"""),"00895665000100")</f>
        <v>00895665000100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IFERROR(__xludf.DUMMYFUNCTION("""COMPUTED_VALUE"""),"010616X")</f>
        <v>010616X</v>
      </c>
      <c r="H15" s="8">
        <f ca="1">IFERROR(__xludf.DUMMYFUNCTION("""COMPUTED_VALUE"""),3136)</f>
        <v>3136</v>
      </c>
      <c r="I15" t="str">
        <v>FUND INTEGRAL</v>
      </c>
    </row>
    <row r="16" spans="1:26" ht="12.75">
      <c r="A16" t="str">
        <f ca="1">IFERROR(__xludf.DUMMYFUNCTION("""COMPUTED_VALUE"""),"Guaraí")</f>
        <v>Guaraí</v>
      </c>
      <c r="B16" t="str">
        <f ca="1">IFERROR(__xludf.DUMMYFUNCTION("""COMPUTED_VALUE"""),"Fortaleza do Tabocao")</f>
        <v>Fortaleza do Tabocao</v>
      </c>
      <c r="C16" t="str">
        <f ca="1">IFERROR(__xludf.DUMMYFUNCTION("""COMPUTED_VALUE"""),"A.A. DA ESC. EST. MAJOR JUVENAL P.DE SOUZA")</f>
        <v>A.A. DA ESC. EST. MAJOR JUVENAL P.DE SOUZA</v>
      </c>
      <c r="D16" t="str">
        <f ca="1">IFERROR(__xludf.DUMMYFUNCTION("""COMPUTED_VALUE"""),"01408714000104")</f>
        <v>01408714000104</v>
      </c>
      <c r="E16" t="str">
        <f ca="1">IFERROR(__xludf.DUMMYFUNCTION("""COMPUTED_VALUE"""),"001")</f>
        <v>001</v>
      </c>
      <c r="F16" t="str">
        <f ca="1">IFERROR(__xludf.DUMMYFUNCTION("""COMPUTED_VALUE"""),"2094")</f>
        <v>2094</v>
      </c>
      <c r="G16" t="str">
        <f ca="1">IFERROR(__xludf.DUMMYFUNCTION("""COMPUTED_VALUE"""),"46743X")</f>
        <v>46743X</v>
      </c>
      <c r="H16" s="8">
        <f ca="1">IFERROR(__xludf.DUMMYFUNCTION("""COMPUTED_VALUE"""),7761.6)</f>
        <v>7761.6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IFERROR(__xludf.DUMMYFUNCTION("""COMPUTED_VALUE"""),"Alianca do Tocantins")</f>
        <v>Alianca do Tocantins</v>
      </c>
      <c r="C17" t="str">
        <f ca="1">IFERROR(__xludf.DUMMYFUNCTION("""COMPUTED_VALUE"""),"A. PAIS E MESTRES ESC. EST.N.SRA.DO CARMO")</f>
        <v>A. PAIS E MESTRES ESC. EST.N.SRA.DO CARMO</v>
      </c>
      <c r="D17" t="str">
        <f ca="1">IFERROR(__xludf.DUMMYFUNCTION("""COMPUTED_VALUE"""),"01034192000110")</f>
        <v>01034192000110</v>
      </c>
      <c r="E17" t="str">
        <f ca="1">IFERROR(__xludf.DUMMYFUNCTION("""COMPUTED_VALUE"""),"001")</f>
        <v>001</v>
      </c>
      <c r="F17" t="str">
        <f ca="1">IFERROR(__xludf.DUMMYFUNCTION("""COMPUTED_VALUE"""),"3972")</f>
        <v>3972</v>
      </c>
      <c r="G17" t="str">
        <f ca="1">IFERROR(__xludf.DUMMYFUNCTION("""COMPUTED_VALUE"""),"243590")</f>
        <v>243590</v>
      </c>
      <c r="H17" s="8">
        <f ca="1">IFERROR(__xludf.DUMMYFUNCTION("""COMPUTED_VALUE"""),11054.4)</f>
        <v>11054.4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IFERROR(__xludf.DUMMYFUNCTION("""COMPUTED_VALUE"""),"A.A.  ESCOLAR DO COL. EST. JOSE SEABRA")</f>
        <v>A.A.  ESCOLAR DO COL. EST. JOSE SEABRA</v>
      </c>
      <c r="D18" t="str">
        <f ca="1">IFERROR(__xludf.DUMMYFUNCTION("""COMPUTED_VALUE"""),"01910570000181")</f>
        <v>01910570000181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IFERROR(__xludf.DUMMYFUNCTION("""COMPUTED_VALUE"""),"66982")</f>
        <v>66982</v>
      </c>
      <c r="H18" s="8">
        <f ca="1">IFERROR(__xludf.DUMMYFUNCTION("""COMPUTED_VALUE"""),24696)</f>
        <v>24696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 EDUCACIONAL PRES. COSTA E SILVA")</f>
        <v>A. EDUCACIONAL PRES. COSTA E SILVA</v>
      </c>
      <c r="D19" t="str">
        <f ca="1">IFERROR(__xludf.DUMMYFUNCTION("""COMPUTED_VALUE"""),"01888719000173")</f>
        <v>01888719000173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IFERROR(__xludf.DUMMYFUNCTION("""COMPUTED_VALUE"""),"67490")</f>
        <v>67490</v>
      </c>
      <c r="H19" s="8">
        <f ca="1">IFERROR(__xludf.DUMMYFUNCTION("""COMPUTED_VALUE"""),34888)</f>
        <v>34888</v>
      </c>
      <c r="I19" t="str">
        <v>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IFERROR(__xludf.DUMMYFUNCTION("""COMPUTED_VALUE"""),"APM. DA INSTITUIÇÃO BENEFICENTE IRMÃ DULCE")</f>
        <v>APM. DA INSTITUIÇÃO BENEFICENTE IRMÃ DULCE</v>
      </c>
      <c r="D20" t="str">
        <f ca="1">IFERROR(__xludf.DUMMYFUNCTION("""COMPUTED_VALUE"""),"10807313000100")</f>
        <v>10807313000100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IFERROR(__xludf.DUMMYFUNCTION("""COMPUTED_VALUE"""),"447218")</f>
        <v>447218</v>
      </c>
      <c r="H20" s="8">
        <f ca="1">IFERROR(__xludf.DUMMYFUNCTION("""COMPUTED_VALUE"""),11524.8)</f>
        <v>11524.8</v>
      </c>
      <c r="I20" t="str">
        <v>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IFERROR(__xludf.DUMMYFUNCTION("""COMPUTED_VALUE"""),"Sao Salvador do Tocantins")</f>
        <v>Sao Salvador do Tocantins</v>
      </c>
      <c r="C21" t="str">
        <f ca="1">IFERROR(__xludf.DUMMYFUNCTION("""COMPUTED_VALUE"""),"A.A. COLEGIO ESTADUAL AGRÍCOLA JOSÉ PORFÍRIO DE SOUZA")</f>
        <v>A.A. COLEGIO ESTADUAL AGRÍCOLA JOSÉ PORFÍRIO DE SOUZA</v>
      </c>
      <c r="D21" t="str">
        <f ca="1">IFERROR(__xludf.DUMMYFUNCTION("""COMPUTED_VALUE"""),"49952315000128")</f>
        <v>49952315000128</v>
      </c>
      <c r="E21" t="str">
        <f ca="1">IFERROR(__xludf.DUMMYFUNCTION("""COMPUTED_VALUE"""),"001")</f>
        <v>001</v>
      </c>
      <c r="F21" t="str">
        <f ca="1">IFERROR(__xludf.DUMMYFUNCTION("""COMPUTED_VALUE"""),"4608")</f>
        <v>4608</v>
      </c>
      <c r="G21" t="str">
        <f ca="1">IFERROR(__xludf.DUMMYFUNCTION("""COMPUTED_VALUE"""),"183679")</f>
        <v>183679</v>
      </c>
      <c r="H21" s="8">
        <f ca="1">IFERROR(__xludf.DUMMYFUNCTION("""COMPUTED_VALUE"""),7761.6)</f>
        <v>7761.6</v>
      </c>
      <c r="I21" t="str">
        <v>FUND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IFERROR(__xludf.DUMMYFUNCTION("""COMPUTED_VALUE"""),"ASS. APOIO AO CEM XERENTE WARA")</f>
        <v>ASS. APOIO AO CEM XERENTE WARA</v>
      </c>
      <c r="D22" t="str">
        <f ca="1">IFERROR(__xludf.DUMMYFUNCTION("""COMPUTED_VALUE"""),"07674098000101")</f>
        <v>07674098000101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IFERROR(__xludf.DUMMYFUNCTION("""COMPUTED_VALUE"""),"183407")</f>
        <v>183407</v>
      </c>
      <c r="H22" s="8">
        <f ca="1">IFERROR(__xludf.DUMMYFUNCTION("""COMPUTED_VALUE"""),12230.4)</f>
        <v>12230.4</v>
      </c>
      <c r="I22" t="str">
        <v>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IFERROR(__xludf.DUMMYFUNCTION("""COMPUTED_VALUE"""),"A.COM.DO COLEGIO FREI ANTONIO CONVENIADO")</f>
        <v>A.COM.DO COLEGIO FREI ANTONIO CONVENIADO</v>
      </c>
      <c r="D23" t="str">
        <f ca="1">IFERROR(__xludf.DUMMYFUNCTION("""COMPUTED_VALUE"""),"01066427000155")</f>
        <v>01066427000155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IFERROR(__xludf.DUMMYFUNCTION("""COMPUTED_VALUE"""),"68985")</f>
        <v>68985</v>
      </c>
      <c r="H23" s="8">
        <f ca="1">IFERROR(__xludf.DUMMYFUNCTION("""COMPUTED_VALUE"""),23363.2)</f>
        <v>23363.200000000001</v>
      </c>
      <c r="I23" t="str">
        <v>FUND INTEGRAL</v>
      </c>
    </row>
    <row r="24" spans="1:9" ht="12.75">
      <c r="A24" t="str">
        <f ca="1">IFERROR(__xludf.DUMMYFUNCTION("""COMPUTED_VALUE"""),"Palmas")</f>
        <v>Palmas</v>
      </c>
      <c r="B24" t="str">
        <f ca="1">IFERROR(__xludf.DUMMYFUNCTION("""COMPUTED_VALUE"""),"Palmas")</f>
        <v>Palmas</v>
      </c>
      <c r="C24" t="str">
        <f ca="1">IFERROR(__xludf.DUMMYFUNCTION("""COMPUTED_VALUE"""),"ASSOCIAÇÃO DE APOIO A ESC. ESTADUAL DA 403 SUL")</f>
        <v>ASSOCIAÇÃO DE APOIO A ESC. ESTADUAL DA 403 SUL</v>
      </c>
      <c r="D24" t="str">
        <f ca="1">IFERROR(__xludf.DUMMYFUNCTION("""COMPUTED_VALUE"""),"11332101000186")</f>
        <v>11332101000186</v>
      </c>
      <c r="E24" t="str">
        <f ca="1">IFERROR(__xludf.DUMMYFUNCTION("""COMPUTED_VALUE"""),"001")</f>
        <v>001</v>
      </c>
      <c r="F24" t="str">
        <f ca="1">IFERROR(__xludf.DUMMYFUNCTION("""COMPUTED_VALUE"""),"1505")</f>
        <v>1505</v>
      </c>
      <c r="G24" t="str">
        <f ca="1">IFERROR(__xludf.DUMMYFUNCTION("""COMPUTED_VALUE"""),"467588")</f>
        <v>467588</v>
      </c>
      <c r="H24" s="8">
        <f ca="1">IFERROR(__xludf.DUMMYFUNCTION("""COMPUTED_VALUE"""),71265.6)</f>
        <v>71265.600000000006</v>
      </c>
      <c r="I24" t="str">
        <v>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IFERROR(__xludf.DUMMYFUNCTION("""COMPUTED_VALUE"""),"ASSOC.COMUNIDADE ESC. ESTADUAL RURAL ENTRE RIOS")</f>
        <v>ASSOC.COMUNIDADE ESC. ESTADUAL RURAL ENTRE RIOS</v>
      </c>
      <c r="D25" t="str">
        <f ca="1">IFERROR(__xludf.DUMMYFUNCTION("""COMPUTED_VALUE"""),"11257180000108")</f>
        <v>11257180000108</v>
      </c>
      <c r="E25" t="str">
        <f ca="1">IFERROR(__xludf.DUMMYFUNCTION("""COMPUTED_VALUE"""),"001")</f>
        <v>001</v>
      </c>
      <c r="F25" t="str">
        <f ca="1">IFERROR(__xludf.DUMMYFUNCTION("""COMPUTED_VALUE"""),"1886")</f>
        <v>1886</v>
      </c>
      <c r="G25" t="str">
        <f ca="1">IFERROR(__xludf.DUMMYFUNCTION("""COMPUTED_VALUE"""),"1464884")</f>
        <v>1464884</v>
      </c>
      <c r="H25" s="8">
        <f ca="1">IFERROR(__xludf.DUMMYFUNCTION("""COMPUTED_VALUE"""),3057.6)</f>
        <v>3057.6</v>
      </c>
      <c r="I25" t="str">
        <v>FUND INTEGRAL</v>
      </c>
    </row>
    <row r="26" spans="1:9" ht="12.75">
      <c r="A26" t="str">
        <f ca="1">IFERROR(__xludf.DUMMYFUNCTION("""COMPUTED_VALUE"""),"Paraíso")</f>
        <v>Paraíso</v>
      </c>
      <c r="B26" t="str">
        <f ca="1">IFERROR(__xludf.DUMMYFUNCTION("""COMPUTED_VALUE"""),"Nova Rosalandia")</f>
        <v>Nova Rosalandia</v>
      </c>
      <c r="C26" t="str">
        <f ca="1">IFERROR(__xludf.DUMMYFUNCTION("""COMPUTED_VALUE"""),"ASSOC.COM. ESC EST.REGINA SIQUEIRA CAMPOS")</f>
        <v>ASSOC.COM. ESC EST.REGINA SIQUEIRA CAMPOS</v>
      </c>
      <c r="D26" t="str">
        <f ca="1">IFERROR(__xludf.DUMMYFUNCTION("""COMPUTED_VALUE"""),"01181170000182")</f>
        <v>01181170000182</v>
      </c>
      <c r="E26" t="str">
        <f ca="1">IFERROR(__xludf.DUMMYFUNCTION("""COMPUTED_VALUE"""),"001")</f>
        <v>001</v>
      </c>
      <c r="F26" t="str">
        <f ca="1">IFERROR(__xludf.DUMMYFUNCTION("""COMPUTED_VALUE"""),"0804")</f>
        <v>0804</v>
      </c>
      <c r="G26" t="str">
        <f ca="1">IFERROR(__xludf.DUMMYFUNCTION("""COMPUTED_VALUE"""),"16383X")</f>
        <v>16383X</v>
      </c>
      <c r="H26" s="8">
        <f ca="1">IFERROR(__xludf.DUMMYFUNCTION("""COMPUTED_VALUE"""),11603.2)</f>
        <v>11603.2</v>
      </c>
      <c r="I26" t="str">
        <v>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IFERROR(__xludf.DUMMYFUNCTION("""COMPUTED_VALUE"""),"Paraiso do Tocantins")</f>
        <v>Paraiso do Tocantins</v>
      </c>
      <c r="C27" t="str">
        <f ca="1">IFERROR(__xludf.DUMMYFUNCTION("""COMPUTED_VALUE"""),"ASS. A. ESCOLA EST. DE TEMPO INTEGRAL PROFESSORA RITA ANDRADE SANTOS")</f>
        <v>ASS. A. ESCOLA EST. DE TEMPO INTEGRAL PROFESSORA RITA ANDRADE SANTOS</v>
      </c>
      <c r="D27" t="str">
        <f ca="1">IFERROR(__xludf.DUMMYFUNCTION("""COMPUTED_VALUE"""),"48740961000169")</f>
        <v>48740961000169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IFERROR(__xludf.DUMMYFUNCTION("""COMPUTED_VALUE"""),"58858X")</f>
        <v>58858X</v>
      </c>
      <c r="H27" s="8">
        <f ca="1">IFERROR(__xludf.DUMMYFUNCTION("""COMPUTED_VALUE"""),41787.2)</f>
        <v>41787.199999999997</v>
      </c>
      <c r="I27" t="str">
        <v>FUND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IFERROR(__xludf.DUMMYFUNCTION("""COMPUTED_VALUE"""),"Pedro Afonso")</f>
        <v>Pedro Afonso</v>
      </c>
      <c r="C28" t="str">
        <f ca="1">IFERROR(__xludf.DUMMYFUNCTION("""COMPUTED_VALUE"""),"A.A. AO COLÉGIO DE TEMPO INTEGRAL PROFESSOR ANTONIO BELARMINO FILHO")</f>
        <v>A.A. AO COLÉGIO DE TEMPO INTEGRAL PROFESSOR ANTONIO BELARMINO FILHO</v>
      </c>
      <c r="D28" t="str">
        <f ca="1">IFERROR(__xludf.DUMMYFUNCTION("""COMPUTED_VALUE"""),"47823286000179")</f>
        <v>47823286000179</v>
      </c>
      <c r="E28" t="str">
        <f ca="1">IFERROR(__xludf.DUMMYFUNCTION("""COMPUTED_VALUE"""),"001")</f>
        <v>001</v>
      </c>
      <c r="F28" t="str">
        <f ca="1">IFERROR(__xludf.DUMMYFUNCTION("""COMPUTED_VALUE"""),"1595")</f>
        <v>1595</v>
      </c>
      <c r="G28" t="str">
        <f ca="1">IFERROR(__xludf.DUMMYFUNCTION("""COMPUTED_VALUE"""),"334804")</f>
        <v>334804</v>
      </c>
      <c r="H28" s="8">
        <f ca="1">IFERROR(__xludf.DUMMYFUNCTION("""COMPUTED_VALUE"""),33398.4)</f>
        <v>33398.400000000001</v>
      </c>
      <c r="I28" t="str">
        <v>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IFERROR(__xludf.DUMMYFUNCTION("""COMPUTED_VALUE"""),"Santa Maria do Tocantins")</f>
        <v>Santa Maria do Tocantins</v>
      </c>
      <c r="C29" t="str">
        <f ca="1">IFERROR(__xludf.DUMMYFUNCTION("""COMPUTED_VALUE"""),"A. A.AS ESC.DO COL. EST. SANTA MARIA")</f>
        <v>A. A.AS ESC.DO COL. EST. SANTA MARIA</v>
      </c>
      <c r="D29" t="str">
        <f ca="1">IFERROR(__xludf.DUMMYFUNCTION("""COMPUTED_VALUE"""),"02087933000193")</f>
        <v>02087933000193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IFERROR(__xludf.DUMMYFUNCTION("""COMPUTED_VALUE"""),"83089")</f>
        <v>83089</v>
      </c>
      <c r="H29" s="8">
        <f ca="1">IFERROR(__xludf.DUMMYFUNCTION("""COMPUTED_VALUE"""),8780.8)</f>
        <v>8780.7999999999993</v>
      </c>
      <c r="I29" t="str">
        <v>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IFERROR(__xludf.DUMMYFUNCTION("""COMPUTED_VALUE"""),"Tupirama")</f>
        <v>Tupirama</v>
      </c>
      <c r="C30" t="str">
        <f ca="1">IFERROR(__xludf.DUMMYFUNCTION("""COMPUTED_VALUE"""),"A.A. A ESCOLA EST. MARIA DA GLORIA")</f>
        <v>A.A. A ESCOLA EST. MARIA DA GLORIA</v>
      </c>
      <c r="D30" t="str">
        <f ca="1">IFERROR(__xludf.DUMMYFUNCTION("""COMPUTED_VALUE"""),"02096555000104")</f>
        <v>02096555000104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IFERROR(__xludf.DUMMYFUNCTION("""COMPUTED_VALUE"""),"50482")</f>
        <v>50482</v>
      </c>
      <c r="H30" s="8">
        <f ca="1">IFERROR(__xludf.DUMMYFUNCTION("""COMPUTED_VALUE"""),9956.8)</f>
        <v>9956.7999999999993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IFERROR(__xludf.DUMMYFUNCTION("""COMPUTED_VALUE"""),"Brejinho de Nazare")</f>
        <v>Brejinho de Nazare</v>
      </c>
      <c r="C31" t="str">
        <f ca="1">IFERROR(__xludf.DUMMYFUNCTION("""COMPUTED_VALUE"""),"AS.DE APOIO A ESC. EST. JONAS PEREIRA LIMA")</f>
        <v>AS.DE APOIO A ESC. EST. JONAS PEREIRA LIMA</v>
      </c>
      <c r="D31" t="str">
        <f ca="1">IFERROR(__xludf.DUMMYFUNCTION("""COMPUTED_VALUE"""),"01148459000108")</f>
        <v>01148459000108</v>
      </c>
      <c r="E31" t="str">
        <f ca="1">IFERROR(__xludf.DUMMYFUNCTION("""COMPUTED_VALUE"""),"001")</f>
        <v>001</v>
      </c>
      <c r="F31" t="str">
        <f ca="1">IFERROR(__xludf.DUMMYFUNCTION("""COMPUTED_VALUE"""),"3976")</f>
        <v>3976</v>
      </c>
      <c r="G31" t="str">
        <f ca="1">IFERROR(__xludf.DUMMYFUNCTION("""COMPUTED_VALUE"""),"80489")</f>
        <v>80489</v>
      </c>
      <c r="H31" s="8">
        <f ca="1">IFERROR(__xludf.DUMMYFUNCTION("""COMPUTED_VALUE"""),21716.8)</f>
        <v>21716.799999999999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IFERROR(__xludf.DUMMYFUNCTION("""COMPUTED_VALUE"""),"Monte do Carmo")</f>
        <v>Monte do Carmo</v>
      </c>
      <c r="C32" t="str">
        <f ca="1">IFERROR(__xludf.DUMMYFUNCTION("""COMPUTED_VALUE"""),"A.APOIO DA ESCOLA ESTADUAL MESTRA BELA")</f>
        <v>A.APOIO DA ESCOLA ESTADUAL MESTRA BELA</v>
      </c>
      <c r="D32" t="str">
        <f ca="1">IFERROR(__xludf.DUMMYFUNCTION("""COMPUTED_VALUE"""),"01071442000191")</f>
        <v>01071442000191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IFERROR(__xludf.DUMMYFUNCTION("""COMPUTED_VALUE"""),"31286X")</f>
        <v>31286X</v>
      </c>
      <c r="H32" s="8">
        <f ca="1">IFERROR(__xludf.DUMMYFUNCTION("""COMPUTED_VALUE"""),8937.6)</f>
        <v>8937.6</v>
      </c>
      <c r="I32" t="str">
        <v>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IFERROR(__xludf.DUMMYFUNCTION("""COMPUTED_VALUE"""),"Pindorama do Tocantins")</f>
        <v>Pindorama do Tocantins</v>
      </c>
      <c r="C33" t="str">
        <f ca="1">IFERROR(__xludf.DUMMYFUNCTION("""COMPUTED_VALUE"""),"A.A. DO COL. EST. MANOEL DOS SANTOS ROSAL")</f>
        <v>A.A. DO COL. EST. MANOEL DOS SANTOS ROSAL</v>
      </c>
      <c r="D33" t="str">
        <f ca="1">IFERROR(__xludf.DUMMYFUNCTION("""COMPUTED_VALUE"""),"01034136000185")</f>
        <v>01034136000185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IFERROR(__xludf.DUMMYFUNCTION("""COMPUTED_VALUE"""),"312991")</f>
        <v>312991</v>
      </c>
      <c r="H33" s="8">
        <f ca="1">IFERROR(__xludf.DUMMYFUNCTION("""COMPUTED_VALUE"""),8545.6)</f>
        <v>8545.6</v>
      </c>
      <c r="I33" t="str">
        <v>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IFERROR(__xludf.DUMMYFUNCTION("""COMPUTED_VALUE"""),"Porto Nacional")</f>
        <v>Porto Nacional</v>
      </c>
      <c r="C34" t="str">
        <f ca="1">IFERROR(__xludf.DUMMYFUNCTION("""COMPUTED_VALUE"""),"A.A.  A ESCOLA D. PEDRO II")</f>
        <v>A.A.  A ESCOLA D. PEDRO II</v>
      </c>
      <c r="D34" t="str">
        <f ca="1">IFERROR(__xludf.DUMMYFUNCTION("""COMPUTED_VALUE"""),"01133697000131")</f>
        <v>01133697000131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IFERROR(__xludf.DUMMYFUNCTION("""COMPUTED_VALUE"""),"0313092")</f>
        <v>0313092</v>
      </c>
      <c r="H34" s="8">
        <f ca="1">IFERROR(__xludf.DUMMYFUNCTION("""COMPUTED_VALUE"""),10976)</f>
        <v>10976</v>
      </c>
      <c r="I34" t="str">
        <v>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IFERROR(__xludf.DUMMYFUNCTION("""COMPUTED_VALUE"""),"Silvanopolis")</f>
        <v>Silvanopolis</v>
      </c>
      <c r="C35" t="str">
        <f ca="1">IFERROR(__xludf.DUMMYFUNCTION("""COMPUTED_VALUE"""),"A.A. A ESC. EST. JOAO PIRES QUERIDO")</f>
        <v>A.A. A ESC. EST. JOAO PIRES QUERIDO</v>
      </c>
      <c r="D35" t="str">
        <f ca="1">IFERROR(__xludf.DUMMYFUNCTION("""COMPUTED_VALUE"""),"01284632000197")</f>
        <v>01284632000197</v>
      </c>
      <c r="E35" t="str">
        <f ca="1">IFERROR(__xludf.DUMMYFUNCTION("""COMPUTED_VALUE"""),"001")</f>
        <v>001</v>
      </c>
      <c r="F35" t="str">
        <f ca="1">IFERROR(__xludf.DUMMYFUNCTION("""COMPUTED_VALUE"""),"3980")</f>
        <v>3980</v>
      </c>
      <c r="G35" t="str">
        <f ca="1">IFERROR(__xludf.DUMMYFUNCTION("""COMPUTED_VALUE"""),"051187")</f>
        <v>051187</v>
      </c>
      <c r="H35" s="8">
        <f ca="1">IFERROR(__xludf.DUMMYFUNCTION("""COMPUTED_VALUE"""),11916.8)</f>
        <v>11916.8</v>
      </c>
      <c r="I35" t="str">
        <v>FUND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IFERROR(__xludf.DUMMYFUNCTION("""COMPUTED_VALUE"""),"Aguiarnopolis")</f>
        <v>Aguiarnopolis</v>
      </c>
      <c r="C36" t="str">
        <f ca="1">IFERROR(__xludf.DUMMYFUNCTION("""COMPUTED_VALUE"""),"A.A. DA ESC. EST. NAZARÉ NUNES DA SILVA (AGUIARNOPOLIS)")</f>
        <v>A.A. DA ESC. EST. NAZARÉ NUNES DA SILVA (AGUIARNOPOLIS)</v>
      </c>
      <c r="D36" t="str">
        <f ca="1">IFERROR(__xludf.DUMMYFUNCTION("""COMPUTED_VALUE"""),"01213519000110")</f>
        <v>01213519000110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IFERROR(__xludf.DUMMYFUNCTION("""COMPUTED_VALUE"""),"217727")</f>
        <v>217727</v>
      </c>
      <c r="H36" s="8">
        <f ca="1">IFERROR(__xludf.DUMMYFUNCTION("""COMPUTED_VALUE"""),7212.8)</f>
        <v>7212.8</v>
      </c>
      <c r="I36" t="str">
        <v>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IFERROR(__xludf.DUMMYFUNCTION("""COMPUTED_VALUE"""),"Tocantinopolis")</f>
        <v>Tocantinopolis</v>
      </c>
      <c r="C37" t="str">
        <f ca="1">IFERROR(__xludf.DUMMYFUNCTION("""COMPUTED_VALUE"""),"A.A. ESC. E. E.PROF.ALDENORA A.CORREIA")</f>
        <v>A.A. ESC. E. E.PROF.ALDENORA A.CORREIA</v>
      </c>
      <c r="D37" t="str">
        <f ca="1">IFERROR(__xludf.DUMMYFUNCTION("""COMPUTED_VALUE"""),"01213527000167")</f>
        <v>01213527000167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IFERROR(__xludf.DUMMYFUNCTION("""COMPUTED_VALUE"""),"58319")</f>
        <v>58319</v>
      </c>
      <c r="H37" s="8">
        <f ca="1">IFERROR(__xludf.DUMMYFUNCTION("""COMPUTED_VALUE"""),8624)</f>
        <v>8624</v>
      </c>
      <c r="I37" t="str">
        <v>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 PAIS DA ESC. EST. XV DE NOVEMBRO")</f>
        <v>A. PAIS DA ESC. EST. XV DE NOVEMBRO</v>
      </c>
      <c r="D38" t="str">
        <f ca="1">IFERROR(__xludf.DUMMYFUNCTION("""COMPUTED_VALUE"""),"01213520000145")</f>
        <v>01213520000145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IFERROR(__xludf.DUMMYFUNCTION("""COMPUTED_VALUE"""),"58238")</f>
        <v>58238</v>
      </c>
      <c r="H38" s="8">
        <f ca="1">IFERROR(__xludf.DUMMYFUNCTION("""COMPUTED_VALUE"""),13641.6)</f>
        <v>13641.6</v>
      </c>
      <c r="I38" t="str">
        <v>FUND INTEGRAL</v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A,B,C,D,E,F,G,K WHERE K&gt;0 label K 'ENS MEDIO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IFERROR(__xludf.DUMMYFUNCTION("""COMPUTED_VALUE"""),"ENS MEDIO INTEGRAL")</f>
        <v>ENS MEDIO INTEGRAL</v>
      </c>
      <c r="I1" s="271" t="str">
        <f t="array" ref="I1:I1000">IF(ROW(A1:A1000)=1,"ETAPA",IF(A1:A1000&lt;&gt;"","ENS MEDIO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IFERROR(__xludf.DUMMYFUNCTION("""COMPUTED_VALUE"""),8388.8)</f>
        <v>8388.7999999999993</v>
      </c>
      <c r="I4" t="str">
        <v>ENS MEDIO INTEGRAL</v>
      </c>
    </row>
    <row r="5" spans="1:26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IFERROR(__xludf.DUMMYFUNCTION("""COMPUTED_VALUE"""),16150.4)</f>
        <v>16150.4</v>
      </c>
      <c r="I5" t="str">
        <v>ENS MEDIO INTEGRAL</v>
      </c>
    </row>
    <row r="6" spans="1:26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IFERROR(__xludf.DUMMYFUNCTION("""COMPUTED_VALUE"""),11838.4)</f>
        <v>11838.4</v>
      </c>
      <c r="I6" t="str">
        <v>ENS MEDIO INTEGRAL</v>
      </c>
    </row>
    <row r="7" spans="1:26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IFERROR(__xludf.DUMMYFUNCTION("""COMPUTED_VALUE"""),13092.8)</f>
        <v>13092.8</v>
      </c>
      <c r="I7" t="str">
        <v>ENS MEDIO INTEGRAL</v>
      </c>
    </row>
    <row r="8" spans="1:26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IFERROR(__xludf.DUMMYFUNCTION("""COMPUTED_VALUE"""),2273.6)</f>
        <v>2273.6</v>
      </c>
      <c r="I8" t="str">
        <v>ENS MEDIO INTEGRAL</v>
      </c>
    </row>
    <row r="9" spans="1:26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IFERROR(__xludf.DUMMYFUNCTION("""COMPUTED_VALUE"""),12936)</f>
        <v>12936</v>
      </c>
      <c r="I9" t="str">
        <v>ENS MEDIO INTEGRAL</v>
      </c>
    </row>
    <row r="10" spans="1:26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IFERROR(__xludf.DUMMYFUNCTION("""COMPUTED_VALUE"""),6977.6)</f>
        <v>6977.6</v>
      </c>
      <c r="I10" t="str">
        <v>ENS MEDIO INTEGRAL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IFERROR(__xludf.DUMMYFUNCTION("""COMPUTED_VALUE"""),1176)</f>
        <v>1176</v>
      </c>
      <c r="I11" t="str">
        <v>ENS MEDIO INTEGRAL</v>
      </c>
    </row>
    <row r="12" spans="1:26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IFERROR(__xludf.DUMMYFUNCTION("""COMPUTED_VALUE"""),2508.8)</f>
        <v>2508.8000000000002</v>
      </c>
      <c r="I12" t="str">
        <v>ENS MEDIO INTEGRAL</v>
      </c>
    </row>
    <row r="13" spans="1:26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IFERROR(__xludf.DUMMYFUNCTION("""COMPUTED_VALUE"""),9172.8)</f>
        <v>9172.7999999999993</v>
      </c>
      <c r="I13" t="str">
        <v>ENS MEDIO INTEGRAL</v>
      </c>
    </row>
    <row r="14" spans="1:26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IFERROR(__xludf.DUMMYFUNCTION("""COMPUTED_VALUE"""),4233.6)</f>
        <v>4233.6000000000004</v>
      </c>
      <c r="I14" t="str">
        <v>ENS MEDIO INTEGRAL</v>
      </c>
    </row>
    <row r="15" spans="1:26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IFERROR(__xludf.DUMMYFUNCTION("""COMPUTED_VALUE"""),18267.2)</f>
        <v>18267.2</v>
      </c>
      <c r="I15" t="str">
        <v>ENS MEDIO INTEGRAL</v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A,B,C,D,E,F,G,L WHERE L&gt;0 label L 'INTERNATO'"")"),"Araguaina")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IFERROR(__xludf.DUMMYFUNCTION("""COMPUTED_VALUE"""),"INTERNATO")</f>
        <v>INTERNATO</v>
      </c>
      <c r="I1" s="271" t="str">
        <f t="array" ref="I1:I1000">IF(ROW(A1:A1000)=1,"ETAPA",IF(A1:A1000&lt;&gt;"","INTERNATO",""))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A,B,C,D,E,F,G,N WHERE N&gt;0 label N 'SERVIDORES 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INTERNATO")</f>
        <v>SERVIDORES INTERNATO</v>
      </c>
      <c r="I1" s="271" t="str">
        <f t="array" ref="I1:I1000">IF(ROW(A1:A1000)=1,"ETAPA",IF(A1:A1000&lt;&gt;"","SERVIDORES 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A,B,C,D,E,F,G,O WHERE O&gt;0 label O 'SERVIDORES 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AGRICOLA")</f>
        <v>SERVIDORES AGRICOLA</v>
      </c>
      <c r="I1" s="271" t="str">
        <f t="array" ref="I1:I1000">IF(ROW(A1:A1000)=1,"ETAPA",IF(A1:A1000&lt;&gt;"","SERVIDORES 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1C232"/>
    <outlinePr summaryBelow="0" summaryRight="0"/>
  </sheetPr>
  <dimension ref="A1:R24"/>
  <sheetViews>
    <sheetView showGridLines="0" tabSelected="1" workbookViewId="0">
      <pane ySplit="5" topLeftCell="A6" activePane="bottomLeft" state="frozen"/>
      <selection pane="bottomLeft" activeCell="B29" sqref="B29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10.5703125" customWidth="1"/>
    <col min="13" max="18" width="12.5703125" customWidth="1"/>
  </cols>
  <sheetData>
    <row r="1" spans="1:18" ht="24" customHeight="1">
      <c r="A1" s="366" t="s">
        <v>122</v>
      </c>
      <c r="B1" s="367"/>
      <c r="C1" s="367"/>
      <c r="D1" s="368" t="s">
        <v>123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133"/>
    </row>
    <row r="2" spans="1:18" ht="27.75" customHeight="1">
      <c r="A2" s="363"/>
      <c r="B2" s="363"/>
      <c r="C2" s="363"/>
      <c r="D2" s="369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134"/>
    </row>
    <row r="3" spans="1:18" ht="24" customHeight="1" thickBot="1">
      <c r="A3" s="363"/>
      <c r="B3" s="363"/>
      <c r="C3" s="363"/>
      <c r="D3" s="370" t="s">
        <v>124</v>
      </c>
      <c r="E3" s="371"/>
      <c r="F3" s="371"/>
      <c r="G3" s="372"/>
      <c r="H3" s="135">
        <f>SUBTOTAL(9,H6:H38)</f>
        <v>403.20000000000005</v>
      </c>
      <c r="I3" s="135">
        <f>SUBTOTAL(9,I6:I38)</f>
        <v>28560</v>
      </c>
      <c r="J3" s="135">
        <f>SUBTOTAL(9,J6:J38)</f>
        <v>12439.599999999999</v>
      </c>
      <c r="K3" s="135">
        <f>SUBTOTAL(9,K6:K38)</f>
        <v>0</v>
      </c>
      <c r="L3" s="135">
        <f>SUBTOTAL(9,L6:L38)</f>
        <v>21001.200000000001</v>
      </c>
      <c r="M3" s="135">
        <f>SUBTOTAL(9,M6:M38)</f>
        <v>5453.5999999999995</v>
      </c>
      <c r="N3" s="135">
        <f>SUBTOTAL(9,N6:N38)</f>
        <v>19660</v>
      </c>
      <c r="O3" s="135">
        <f>SUBTOTAL(9,O6:O38)</f>
        <v>0</v>
      </c>
      <c r="P3" s="135">
        <f>SUBTOTAL(9,P6:P38)</f>
        <v>15052.800000000001</v>
      </c>
      <c r="Q3" s="135">
        <f>SUBTOTAL(9,Q6:Q38)</f>
        <v>4690.3999999999987</v>
      </c>
      <c r="R3" s="135">
        <f>SUBTOTAL(9,R6:R38)</f>
        <v>107260.80000000002</v>
      </c>
    </row>
    <row r="4" spans="1:18" ht="56.25" customHeight="1">
      <c r="A4" s="136" t="s">
        <v>4</v>
      </c>
      <c r="B4" s="136" t="s">
        <v>5</v>
      </c>
      <c r="C4" s="136" t="str">
        <f>"UNIDADES EXECUTORAS = " &amp; COUNTA(C6:C38)</f>
        <v>UNIDADES EXECUTORAS = 19</v>
      </c>
      <c r="D4" s="136" t="s">
        <v>8</v>
      </c>
      <c r="E4" s="137" t="s">
        <v>0</v>
      </c>
      <c r="F4" s="137" t="s">
        <v>1</v>
      </c>
      <c r="G4" s="138" t="s">
        <v>2</v>
      </c>
      <c r="H4" s="139" t="s">
        <v>10</v>
      </c>
      <c r="I4" s="139" t="s">
        <v>11</v>
      </c>
      <c r="J4" s="139" t="s">
        <v>12</v>
      </c>
      <c r="K4" s="139" t="s">
        <v>125</v>
      </c>
      <c r="L4" s="139" t="s">
        <v>15</v>
      </c>
      <c r="M4" s="139" t="s">
        <v>16</v>
      </c>
      <c r="N4" s="139" t="s">
        <v>17</v>
      </c>
      <c r="O4" s="139" t="s">
        <v>18</v>
      </c>
      <c r="P4" s="139" t="s">
        <v>19</v>
      </c>
      <c r="Q4" s="139" t="s">
        <v>20</v>
      </c>
      <c r="R4" s="140" t="s">
        <v>126</v>
      </c>
    </row>
    <row r="5" spans="1:18" ht="14.25" customHeight="1">
      <c r="A5" s="141"/>
      <c r="B5" s="142"/>
      <c r="C5" s="142"/>
      <c r="D5" s="142"/>
      <c r="E5" s="142"/>
      <c r="F5" s="142"/>
      <c r="G5" s="142"/>
      <c r="H5" s="143"/>
      <c r="I5" s="143"/>
      <c r="J5" s="143"/>
      <c r="K5" s="143"/>
      <c r="L5" s="143"/>
      <c r="M5" s="142"/>
      <c r="N5" s="142"/>
      <c r="O5" s="142"/>
      <c r="P5" s="142"/>
      <c r="Q5" s="142"/>
      <c r="R5" s="142"/>
    </row>
    <row r="6" spans="1:18" ht="12.75">
      <c r="A6" s="144" t="s">
        <v>50</v>
      </c>
      <c r="B6" s="144" t="s">
        <v>51</v>
      </c>
      <c r="C6" s="145" t="s">
        <v>52</v>
      </c>
      <c r="D6" s="146" t="s">
        <v>53</v>
      </c>
      <c r="E6" s="147" t="s">
        <v>35</v>
      </c>
      <c r="F6" s="147" t="s">
        <v>54</v>
      </c>
      <c r="G6" s="148" t="s">
        <v>55</v>
      </c>
      <c r="H6" s="148">
        <v>0</v>
      </c>
      <c r="I6" s="148">
        <v>3580</v>
      </c>
      <c r="J6" s="148">
        <v>0</v>
      </c>
      <c r="K6" s="148">
        <v>0</v>
      </c>
      <c r="L6" s="148">
        <v>0</v>
      </c>
      <c r="M6" s="148">
        <v>190.4</v>
      </c>
      <c r="N6" s="148">
        <v>2140</v>
      </c>
      <c r="O6" s="148">
        <v>0</v>
      </c>
      <c r="P6" s="148">
        <v>0</v>
      </c>
      <c r="Q6" s="148">
        <v>0</v>
      </c>
      <c r="R6" s="148">
        <v>5910.4</v>
      </c>
    </row>
    <row r="7" spans="1:18" ht="12.75">
      <c r="A7" s="149" t="s">
        <v>50</v>
      </c>
      <c r="B7" s="149" t="s">
        <v>51</v>
      </c>
      <c r="C7" s="150" t="s">
        <v>56</v>
      </c>
      <c r="D7" s="151" t="s">
        <v>57</v>
      </c>
      <c r="E7" s="152" t="s">
        <v>35</v>
      </c>
      <c r="F7" s="152" t="s">
        <v>54</v>
      </c>
      <c r="G7" s="153" t="s">
        <v>58</v>
      </c>
      <c r="H7" s="153">
        <v>0</v>
      </c>
      <c r="I7" s="153">
        <v>120</v>
      </c>
      <c r="J7" s="153">
        <v>0</v>
      </c>
      <c r="K7" s="153">
        <v>0</v>
      </c>
      <c r="L7" s="153">
        <v>0</v>
      </c>
      <c r="M7" s="153">
        <v>639.19999999999993</v>
      </c>
      <c r="N7" s="153">
        <v>0</v>
      </c>
      <c r="O7" s="153">
        <v>0</v>
      </c>
      <c r="P7" s="153">
        <v>0</v>
      </c>
      <c r="Q7" s="153">
        <v>311.59999999999997</v>
      </c>
      <c r="R7" s="153">
        <v>1070.8</v>
      </c>
    </row>
    <row r="8" spans="1:18" ht="12.75">
      <c r="A8" s="144" t="s">
        <v>50</v>
      </c>
      <c r="B8" s="144" t="s">
        <v>59</v>
      </c>
      <c r="C8" s="145" t="s">
        <v>60</v>
      </c>
      <c r="D8" s="146" t="s">
        <v>61</v>
      </c>
      <c r="E8" s="147" t="s">
        <v>35</v>
      </c>
      <c r="F8" s="147" t="s">
        <v>54</v>
      </c>
      <c r="G8" s="148" t="s">
        <v>62</v>
      </c>
      <c r="H8" s="148">
        <v>0</v>
      </c>
      <c r="I8" s="148">
        <v>1900</v>
      </c>
      <c r="J8" s="148">
        <v>0</v>
      </c>
      <c r="K8" s="148">
        <v>0</v>
      </c>
      <c r="L8" s="148">
        <v>0</v>
      </c>
      <c r="M8" s="148">
        <v>163.19999999999999</v>
      </c>
      <c r="N8" s="148">
        <v>1680</v>
      </c>
      <c r="O8" s="148">
        <v>0</v>
      </c>
      <c r="P8" s="148">
        <v>0</v>
      </c>
      <c r="Q8" s="148">
        <v>0</v>
      </c>
      <c r="R8" s="148">
        <v>3743.2</v>
      </c>
    </row>
    <row r="9" spans="1:18" ht="12.75">
      <c r="A9" s="149" t="s">
        <v>50</v>
      </c>
      <c r="B9" s="149" t="s">
        <v>59</v>
      </c>
      <c r="C9" s="150" t="s">
        <v>63</v>
      </c>
      <c r="D9" s="151" t="s">
        <v>64</v>
      </c>
      <c r="E9" s="152" t="s">
        <v>35</v>
      </c>
      <c r="F9" s="152" t="s">
        <v>54</v>
      </c>
      <c r="G9" s="153" t="s">
        <v>65</v>
      </c>
      <c r="H9" s="153">
        <v>0</v>
      </c>
      <c r="I9" s="153">
        <v>710</v>
      </c>
      <c r="J9" s="153">
        <v>0</v>
      </c>
      <c r="K9" s="153">
        <v>0</v>
      </c>
      <c r="L9" s="153">
        <v>0</v>
      </c>
      <c r="M9" s="153">
        <v>68</v>
      </c>
      <c r="N9" s="153">
        <v>300</v>
      </c>
      <c r="O9" s="153">
        <v>0</v>
      </c>
      <c r="P9" s="153">
        <v>0</v>
      </c>
      <c r="Q9" s="153">
        <v>0</v>
      </c>
      <c r="R9" s="153">
        <v>1078</v>
      </c>
    </row>
    <row r="10" spans="1:18" ht="12.75">
      <c r="A10" s="144" t="s">
        <v>50</v>
      </c>
      <c r="B10" s="144" t="s">
        <v>66</v>
      </c>
      <c r="C10" s="145" t="s">
        <v>67</v>
      </c>
      <c r="D10" s="146" t="s">
        <v>68</v>
      </c>
      <c r="E10" s="147" t="s">
        <v>35</v>
      </c>
      <c r="F10" s="147" t="s">
        <v>54</v>
      </c>
      <c r="G10" s="148" t="s">
        <v>69</v>
      </c>
      <c r="H10" s="148">
        <v>0</v>
      </c>
      <c r="I10" s="148">
        <v>0</v>
      </c>
      <c r="J10" s="148">
        <v>0</v>
      </c>
      <c r="K10" s="148">
        <v>0</v>
      </c>
      <c r="L10" s="148">
        <v>21001.200000000001</v>
      </c>
      <c r="M10" s="148">
        <v>0</v>
      </c>
      <c r="N10" s="148">
        <v>0</v>
      </c>
      <c r="O10" s="148">
        <v>0</v>
      </c>
      <c r="P10" s="148">
        <v>0</v>
      </c>
      <c r="Q10" s="148">
        <v>0</v>
      </c>
      <c r="R10" s="148">
        <v>21001.200000000001</v>
      </c>
    </row>
    <row r="11" spans="1:18" ht="12.75">
      <c r="A11" s="149" t="s">
        <v>50</v>
      </c>
      <c r="B11" s="149" t="s">
        <v>66</v>
      </c>
      <c r="C11" s="150" t="s">
        <v>70</v>
      </c>
      <c r="D11" s="151" t="s">
        <v>71</v>
      </c>
      <c r="E11" s="152" t="s">
        <v>35</v>
      </c>
      <c r="F11" s="152" t="s">
        <v>54</v>
      </c>
      <c r="G11" s="153" t="s">
        <v>72</v>
      </c>
      <c r="H11" s="153">
        <v>0</v>
      </c>
      <c r="I11" s="153">
        <v>0</v>
      </c>
      <c r="J11" s="153">
        <v>0</v>
      </c>
      <c r="K11" s="153">
        <v>0</v>
      </c>
      <c r="L11" s="153">
        <v>0</v>
      </c>
      <c r="M11" s="153">
        <v>231.2</v>
      </c>
      <c r="N11" s="153">
        <v>0</v>
      </c>
      <c r="O11" s="153">
        <v>0</v>
      </c>
      <c r="P11" s="153">
        <v>5939.2000000000007</v>
      </c>
      <c r="Q11" s="153">
        <v>0</v>
      </c>
      <c r="R11" s="153">
        <v>6170.4000000000005</v>
      </c>
    </row>
    <row r="12" spans="1:18" ht="12.75">
      <c r="A12" s="144" t="s">
        <v>50</v>
      </c>
      <c r="B12" s="144" t="s">
        <v>66</v>
      </c>
      <c r="C12" s="145" t="s">
        <v>73</v>
      </c>
      <c r="D12" s="146" t="s">
        <v>74</v>
      </c>
      <c r="E12" s="147" t="s">
        <v>35</v>
      </c>
      <c r="F12" s="147" t="s">
        <v>54</v>
      </c>
      <c r="G12" s="148" t="s">
        <v>75</v>
      </c>
      <c r="H12" s="148">
        <v>0</v>
      </c>
      <c r="I12" s="148">
        <v>3130</v>
      </c>
      <c r="J12" s="148">
        <v>0</v>
      </c>
      <c r="K12" s="148">
        <v>0</v>
      </c>
      <c r="L12" s="148">
        <v>0</v>
      </c>
      <c r="M12" s="148">
        <v>326.39999999999998</v>
      </c>
      <c r="N12" s="148">
        <v>2040</v>
      </c>
      <c r="O12" s="148">
        <v>0</v>
      </c>
      <c r="P12" s="148">
        <v>0</v>
      </c>
      <c r="Q12" s="148">
        <v>0</v>
      </c>
      <c r="R12" s="148">
        <v>5496.4</v>
      </c>
    </row>
    <row r="13" spans="1:18" ht="12.75">
      <c r="A13" s="149" t="s">
        <v>50</v>
      </c>
      <c r="B13" s="149" t="s">
        <v>66</v>
      </c>
      <c r="C13" s="150" t="s">
        <v>76</v>
      </c>
      <c r="D13" s="151" t="s">
        <v>77</v>
      </c>
      <c r="E13" s="152" t="s">
        <v>35</v>
      </c>
      <c r="F13" s="152" t="s">
        <v>54</v>
      </c>
      <c r="G13" s="153" t="s">
        <v>78</v>
      </c>
      <c r="H13" s="153">
        <v>0</v>
      </c>
      <c r="I13" s="153">
        <v>2300</v>
      </c>
      <c r="J13" s="153">
        <v>0</v>
      </c>
      <c r="K13" s="153">
        <v>0</v>
      </c>
      <c r="L13" s="153">
        <v>0</v>
      </c>
      <c r="M13" s="153">
        <v>176.79999999999998</v>
      </c>
      <c r="N13" s="153">
        <v>2340</v>
      </c>
      <c r="O13" s="153">
        <v>0</v>
      </c>
      <c r="P13" s="153">
        <v>0</v>
      </c>
      <c r="Q13" s="153">
        <v>0</v>
      </c>
      <c r="R13" s="153">
        <v>4816.8</v>
      </c>
    </row>
    <row r="14" spans="1:18" ht="12.75">
      <c r="A14" s="144" t="s">
        <v>50</v>
      </c>
      <c r="B14" s="144" t="s">
        <v>66</v>
      </c>
      <c r="C14" s="145" t="s">
        <v>79</v>
      </c>
      <c r="D14" s="146" t="s">
        <v>80</v>
      </c>
      <c r="E14" s="147" t="s">
        <v>35</v>
      </c>
      <c r="F14" s="147" t="s">
        <v>54</v>
      </c>
      <c r="G14" s="148" t="s">
        <v>81</v>
      </c>
      <c r="H14" s="148">
        <v>230.4</v>
      </c>
      <c r="I14" s="148">
        <v>230</v>
      </c>
      <c r="J14" s="148">
        <v>0</v>
      </c>
      <c r="K14" s="148">
        <v>0</v>
      </c>
      <c r="L14" s="148">
        <v>0</v>
      </c>
      <c r="M14" s="148">
        <v>1156</v>
      </c>
      <c r="N14" s="148">
        <v>0</v>
      </c>
      <c r="O14" s="148">
        <v>0</v>
      </c>
      <c r="P14" s="148">
        <v>0</v>
      </c>
      <c r="Q14" s="148">
        <v>606.79999999999995</v>
      </c>
      <c r="R14" s="148">
        <v>2223.1999999999998</v>
      </c>
    </row>
    <row r="15" spans="1:18" ht="12.75">
      <c r="A15" s="149" t="s">
        <v>50</v>
      </c>
      <c r="B15" s="149" t="s">
        <v>66</v>
      </c>
      <c r="C15" s="150" t="s">
        <v>82</v>
      </c>
      <c r="D15" s="151" t="s">
        <v>83</v>
      </c>
      <c r="E15" s="152" t="s">
        <v>35</v>
      </c>
      <c r="F15" s="152" t="s">
        <v>54</v>
      </c>
      <c r="G15" s="153" t="s">
        <v>84</v>
      </c>
      <c r="H15" s="153">
        <v>0</v>
      </c>
      <c r="I15" s="153">
        <v>1630</v>
      </c>
      <c r="J15" s="153">
        <v>0</v>
      </c>
      <c r="K15" s="153">
        <v>0</v>
      </c>
      <c r="L15" s="153">
        <v>0</v>
      </c>
      <c r="M15" s="153">
        <v>258.39999999999998</v>
      </c>
      <c r="N15" s="153">
        <v>2340</v>
      </c>
      <c r="O15" s="153">
        <v>0</v>
      </c>
      <c r="P15" s="153">
        <v>0</v>
      </c>
      <c r="Q15" s="153">
        <v>57.399999999999991</v>
      </c>
      <c r="R15" s="153">
        <v>4285.7999999999993</v>
      </c>
    </row>
    <row r="16" spans="1:18" ht="12.75">
      <c r="A16" s="144" t="s">
        <v>50</v>
      </c>
      <c r="B16" s="144" t="s">
        <v>66</v>
      </c>
      <c r="C16" s="145" t="s">
        <v>85</v>
      </c>
      <c r="D16" s="146" t="s">
        <v>86</v>
      </c>
      <c r="E16" s="147" t="s">
        <v>35</v>
      </c>
      <c r="F16" s="147" t="s">
        <v>54</v>
      </c>
      <c r="G16" s="148" t="s">
        <v>87</v>
      </c>
      <c r="H16" s="148">
        <v>0</v>
      </c>
      <c r="I16" s="148">
        <v>4000</v>
      </c>
      <c r="J16" s="148">
        <v>0</v>
      </c>
      <c r="K16" s="148">
        <v>0</v>
      </c>
      <c r="L16" s="148">
        <v>0</v>
      </c>
      <c r="M16" s="148">
        <v>258.39999999999998</v>
      </c>
      <c r="N16" s="148">
        <v>760</v>
      </c>
      <c r="O16" s="148">
        <v>0</v>
      </c>
      <c r="P16" s="148">
        <v>0</v>
      </c>
      <c r="Q16" s="148">
        <v>2107.3999999999996</v>
      </c>
      <c r="R16" s="148">
        <v>7125.7999999999993</v>
      </c>
    </row>
    <row r="17" spans="1:18" ht="12.75">
      <c r="A17" s="149" t="s">
        <v>50</v>
      </c>
      <c r="B17" s="149" t="s">
        <v>66</v>
      </c>
      <c r="C17" s="150" t="s">
        <v>88</v>
      </c>
      <c r="D17" s="151" t="s">
        <v>89</v>
      </c>
      <c r="E17" s="152" t="s">
        <v>35</v>
      </c>
      <c r="F17" s="152" t="s">
        <v>54</v>
      </c>
      <c r="G17" s="153" t="s">
        <v>90</v>
      </c>
      <c r="H17" s="153">
        <v>0</v>
      </c>
      <c r="I17" s="153">
        <v>1070</v>
      </c>
      <c r="J17" s="153">
        <v>0</v>
      </c>
      <c r="K17" s="153">
        <v>0</v>
      </c>
      <c r="L17" s="153">
        <v>0</v>
      </c>
      <c r="M17" s="153">
        <v>149.6</v>
      </c>
      <c r="N17" s="153">
        <v>0</v>
      </c>
      <c r="O17" s="153">
        <v>0</v>
      </c>
      <c r="P17" s="153">
        <v>0</v>
      </c>
      <c r="Q17" s="153">
        <v>0</v>
      </c>
      <c r="R17" s="153">
        <v>1219.5999999999999</v>
      </c>
    </row>
    <row r="18" spans="1:18" ht="12.75">
      <c r="A18" s="144" t="s">
        <v>50</v>
      </c>
      <c r="B18" s="144" t="s">
        <v>91</v>
      </c>
      <c r="C18" s="145" t="s">
        <v>92</v>
      </c>
      <c r="D18" s="146" t="s">
        <v>93</v>
      </c>
      <c r="E18" s="147" t="s">
        <v>35</v>
      </c>
      <c r="F18" s="147" t="s">
        <v>94</v>
      </c>
      <c r="G18" s="148" t="s">
        <v>95</v>
      </c>
      <c r="H18" s="148">
        <v>0</v>
      </c>
      <c r="I18" s="148">
        <v>0</v>
      </c>
      <c r="J18" s="148">
        <v>0</v>
      </c>
      <c r="K18" s="148">
        <v>0</v>
      </c>
      <c r="L18" s="148">
        <v>0</v>
      </c>
      <c r="M18" s="148">
        <v>231.2</v>
      </c>
      <c r="N18" s="148">
        <v>5220</v>
      </c>
      <c r="O18" s="148">
        <v>0</v>
      </c>
      <c r="P18" s="148">
        <v>0</v>
      </c>
      <c r="Q18" s="148">
        <v>737.99999999999989</v>
      </c>
      <c r="R18" s="148">
        <v>6189.2</v>
      </c>
    </row>
    <row r="19" spans="1:18" ht="12.75">
      <c r="A19" s="149" t="s">
        <v>50</v>
      </c>
      <c r="B19" s="149" t="s">
        <v>91</v>
      </c>
      <c r="C19" s="150" t="s">
        <v>96</v>
      </c>
      <c r="D19" s="151" t="s">
        <v>97</v>
      </c>
      <c r="E19" s="152" t="s">
        <v>35</v>
      </c>
      <c r="F19" s="152" t="s">
        <v>94</v>
      </c>
      <c r="G19" s="153" t="s">
        <v>98</v>
      </c>
      <c r="H19" s="153">
        <v>0</v>
      </c>
      <c r="I19" s="153">
        <v>7750</v>
      </c>
      <c r="J19" s="153">
        <v>0</v>
      </c>
      <c r="K19" s="153">
        <v>0</v>
      </c>
      <c r="L19" s="153">
        <v>0</v>
      </c>
      <c r="M19" s="153">
        <v>163.19999999999999</v>
      </c>
      <c r="N19" s="153">
        <v>0</v>
      </c>
      <c r="O19" s="153">
        <v>0</v>
      </c>
      <c r="P19" s="153">
        <v>0</v>
      </c>
      <c r="Q19" s="153">
        <v>0</v>
      </c>
      <c r="R19" s="153">
        <v>7913.2</v>
      </c>
    </row>
    <row r="20" spans="1:18" ht="12.75">
      <c r="A20" s="144" t="s">
        <v>50</v>
      </c>
      <c r="B20" s="144" t="s">
        <v>91</v>
      </c>
      <c r="C20" s="145" t="s">
        <v>99</v>
      </c>
      <c r="D20" s="146" t="s">
        <v>100</v>
      </c>
      <c r="E20" s="147" t="s">
        <v>35</v>
      </c>
      <c r="F20" s="147" t="s">
        <v>54</v>
      </c>
      <c r="G20" s="148" t="s">
        <v>101</v>
      </c>
      <c r="H20" s="148">
        <v>172.8</v>
      </c>
      <c r="I20" s="148">
        <v>80</v>
      </c>
      <c r="J20" s="148">
        <v>0</v>
      </c>
      <c r="K20" s="148">
        <v>0</v>
      </c>
      <c r="L20" s="148">
        <v>0</v>
      </c>
      <c r="M20" s="148">
        <v>870.4</v>
      </c>
      <c r="N20" s="148">
        <v>0</v>
      </c>
      <c r="O20" s="148">
        <v>0</v>
      </c>
      <c r="P20" s="148">
        <v>0</v>
      </c>
      <c r="Q20" s="148">
        <v>426.4</v>
      </c>
      <c r="R20" s="148">
        <v>1549.6</v>
      </c>
    </row>
    <row r="21" spans="1:18" ht="12.75">
      <c r="A21" s="149" t="s">
        <v>50</v>
      </c>
      <c r="B21" s="149" t="s">
        <v>102</v>
      </c>
      <c r="C21" s="150" t="s">
        <v>103</v>
      </c>
      <c r="D21" s="151" t="s">
        <v>104</v>
      </c>
      <c r="E21" s="152" t="s">
        <v>35</v>
      </c>
      <c r="F21" s="152" t="s">
        <v>54</v>
      </c>
      <c r="G21" s="153" t="s">
        <v>105</v>
      </c>
      <c r="H21" s="153">
        <v>0</v>
      </c>
      <c r="I21" s="153">
        <v>2060</v>
      </c>
      <c r="J21" s="153">
        <v>0</v>
      </c>
      <c r="K21" s="153">
        <v>0</v>
      </c>
      <c r="L21" s="153">
        <v>0</v>
      </c>
      <c r="M21" s="153">
        <v>163.19999999999999</v>
      </c>
      <c r="N21" s="153">
        <v>1000</v>
      </c>
      <c r="O21" s="153">
        <v>0</v>
      </c>
      <c r="P21" s="153">
        <v>0</v>
      </c>
      <c r="Q21" s="153">
        <v>180.39999999999998</v>
      </c>
      <c r="R21" s="153">
        <v>3403.6</v>
      </c>
    </row>
    <row r="22" spans="1:18" ht="12.75">
      <c r="A22" s="144" t="s">
        <v>50</v>
      </c>
      <c r="B22" s="144" t="s">
        <v>106</v>
      </c>
      <c r="C22" s="145" t="s">
        <v>107</v>
      </c>
      <c r="D22" s="146" t="s">
        <v>108</v>
      </c>
      <c r="E22" s="147" t="s">
        <v>35</v>
      </c>
      <c r="F22" s="147" t="s">
        <v>54</v>
      </c>
      <c r="G22" s="148" t="s">
        <v>109</v>
      </c>
      <c r="H22" s="148">
        <v>0</v>
      </c>
      <c r="I22" s="148">
        <v>0</v>
      </c>
      <c r="J22" s="148">
        <v>4274.3999999999996</v>
      </c>
      <c r="K22" s="148">
        <v>0</v>
      </c>
      <c r="L22" s="148">
        <v>0</v>
      </c>
      <c r="M22" s="148">
        <v>285.59999999999997</v>
      </c>
      <c r="N22" s="148">
        <v>0</v>
      </c>
      <c r="O22" s="148">
        <v>0</v>
      </c>
      <c r="P22" s="148">
        <v>9113.6</v>
      </c>
      <c r="Q22" s="148">
        <v>0</v>
      </c>
      <c r="R22" s="148">
        <v>13673.6</v>
      </c>
    </row>
    <row r="23" spans="1:18" ht="12.75">
      <c r="A23" s="149" t="s">
        <v>50</v>
      </c>
      <c r="B23" s="149" t="s">
        <v>106</v>
      </c>
      <c r="C23" s="150" t="s">
        <v>110</v>
      </c>
      <c r="D23" s="151" t="s">
        <v>111</v>
      </c>
      <c r="E23" s="152" t="s">
        <v>35</v>
      </c>
      <c r="F23" s="152" t="s">
        <v>54</v>
      </c>
      <c r="G23" s="153" t="s">
        <v>112</v>
      </c>
      <c r="H23" s="153">
        <v>0</v>
      </c>
      <c r="I23" s="153">
        <v>0</v>
      </c>
      <c r="J23" s="153">
        <v>8165.2</v>
      </c>
      <c r="K23" s="153">
        <v>0</v>
      </c>
      <c r="L23" s="153">
        <v>0</v>
      </c>
      <c r="M23" s="153">
        <v>122.39999999999999</v>
      </c>
      <c r="N23" s="153">
        <v>0</v>
      </c>
      <c r="O23" s="153">
        <v>0</v>
      </c>
      <c r="P23" s="153">
        <v>0</v>
      </c>
      <c r="Q23" s="153">
        <v>0</v>
      </c>
      <c r="R23" s="153">
        <v>8287.6</v>
      </c>
    </row>
    <row r="24" spans="1:18" ht="12.75">
      <c r="A24" s="390" t="s">
        <v>50</v>
      </c>
      <c r="B24" s="390" t="s">
        <v>106</v>
      </c>
      <c r="C24" s="391" t="s">
        <v>113</v>
      </c>
      <c r="D24" s="392" t="s">
        <v>114</v>
      </c>
      <c r="E24" s="393" t="s">
        <v>35</v>
      </c>
      <c r="F24" s="393" t="s">
        <v>54</v>
      </c>
      <c r="G24" s="394" t="s">
        <v>115</v>
      </c>
      <c r="H24" s="394">
        <v>0</v>
      </c>
      <c r="I24" s="394">
        <v>0</v>
      </c>
      <c r="J24" s="394">
        <v>0</v>
      </c>
      <c r="K24" s="394">
        <v>0</v>
      </c>
      <c r="L24" s="394">
        <v>0</v>
      </c>
      <c r="M24" s="394">
        <v>0</v>
      </c>
      <c r="N24" s="394">
        <v>1840</v>
      </c>
      <c r="O24" s="394">
        <v>0</v>
      </c>
      <c r="P24" s="394">
        <v>0</v>
      </c>
      <c r="Q24" s="394">
        <v>262.39999999999998</v>
      </c>
      <c r="R24" s="394">
        <v>2102.4</v>
      </c>
    </row>
  </sheetData>
  <autoFilter ref="A5:R2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Q2"/>
    <mergeCell ref="D3:G3"/>
  </mergeCells>
  <conditionalFormatting sqref="D6:D24">
    <cfRule type="cellIs" dxfId="3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3" t="str">
        <f ca="1">IFERROR(__xludf.DUMMYFUNCTION("QUERY(REP_EST_TI!A5:Z1000,""SELECT A,B,C,D,E,F,G,P WHERE P&gt;0 label P 'SERVIDORES INTEGRAL'"")"),"Araguaina")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INTEGRAL")</f>
        <v>SERVIDORES INTEGRAL</v>
      </c>
      <c r="I1" s="275" t="str">
        <f t="array" ref="I1:I1000">IF(ROW(A1:A1000)=1,"ETAPA",IF(A1:A1000&lt;&gt;"","SERVIDORES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387"/>
      <c r="B1" s="363"/>
      <c r="C1" s="276" t="s">
        <v>141</v>
      </c>
      <c r="D1" s="277"/>
      <c r="E1" s="278"/>
      <c r="F1" s="278"/>
      <c r="G1" s="279"/>
      <c r="H1" s="280" t="s">
        <v>142</v>
      </c>
      <c r="I1" s="281">
        <f ca="1">SUBTOTAL(9,I3:I740)</f>
        <v>1137345.4000000004</v>
      </c>
    </row>
    <row r="2" spans="1:26" ht="68.25" customHeight="1">
      <c r="A2" s="175" t="s">
        <v>4</v>
      </c>
      <c r="B2" s="175" t="s">
        <v>5</v>
      </c>
      <c r="C2" s="282" t="str">
        <f ca="1">"UNIDADES EXECUTORAS = " &amp; COUNTA(C5:C410)</f>
        <v>UNIDADES EXECUTORAS = 104</v>
      </c>
      <c r="D2" s="282" t="s">
        <v>8</v>
      </c>
      <c r="E2" s="283" t="s">
        <v>0</v>
      </c>
      <c r="F2" s="283" t="s">
        <v>1</v>
      </c>
      <c r="G2" s="283" t="s">
        <v>2</v>
      </c>
      <c r="H2" s="284" t="s">
        <v>128</v>
      </c>
      <c r="I2" s="284" t="s">
        <v>129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286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Col1,Col2,Col4"")"),"Araguaina")</f>
        <v>Araguaina</v>
      </c>
      <c r="B3" s="287" t="str">
        <f ca="1">IFERROR(__xludf.DUMMYFUNCTION("""COMPUTED_VALUE"""),"Ananas")</f>
        <v>Ananas</v>
      </c>
      <c r="C3" s="287" t="str">
        <f ca="1">IFERROR(__xludf.DUMMYFUNCTION("""COMPUTED_VALUE"""),"ASSOC. DE APOIO DO CENTRO DE ENSINO MÉDIO CABO APARICIO ARAÚJO PAZ")</f>
        <v>ASSOC. DE APOIO DO CENTRO DE ENSINO MÉDIO CABO APARICIO ARAÚJO PAZ</v>
      </c>
      <c r="D3" s="288" t="str">
        <f ca="1">IFERROR(__xludf.DUMMYFUNCTION("""COMPUTED_VALUE"""),"05537116000188")</f>
        <v>05537116000188</v>
      </c>
      <c r="E3" s="288" t="str">
        <f ca="1">IFERROR(__xludf.DUMMYFUNCTION("""COMPUTED_VALUE"""),"001")</f>
        <v>001</v>
      </c>
      <c r="F3" s="288" t="str">
        <f ca="1">IFERROR(__xludf.DUMMYFUNCTION("""COMPUTED_VALUE"""),"3973")</f>
        <v>3973</v>
      </c>
      <c r="G3" s="287" t="str">
        <f ca="1">IFERROR(__xludf.DUMMYFUNCTION("""COMPUTED_VALUE"""),"114510")</f>
        <v>114510</v>
      </c>
      <c r="H3" s="287" t="str">
        <f ca="1">IFERROR(__xludf.DUMMYFUNCTION("""COMPUTED_VALUE"""),"ETAPA")</f>
        <v>ETAPA</v>
      </c>
      <c r="I3" s="287" t="str">
        <f ca="1">IFERROR(__xludf.DUMMYFUNCTION("""COMPUTED_VALUE"""),"FUND INTEGRAL")</f>
        <v>FUND INTEGRAL</v>
      </c>
    </row>
    <row r="4" spans="1:26" ht="20.25" customHeight="1">
      <c r="A4" s="177" t="str">
        <f ca="1">IFERROR(__xludf.DUMMYFUNCTION("""COMPUTED_VALUE"""),"Araguaina")</f>
        <v>Araguaina</v>
      </c>
      <c r="B4" s="177" t="str">
        <f ca="1">IFERROR(__xludf.DUMMYFUNCTION("""COMPUTED_VALUE"""),"Araguaina")</f>
        <v>Araguaina</v>
      </c>
      <c r="C4" s="176" t="str">
        <f ca="1">IFERROR(__xludf.DUMMYFUNCTION("""COMPUTED_VALUE"""),"A.A.  ESCOLA ESPIRITA ANDRE LUIZ")</f>
        <v>A.A.  ESCOLA ESPIRITA ANDRE LUIZ</v>
      </c>
      <c r="D4" s="178" t="str">
        <f ca="1">IFERROR(__xludf.DUMMYFUNCTION("""COMPUTED_VALUE"""),"01066416000175")</f>
        <v>01066416000175</v>
      </c>
      <c r="E4" s="178" t="str">
        <f ca="1">IFERROR(__xludf.DUMMYFUNCTION("""COMPUTED_VALUE"""),"001")</f>
        <v>001</v>
      </c>
      <c r="F4" s="178" t="str">
        <f ca="1">IFERROR(__xludf.DUMMYFUNCTION("""COMPUTED_VALUE"""),"0638")</f>
        <v>0638</v>
      </c>
      <c r="G4" s="177" t="str">
        <f ca="1">IFERROR(__xludf.DUMMYFUNCTION("""COMPUTED_VALUE"""),"463582")</f>
        <v>463582</v>
      </c>
      <c r="H4" s="176" t="str">
        <f ca="1">IFERROR(__xludf.DUMMYFUNCTION("""COMPUTED_VALUE"""),"FUND INTEGRAL")</f>
        <v>FUND INTEGRAL</v>
      </c>
      <c r="I4" s="179">
        <f ca="1">IFERROR(__xludf.DUMMYFUNCTION("""COMPUTED_VALUE"""),17248)</f>
        <v>17248</v>
      </c>
    </row>
    <row r="5" spans="1:26" ht="20.25" customHeight="1">
      <c r="A5" s="177" t="str">
        <f ca="1">IFERROR(__xludf.DUMMYFUNCTION("""COMPUTED_VALUE"""),"Araguaina")</f>
        <v>Araguaina</v>
      </c>
      <c r="B5" s="177" t="str">
        <f ca="1">IFERROR(__xludf.DUMMYFUNCTION("""COMPUTED_VALUE"""),"Araguaina")</f>
        <v>Araguaina</v>
      </c>
      <c r="C5" s="176" t="str">
        <f ca="1">IFERROR(__xludf.DUMMYFUNCTION("""COMPUTED_VALUE"""),"A.A.  ESCOLA ESPIRITA ANDRE LUIZ")</f>
        <v>A.A.  ESCOLA ESPIRITA ANDRE LUIZ</v>
      </c>
      <c r="D5" s="178" t="str">
        <f ca="1">IFERROR(__xludf.DUMMYFUNCTION("""COMPUTED_VALUE"""),"01066416000175")</f>
        <v>01066416000175</v>
      </c>
      <c r="E5" s="178" t="str">
        <f ca="1">IFERROR(__xludf.DUMMYFUNCTION("""COMPUTED_VALUE"""),"001")</f>
        <v>001</v>
      </c>
      <c r="F5" s="178" t="str">
        <f ca="1">IFERROR(__xludf.DUMMYFUNCTION("""COMPUTED_VALUE"""),"0638")</f>
        <v>0638</v>
      </c>
      <c r="G5" s="177" t="str">
        <f ca="1">IFERROR(__xludf.DUMMYFUNCTION("""COMPUTED_VALUE"""),"463582")</f>
        <v>463582</v>
      </c>
      <c r="H5" s="176" t="str">
        <f ca="1">IFERROR(__xludf.DUMMYFUNCTION("""COMPUTED_VALUE"""),"SERVIDORES INTEGRAL")</f>
        <v>SERVIDORES INTEGRAL</v>
      </c>
      <c r="I5" s="179">
        <f ca="1">IFERROR(__xludf.DUMMYFUNCTION("""COMPUTED_VALUE"""),1497)</f>
        <v>1497</v>
      </c>
    </row>
    <row r="6" spans="1:26" ht="20.25" customHeight="1">
      <c r="A6" s="177" t="str">
        <f ca="1">IFERROR(__xludf.DUMMYFUNCTION("""COMPUTED_VALUE"""),"Araguaina")</f>
        <v>Araguaina</v>
      </c>
      <c r="B6" s="177" t="str">
        <f ca="1">IFERROR(__xludf.DUMMYFUNCTION("""COMPUTED_VALUE"""),"Araguaina")</f>
        <v>Araguaina</v>
      </c>
      <c r="C6" s="176" t="str">
        <f ca="1">IFERROR(__xludf.DUMMYFUNCTION("""COMPUTED_VALUE"""),"A.A. DO CAIC JORGE HUMBERTO CAMARGO")</f>
        <v>A.A. DO CAIC JORGE HUMBERTO CAMARGO</v>
      </c>
      <c r="D6" s="178" t="str">
        <f ca="1">IFERROR(__xludf.DUMMYFUNCTION("""COMPUTED_VALUE"""),"01071395000186")</f>
        <v>01071395000186</v>
      </c>
      <c r="E6" s="178" t="str">
        <f ca="1">IFERROR(__xludf.DUMMYFUNCTION("""COMPUTED_VALUE"""),"001")</f>
        <v>001</v>
      </c>
      <c r="F6" s="178" t="str">
        <f ca="1">IFERROR(__xludf.DUMMYFUNCTION("""COMPUTED_VALUE"""),"0638")</f>
        <v>0638</v>
      </c>
      <c r="G6" s="177" t="str">
        <f ca="1">IFERROR(__xludf.DUMMYFUNCTION("""COMPUTED_VALUE"""),"55099X")</f>
        <v>55099X</v>
      </c>
      <c r="H6" s="176" t="str">
        <f ca="1">IFERROR(__xludf.DUMMYFUNCTION("""COMPUTED_VALUE"""),"FUND INTEGRAL")</f>
        <v>FUND INTEGRAL</v>
      </c>
      <c r="I6" s="179">
        <f ca="1">IFERROR(__xludf.DUMMYFUNCTION("""COMPUTED_VALUE"""),55272)</f>
        <v>55272</v>
      </c>
    </row>
    <row r="7" spans="1:26" ht="20.25" customHeight="1">
      <c r="A7" s="177" t="str">
        <f ca="1">IFERROR(__xludf.DUMMYFUNCTION("""COMPUTED_VALUE"""),"Araguaina")</f>
        <v>Araguaina</v>
      </c>
      <c r="B7" s="177" t="str">
        <f ca="1">IFERROR(__xludf.DUMMYFUNCTION("""COMPUTED_VALUE"""),"Araguaina")</f>
        <v>Araguaina</v>
      </c>
      <c r="C7" s="176" t="str">
        <f ca="1">IFERROR(__xludf.DUMMYFUNCTION("""COMPUTED_VALUE"""),"A.A. DO CAIC JORGE HUMBERTO CAMARGO")</f>
        <v>A.A. DO CAIC JORGE HUMBERTO CAMARGO</v>
      </c>
      <c r="D7" s="178" t="str">
        <f ca="1">IFERROR(__xludf.DUMMYFUNCTION("""COMPUTED_VALUE"""),"01071395000186")</f>
        <v>01071395000186</v>
      </c>
      <c r="E7" s="178" t="str">
        <f ca="1">IFERROR(__xludf.DUMMYFUNCTION("""COMPUTED_VALUE"""),"001")</f>
        <v>001</v>
      </c>
      <c r="F7" s="178" t="str">
        <f ca="1">IFERROR(__xludf.DUMMYFUNCTION("""COMPUTED_VALUE"""),"0638")</f>
        <v>0638</v>
      </c>
      <c r="G7" s="177" t="str">
        <f ca="1">IFERROR(__xludf.DUMMYFUNCTION("""COMPUTED_VALUE"""),"55099X")</f>
        <v>55099X</v>
      </c>
      <c r="H7" s="176" t="str">
        <f ca="1">IFERROR(__xludf.DUMMYFUNCTION("""COMPUTED_VALUE"""),"SERVIDORES INTEGRAL")</f>
        <v>SERVIDORES INTEGRAL</v>
      </c>
      <c r="I7" s="179">
        <f ca="1">IFERROR(__xludf.DUMMYFUNCTION("""COMPUTED_VALUE"""),4690.59999999999)</f>
        <v>4690.5999999999904</v>
      </c>
    </row>
    <row r="8" spans="1:26" ht="20.25" customHeight="1">
      <c r="A8" s="177" t="str">
        <f ca="1">IFERROR(__xludf.DUMMYFUNCTION("""COMPUTED_VALUE"""),"Araguaina")</f>
        <v>Araguaina</v>
      </c>
      <c r="B8" s="177" t="str">
        <f ca="1">IFERROR(__xludf.DUMMYFUNCTION("""COMPUTED_VALUE"""),"Araguaina")</f>
        <v>Araguaina</v>
      </c>
      <c r="C8" s="176" t="str">
        <f ca="1">IFERROR(__xludf.DUMMYFUNCTION("""COMPUTED_VALUE"""),"ASS. COM. COL EST. SANCHA FERREIRA")</f>
        <v>ASS. COM. COL EST. SANCHA FERREIRA</v>
      </c>
      <c r="D8" s="178" t="str">
        <f ca="1">IFERROR(__xludf.DUMMYFUNCTION("""COMPUTED_VALUE"""),"01338702000142")</f>
        <v>01338702000142</v>
      </c>
      <c r="E8" s="178" t="str">
        <f ca="1">IFERROR(__xludf.DUMMYFUNCTION("""COMPUTED_VALUE"""),"001")</f>
        <v>001</v>
      </c>
      <c r="F8" s="178" t="str">
        <f ca="1">IFERROR(__xludf.DUMMYFUNCTION("""COMPUTED_VALUE"""),"0638")</f>
        <v>0638</v>
      </c>
      <c r="G8" s="177" t="str">
        <f ca="1">IFERROR(__xludf.DUMMYFUNCTION("""COMPUTED_VALUE"""),"0466913")</f>
        <v>0466913</v>
      </c>
      <c r="H8" s="176" t="str">
        <f ca="1">IFERROR(__xludf.DUMMYFUNCTION("""COMPUTED_VALUE"""),"FUND INTEGRAL")</f>
        <v>FUND INTEGRAL</v>
      </c>
      <c r="I8" s="179">
        <f ca="1">IFERROR(__xludf.DUMMYFUNCTION("""COMPUTED_VALUE"""),15680)</f>
        <v>15680</v>
      </c>
    </row>
    <row r="9" spans="1:26" ht="20.25" customHeight="1">
      <c r="A9" s="177" t="str">
        <f ca="1">IFERROR(__xludf.DUMMYFUNCTION("""COMPUTED_VALUE"""),"Araguaina")</f>
        <v>Araguaina</v>
      </c>
      <c r="B9" s="177" t="str">
        <f ca="1">IFERROR(__xludf.DUMMYFUNCTION("""COMPUTED_VALUE"""),"Araguaina")</f>
        <v>Araguaina</v>
      </c>
      <c r="C9" s="176" t="str">
        <f ca="1">IFERROR(__xludf.DUMMYFUNCTION("""COMPUTED_VALUE"""),"ASS. COM. COL EST. SANCHA FERREIRA")</f>
        <v>ASS. COM. COL EST. SANCHA FERREIRA</v>
      </c>
      <c r="D9" s="178" t="str">
        <f ca="1">IFERROR(__xludf.DUMMYFUNCTION("""COMPUTED_VALUE"""),"01338702000142")</f>
        <v>01338702000142</v>
      </c>
      <c r="E9" s="178" t="str">
        <f ca="1">IFERROR(__xludf.DUMMYFUNCTION("""COMPUTED_VALUE"""),"001")</f>
        <v>001</v>
      </c>
      <c r="F9" s="178" t="str">
        <f ca="1">IFERROR(__xludf.DUMMYFUNCTION("""COMPUTED_VALUE"""),"0638")</f>
        <v>0638</v>
      </c>
      <c r="G9" s="177" t="str">
        <f ca="1">IFERROR(__xludf.DUMMYFUNCTION("""COMPUTED_VALUE"""),"0466913")</f>
        <v>0466913</v>
      </c>
      <c r="H9" s="176" t="str">
        <f ca="1">IFERROR(__xludf.DUMMYFUNCTION("""COMPUTED_VALUE"""),"SERVIDORES INTEGRAL")</f>
        <v>SERVIDORES INTEGRAL</v>
      </c>
      <c r="I9" s="179">
        <f ca="1">IFERROR(__xludf.DUMMYFUNCTION("""COMPUTED_VALUE"""),1297.39999999999)</f>
        <v>1297.3999999999901</v>
      </c>
    </row>
    <row r="10" spans="1:26" ht="20.25" customHeight="1">
      <c r="A10" s="177" t="str">
        <f ca="1">IFERROR(__xludf.DUMMYFUNCTION("""COMPUTED_VALUE"""),"Araguaina")</f>
        <v>Araguaina</v>
      </c>
      <c r="B10" s="177" t="str">
        <f ca="1">IFERROR(__xludf.DUMMYFUNCTION("""COMPUTED_VALUE"""),"Araguaina")</f>
        <v>Araguaina</v>
      </c>
      <c r="C10" s="176" t="str">
        <f ca="1">IFERROR(__xludf.DUMMYFUNCTION("""COMPUTED_VALUE"""),"A.A.ESCOLA TEMPO INTEGRAL JARDENIR JORGE FREDERICO")</f>
        <v>A.A.ESCOLA TEMPO INTEGRAL JARDENIR JORGE FREDERICO</v>
      </c>
      <c r="D10" s="178" t="str">
        <f ca="1">IFERROR(__xludf.DUMMYFUNCTION("""COMPUTED_VALUE"""),"43361835000180")</f>
        <v>43361835000180</v>
      </c>
      <c r="E10" s="178" t="str">
        <f ca="1">IFERROR(__xludf.DUMMYFUNCTION("""COMPUTED_VALUE"""),"001")</f>
        <v>001</v>
      </c>
      <c r="F10" s="178" t="str">
        <f ca="1">IFERROR(__xludf.DUMMYFUNCTION("""COMPUTED_VALUE"""),"4348")</f>
        <v>4348</v>
      </c>
      <c r="G10" s="177" t="str">
        <f ca="1">IFERROR(__xludf.DUMMYFUNCTION("""COMPUTED_VALUE"""),"434795")</f>
        <v>434795</v>
      </c>
      <c r="H10" s="176" t="str">
        <f ca="1">IFERROR(__xludf.DUMMYFUNCTION("""COMPUTED_VALUE"""),"FUND INTEGRAL")</f>
        <v>FUND INTEGRAL</v>
      </c>
      <c r="I10" s="179">
        <f ca="1">IFERROR(__xludf.DUMMYFUNCTION("""COMPUTED_VALUE"""),62798.4)</f>
        <v>62798.400000000001</v>
      </c>
    </row>
    <row r="11" spans="1:26" ht="20.25" customHeight="1">
      <c r="A11" s="177" t="str">
        <f ca="1">IFERROR(__xludf.DUMMYFUNCTION("""COMPUTED_VALUE"""),"Araguaina")</f>
        <v>Araguaina</v>
      </c>
      <c r="B11" s="177" t="str">
        <f ca="1">IFERROR(__xludf.DUMMYFUNCTION("""COMPUTED_VALUE"""),"Araguaina")</f>
        <v>Araguaina</v>
      </c>
      <c r="C11" s="176" t="str">
        <f ca="1">IFERROR(__xludf.DUMMYFUNCTION("""COMPUTED_VALUE"""),"A.A.ESCOLA TEMPO INTEGRAL JARDENIR JORGE FREDERICO")</f>
        <v>A.A.ESCOLA TEMPO INTEGRAL JARDENIR JORGE FREDERICO</v>
      </c>
      <c r="D11" s="178" t="str">
        <f ca="1">IFERROR(__xludf.DUMMYFUNCTION("""COMPUTED_VALUE"""),"43361835000180")</f>
        <v>43361835000180</v>
      </c>
      <c r="E11" s="178" t="str">
        <f ca="1">IFERROR(__xludf.DUMMYFUNCTION("""COMPUTED_VALUE"""),"001")</f>
        <v>001</v>
      </c>
      <c r="F11" s="178" t="str">
        <f ca="1">IFERROR(__xludf.DUMMYFUNCTION("""COMPUTED_VALUE"""),"4348")</f>
        <v>4348</v>
      </c>
      <c r="G11" s="177" t="str">
        <f ca="1">IFERROR(__xludf.DUMMYFUNCTION("""COMPUTED_VALUE"""),"434795")</f>
        <v>434795</v>
      </c>
      <c r="H11" s="176" t="str">
        <f ca="1">IFERROR(__xludf.DUMMYFUNCTION("""COMPUTED_VALUE"""),"SERVIDORES INTEGRAL")</f>
        <v>SERVIDORES INTEGRAL</v>
      </c>
      <c r="I11" s="179">
        <f ca="1">IFERROR(__xludf.DUMMYFUNCTION("""COMPUTED_VALUE"""),5289.4)</f>
        <v>5289.4</v>
      </c>
    </row>
    <row r="12" spans="1:26" ht="20.25" customHeight="1">
      <c r="A12" s="177" t="str">
        <f ca="1">IFERROR(__xludf.DUMMYFUNCTION("""COMPUTED_VALUE"""),"Araguaina")</f>
        <v>Araguaina</v>
      </c>
      <c r="B12" s="177" t="str">
        <f ca="1">IFERROR(__xludf.DUMMYFUNCTION("""COMPUTED_VALUE"""),"Araguaina")</f>
        <v>Araguaina</v>
      </c>
      <c r="C12" s="176" t="str">
        <f ca="1">IFERROR(__xludf.DUMMYFUNCTION("""COMPUTED_VALUE"""),"A.A. ESCOLA TEMPO INTEGRAL DOMINGOS DA CRUZ MACHADO")</f>
        <v>A.A. ESCOLA TEMPO INTEGRAL DOMINGOS DA CRUZ MACHADO</v>
      </c>
      <c r="D12" s="178" t="str">
        <f ca="1">IFERROR(__xludf.DUMMYFUNCTION("""COMPUTED_VALUE"""),"49868761000159")</f>
        <v>49868761000159</v>
      </c>
      <c r="E12" s="178" t="str">
        <f ca="1">IFERROR(__xludf.DUMMYFUNCTION("""COMPUTED_VALUE"""),"001")</f>
        <v>001</v>
      </c>
      <c r="F12" s="178" t="str">
        <f ca="1">IFERROR(__xludf.DUMMYFUNCTION("""COMPUTED_VALUE"""),"4348")</f>
        <v>4348</v>
      </c>
      <c r="G12" s="177" t="str">
        <f ca="1">IFERROR(__xludf.DUMMYFUNCTION("""COMPUTED_VALUE"""),"460192")</f>
        <v>460192</v>
      </c>
      <c r="H12" s="176" t="str">
        <f ca="1">IFERROR(__xludf.DUMMYFUNCTION("""COMPUTED_VALUE"""),"FUND INTEGRAL")</f>
        <v>FUND INTEGRAL</v>
      </c>
      <c r="I12" s="179">
        <f ca="1">IFERROR(__xludf.DUMMYFUNCTION("""COMPUTED_VALUE"""),32536)</f>
        <v>32536</v>
      </c>
    </row>
    <row r="13" spans="1:26" ht="20.25" customHeight="1">
      <c r="A13" s="177" t="str">
        <f ca="1">IFERROR(__xludf.DUMMYFUNCTION("""COMPUTED_VALUE"""),"Araguaina")</f>
        <v>Araguaina</v>
      </c>
      <c r="B13" s="177" t="str">
        <f ca="1">IFERROR(__xludf.DUMMYFUNCTION("""COMPUTED_VALUE"""),"Araguaina")</f>
        <v>Araguaina</v>
      </c>
      <c r="C13" s="176" t="str">
        <f ca="1">IFERROR(__xludf.DUMMYFUNCTION("""COMPUTED_VALUE"""),"A.A. ESCOLA TEMPO INTEGRAL DOMINGOS DA CRUZ MACHADO")</f>
        <v>A.A. ESCOLA TEMPO INTEGRAL DOMINGOS DA CRUZ MACHADO</v>
      </c>
      <c r="D13" s="178" t="str">
        <f ca="1">IFERROR(__xludf.DUMMYFUNCTION("""COMPUTED_VALUE"""),"49868761000159")</f>
        <v>49868761000159</v>
      </c>
      <c r="E13" s="178" t="str">
        <f ca="1">IFERROR(__xludf.DUMMYFUNCTION("""COMPUTED_VALUE"""),"001")</f>
        <v>001</v>
      </c>
      <c r="F13" s="178" t="str">
        <f ca="1">IFERROR(__xludf.DUMMYFUNCTION("""COMPUTED_VALUE"""),"4348")</f>
        <v>4348</v>
      </c>
      <c r="G13" s="177" t="str">
        <f ca="1">IFERROR(__xludf.DUMMYFUNCTION("""COMPUTED_VALUE"""),"460192")</f>
        <v>460192</v>
      </c>
      <c r="H13" s="176" t="str">
        <f ca="1">IFERROR(__xludf.DUMMYFUNCTION("""COMPUTED_VALUE"""),"ENS MEDIO INTEGRAL")</f>
        <v>ENS MEDIO INTEGRAL</v>
      </c>
      <c r="I13" s="179">
        <f ca="1">IFERROR(__xludf.DUMMYFUNCTION("""COMPUTED_VALUE"""),3214.4)</f>
        <v>3214.4</v>
      </c>
    </row>
    <row r="14" spans="1:26" ht="20.25" customHeight="1">
      <c r="A14" s="177" t="str">
        <f ca="1">IFERROR(__xludf.DUMMYFUNCTION("""COMPUTED_VALUE"""),"Araguaina")</f>
        <v>Araguaina</v>
      </c>
      <c r="B14" s="177" t="str">
        <f ca="1">IFERROR(__xludf.DUMMYFUNCTION("""COMPUTED_VALUE"""),"Araguaina")</f>
        <v>Araguaina</v>
      </c>
      <c r="C14" s="176" t="str">
        <f ca="1">IFERROR(__xludf.DUMMYFUNCTION("""COMPUTED_VALUE"""),"A.A. ESCOLA TEMPO INTEGRAL DOMINGOS DA CRUZ MACHADO")</f>
        <v>A.A. ESCOLA TEMPO INTEGRAL DOMINGOS DA CRUZ MACHADO</v>
      </c>
      <c r="D14" s="178" t="str">
        <f ca="1">IFERROR(__xludf.DUMMYFUNCTION("""COMPUTED_VALUE"""),"49868761000159")</f>
        <v>49868761000159</v>
      </c>
      <c r="E14" s="178" t="str">
        <f ca="1">IFERROR(__xludf.DUMMYFUNCTION("""COMPUTED_VALUE"""),"001")</f>
        <v>001</v>
      </c>
      <c r="F14" s="178" t="str">
        <f ca="1">IFERROR(__xludf.DUMMYFUNCTION("""COMPUTED_VALUE"""),"4348")</f>
        <v>4348</v>
      </c>
      <c r="G14" s="177" t="str">
        <f ca="1">IFERROR(__xludf.DUMMYFUNCTION("""COMPUTED_VALUE"""),"460192")</f>
        <v>460192</v>
      </c>
      <c r="H14" s="176" t="str">
        <f ca="1">IFERROR(__xludf.DUMMYFUNCTION("""COMPUTED_VALUE"""),"SERVIDORES INTEGRAL")</f>
        <v>SERVIDORES INTEGRAL</v>
      </c>
      <c r="I14" s="179">
        <f ca="1">IFERROR(__xludf.DUMMYFUNCTION("""COMPUTED_VALUE"""),2994)</f>
        <v>2994</v>
      </c>
    </row>
    <row r="15" spans="1:26" ht="20.25" customHeight="1">
      <c r="A15" s="177" t="str">
        <f ca="1">IFERROR(__xludf.DUMMYFUNCTION("""COMPUTED_VALUE"""),"Araguatins")</f>
        <v>Araguatins</v>
      </c>
      <c r="B15" s="177" t="str">
        <f ca="1">IFERROR(__xludf.DUMMYFUNCTION("""COMPUTED_VALUE"""),"Araguatins")</f>
        <v>Araguatins</v>
      </c>
      <c r="C15" s="176" t="str">
        <f ca="1">IFERROR(__xludf.DUMMYFUNCTION("""COMPUTED_VALUE"""),"A.A. ESC. ESTADUAL ALDINAR GONÇALVES DE CARVALHO")</f>
        <v>A.A. ESC. ESTADUAL ALDINAR GONÇALVES DE CARVALHO</v>
      </c>
      <c r="D15" s="178" t="str">
        <f ca="1">IFERROR(__xludf.DUMMYFUNCTION("""COMPUTED_VALUE"""),"09465471000140")</f>
        <v>09465471000140</v>
      </c>
      <c r="E15" s="178" t="str">
        <f ca="1">IFERROR(__xludf.DUMMYFUNCTION("""COMPUTED_VALUE"""),"001")</f>
        <v>001</v>
      </c>
      <c r="F15" s="178" t="str">
        <f ca="1">IFERROR(__xludf.DUMMYFUNCTION("""COMPUTED_VALUE"""),"1305")</f>
        <v>1305</v>
      </c>
      <c r="G15" s="177" t="str">
        <f ca="1">IFERROR(__xludf.DUMMYFUNCTION("""COMPUTED_VALUE"""),"196657")</f>
        <v>196657</v>
      </c>
      <c r="H15" s="176" t="str">
        <f ca="1">IFERROR(__xludf.DUMMYFUNCTION("""COMPUTED_VALUE"""),"FUND INTEGRAL")</f>
        <v>FUND INTEGRAL</v>
      </c>
      <c r="I15" s="179">
        <f ca="1">IFERROR(__xludf.DUMMYFUNCTION("""COMPUTED_VALUE"""),51116.8)</f>
        <v>51116.800000000003</v>
      </c>
    </row>
    <row r="16" spans="1:26" ht="20.25" customHeight="1">
      <c r="A16" s="177" t="str">
        <f ca="1">IFERROR(__xludf.DUMMYFUNCTION("""COMPUTED_VALUE"""),"Araguatins")</f>
        <v>Araguatins</v>
      </c>
      <c r="B16" s="177" t="str">
        <f ca="1">IFERROR(__xludf.DUMMYFUNCTION("""COMPUTED_VALUE"""),"Araguatins")</f>
        <v>Araguatins</v>
      </c>
      <c r="C16" s="176" t="str">
        <f ca="1">IFERROR(__xludf.DUMMYFUNCTION("""COMPUTED_VALUE"""),"A.A. ESC. ESTADUAL ALDINAR GONÇALVES DE CARVALHO")</f>
        <v>A.A. ESC. ESTADUAL ALDINAR GONÇALVES DE CARVALHO</v>
      </c>
      <c r="D16" s="178" t="str">
        <f ca="1">IFERROR(__xludf.DUMMYFUNCTION("""COMPUTED_VALUE"""),"09465471000140")</f>
        <v>09465471000140</v>
      </c>
      <c r="E16" s="178" t="str">
        <f ca="1">IFERROR(__xludf.DUMMYFUNCTION("""COMPUTED_VALUE"""),"001")</f>
        <v>001</v>
      </c>
      <c r="F16" s="178" t="str">
        <f ca="1">IFERROR(__xludf.DUMMYFUNCTION("""COMPUTED_VALUE"""),"1305")</f>
        <v>1305</v>
      </c>
      <c r="G16" s="177" t="str">
        <f ca="1">IFERROR(__xludf.DUMMYFUNCTION("""COMPUTED_VALUE"""),"196657")</f>
        <v>196657</v>
      </c>
      <c r="H16" s="176" t="str">
        <f ca="1">IFERROR(__xludf.DUMMYFUNCTION("""COMPUTED_VALUE"""),"ENS MEDIO INTEGRAL")</f>
        <v>ENS MEDIO INTEGRAL</v>
      </c>
      <c r="I16" s="179">
        <f ca="1">IFERROR(__xludf.DUMMYFUNCTION("""COMPUTED_VALUE"""),3920)</f>
        <v>3920</v>
      </c>
    </row>
    <row r="17" spans="1:9" ht="20.25" customHeight="1">
      <c r="A17" s="177" t="str">
        <f ca="1">IFERROR(__xludf.DUMMYFUNCTION("""COMPUTED_VALUE"""),"Araguatins")</f>
        <v>Araguatins</v>
      </c>
      <c r="B17" s="177" t="str">
        <f ca="1">IFERROR(__xludf.DUMMYFUNCTION("""COMPUTED_VALUE"""),"Araguatins")</f>
        <v>Araguatins</v>
      </c>
      <c r="C17" s="176" t="str">
        <f ca="1">IFERROR(__xludf.DUMMYFUNCTION("""COMPUTED_VALUE"""),"A.A. ESC. ESTADUAL ALDINAR GONÇALVES DE CARVALHO")</f>
        <v>A.A. ESC. ESTADUAL ALDINAR GONÇALVES DE CARVALHO</v>
      </c>
      <c r="D17" s="178" t="str">
        <f ca="1">IFERROR(__xludf.DUMMYFUNCTION("""COMPUTED_VALUE"""),"09465471000140")</f>
        <v>09465471000140</v>
      </c>
      <c r="E17" s="178" t="str">
        <f ca="1">IFERROR(__xludf.DUMMYFUNCTION("""COMPUTED_VALUE"""),"001")</f>
        <v>001</v>
      </c>
      <c r="F17" s="178" t="str">
        <f ca="1">IFERROR(__xludf.DUMMYFUNCTION("""COMPUTED_VALUE"""),"1305")</f>
        <v>1305</v>
      </c>
      <c r="G17" s="177" t="str">
        <f ca="1">IFERROR(__xludf.DUMMYFUNCTION("""COMPUTED_VALUE"""),"196657")</f>
        <v>196657</v>
      </c>
      <c r="H17" s="176" t="str">
        <f ca="1">IFERROR(__xludf.DUMMYFUNCTION("""COMPUTED_VALUE"""),"SERVIDORES INTEGRAL")</f>
        <v>SERVIDORES INTEGRAL</v>
      </c>
      <c r="I17" s="179">
        <f ca="1">IFERROR(__xludf.DUMMYFUNCTION("""COMPUTED_VALUE"""),4690.59999999999)</f>
        <v>4690.5999999999904</v>
      </c>
    </row>
    <row r="18" spans="1:9" ht="20.25" customHeight="1">
      <c r="A18" s="177" t="str">
        <f ca="1">IFERROR(__xludf.DUMMYFUNCTION("""COMPUTED_VALUE"""),"Araguatins")</f>
        <v>Araguatins</v>
      </c>
      <c r="B18" s="177" t="str">
        <f ca="1">IFERROR(__xludf.DUMMYFUNCTION("""COMPUTED_VALUE"""),"Augustinopolis")</f>
        <v>Augustinopolis</v>
      </c>
      <c r="C18" s="176" t="str">
        <f ca="1">IFERROR(__xludf.DUMMYFUNCTION("""COMPUTED_VALUE"""),"A.A. ESCOLA ESTADUAL AUGUSTINOPOLIS")</f>
        <v>A.A. ESCOLA ESTADUAL AUGUSTINOPOLIS</v>
      </c>
      <c r="D18" s="178" t="str">
        <f ca="1">IFERROR(__xludf.DUMMYFUNCTION("""COMPUTED_VALUE"""),"01133692000109")</f>
        <v>01133692000109</v>
      </c>
      <c r="E18" s="178" t="str">
        <f ca="1">IFERROR(__xludf.DUMMYFUNCTION("""COMPUTED_VALUE"""),"001")</f>
        <v>001</v>
      </c>
      <c r="F18" s="178" t="str">
        <f ca="1">IFERROR(__xludf.DUMMYFUNCTION("""COMPUTED_VALUE"""),"3975")</f>
        <v>3975</v>
      </c>
      <c r="G18" s="177" t="str">
        <f ca="1">IFERROR(__xludf.DUMMYFUNCTION("""COMPUTED_VALUE"""),"019151")</f>
        <v>019151</v>
      </c>
      <c r="H18" s="176" t="str">
        <f ca="1">IFERROR(__xludf.DUMMYFUNCTION("""COMPUTED_VALUE"""),"FUND INTEGRAL")</f>
        <v>FUND INTEGRAL</v>
      </c>
      <c r="I18" s="179">
        <f ca="1">IFERROR(__xludf.DUMMYFUNCTION("""COMPUTED_VALUE"""),25244.8)</f>
        <v>25244.799999999999</v>
      </c>
    </row>
    <row r="19" spans="1:9" ht="20.25" customHeight="1">
      <c r="A19" s="177" t="str">
        <f ca="1">IFERROR(__xludf.DUMMYFUNCTION("""COMPUTED_VALUE"""),"Araguatins")</f>
        <v>Araguatins</v>
      </c>
      <c r="B19" s="177" t="str">
        <f ca="1">IFERROR(__xludf.DUMMYFUNCTION("""COMPUTED_VALUE"""),"Augustinopolis")</f>
        <v>Augustinopolis</v>
      </c>
      <c r="C19" s="176" t="str">
        <f ca="1">IFERROR(__xludf.DUMMYFUNCTION("""COMPUTED_VALUE"""),"A.A. ESCOLA ESTADUAL AUGUSTINOPOLIS")</f>
        <v>A.A. ESCOLA ESTADUAL AUGUSTINOPOLIS</v>
      </c>
      <c r="D19" s="178" t="str">
        <f ca="1">IFERROR(__xludf.DUMMYFUNCTION("""COMPUTED_VALUE"""),"01133692000109")</f>
        <v>01133692000109</v>
      </c>
      <c r="E19" s="178" t="str">
        <f ca="1">IFERROR(__xludf.DUMMYFUNCTION("""COMPUTED_VALUE"""),"001")</f>
        <v>001</v>
      </c>
      <c r="F19" s="178" t="str">
        <f ca="1">IFERROR(__xludf.DUMMYFUNCTION("""COMPUTED_VALUE"""),"3975")</f>
        <v>3975</v>
      </c>
      <c r="G19" s="177" t="str">
        <f ca="1">IFERROR(__xludf.DUMMYFUNCTION("""COMPUTED_VALUE"""),"019151")</f>
        <v>019151</v>
      </c>
      <c r="H19" s="176" t="str">
        <f ca="1">IFERROR(__xludf.DUMMYFUNCTION("""COMPUTED_VALUE"""),"SERVIDORES INTEGRAL")</f>
        <v>SERVIDORES INTEGRAL</v>
      </c>
      <c r="I19" s="179">
        <f ca="1">IFERROR(__xludf.DUMMYFUNCTION("""COMPUTED_VALUE"""),2095.79999999999)</f>
        <v>2095.7999999999902</v>
      </c>
    </row>
    <row r="20" spans="1:9" ht="20.25" customHeight="1">
      <c r="A20" s="177" t="str">
        <f ca="1">IFERROR(__xludf.DUMMYFUNCTION("""COMPUTED_VALUE"""),"Araguatins")</f>
        <v>Araguatins</v>
      </c>
      <c r="B20" s="177" t="str">
        <f ca="1">IFERROR(__xludf.DUMMYFUNCTION("""COMPUTED_VALUE"""),"Esperantina")</f>
        <v>Esperantina</v>
      </c>
      <c r="C20" s="176" t="str">
        <f ca="1">IFERROR(__xludf.DUMMYFUNCTION("""COMPUTED_VALUE"""),"A.A. ESC. FAMÍLIA AGRÍCOLA DO BICO DO PAPAGAIO")</f>
        <v>A.A. ESC. FAMÍLIA AGRÍCOLA DO BICO DO PAPAGAIO</v>
      </c>
      <c r="D20" s="178" t="str">
        <f ca="1">IFERROR(__xludf.DUMMYFUNCTION("""COMPUTED_VALUE"""),"09500499000170")</f>
        <v>09500499000170</v>
      </c>
      <c r="E20" s="178" t="str">
        <f ca="1">IFERROR(__xludf.DUMMYFUNCTION("""COMPUTED_VALUE"""),"001")</f>
        <v>001</v>
      </c>
      <c r="F20" s="178" t="str">
        <f ca="1">IFERROR(__xludf.DUMMYFUNCTION("""COMPUTED_VALUE"""),"3975")</f>
        <v>3975</v>
      </c>
      <c r="G20" s="177" t="str">
        <f ca="1">IFERROR(__xludf.DUMMYFUNCTION("""COMPUTED_VALUE"""),"232653")</f>
        <v>232653</v>
      </c>
      <c r="H20" s="176" t="str">
        <f ca="1">IFERROR(__xludf.DUMMYFUNCTION("""COMPUTED_VALUE"""),"FUND INTEGRAL")</f>
        <v>FUND INTEGRAL</v>
      </c>
      <c r="I20" s="179">
        <f ca="1">IFERROR(__xludf.DUMMYFUNCTION("""COMPUTED_VALUE"""),6507.2)</f>
        <v>6507.2</v>
      </c>
    </row>
    <row r="21" spans="1:9" ht="20.25" customHeight="1">
      <c r="A21" s="177" t="str">
        <f ca="1">IFERROR(__xludf.DUMMYFUNCTION("""COMPUTED_VALUE"""),"Araguatins")</f>
        <v>Araguatins</v>
      </c>
      <c r="B21" s="177" t="str">
        <f ca="1">IFERROR(__xludf.DUMMYFUNCTION("""COMPUTED_VALUE"""),"Esperantina")</f>
        <v>Esperantina</v>
      </c>
      <c r="C21" s="176" t="str">
        <f ca="1">IFERROR(__xludf.DUMMYFUNCTION("""COMPUTED_VALUE"""),"A.A. ESC. FAMÍLIA AGRÍCOLA DO BICO DO PAPAGAIO")</f>
        <v>A.A. ESC. FAMÍLIA AGRÍCOLA DO BICO DO PAPAGAIO</v>
      </c>
      <c r="D21" s="178" t="str">
        <f ca="1">IFERROR(__xludf.DUMMYFUNCTION("""COMPUTED_VALUE"""),"09500499000170")</f>
        <v>09500499000170</v>
      </c>
      <c r="E21" s="178" t="str">
        <f ca="1">IFERROR(__xludf.DUMMYFUNCTION("""COMPUTED_VALUE"""),"001")</f>
        <v>001</v>
      </c>
      <c r="F21" s="178" t="str">
        <f ca="1">IFERROR(__xludf.DUMMYFUNCTION("""COMPUTED_VALUE"""),"3975")</f>
        <v>3975</v>
      </c>
      <c r="G21" s="177" t="str">
        <f ca="1">IFERROR(__xludf.DUMMYFUNCTION("""COMPUTED_VALUE"""),"232653")</f>
        <v>232653</v>
      </c>
      <c r="H21" s="176" t="str">
        <f ca="1">IFERROR(__xludf.DUMMYFUNCTION("""COMPUTED_VALUE"""),"ENS MEDIO INTEGRAL")</f>
        <v>ENS MEDIO INTEGRAL</v>
      </c>
      <c r="I21" s="179">
        <f ca="1">IFERROR(__xludf.DUMMYFUNCTION("""COMPUTED_VALUE"""),8388.8)</f>
        <v>8388.7999999999993</v>
      </c>
    </row>
    <row r="22" spans="1:9" ht="20.25" customHeight="1">
      <c r="A22" s="177" t="str">
        <f ca="1">IFERROR(__xludf.DUMMYFUNCTION("""COMPUTED_VALUE"""),"Araguatins")</f>
        <v>Araguatins</v>
      </c>
      <c r="B22" s="177" t="str">
        <f ca="1">IFERROR(__xludf.DUMMYFUNCTION("""COMPUTED_VALUE"""),"Esperantina")</f>
        <v>Esperantina</v>
      </c>
      <c r="C22" s="176" t="str">
        <f ca="1">IFERROR(__xludf.DUMMYFUNCTION("""COMPUTED_VALUE"""),"A.A. ESC. FAMÍLIA AGRÍCOLA DO BICO DO PAPAGAIO")</f>
        <v>A.A. ESC. FAMÍLIA AGRÍCOLA DO BICO DO PAPAGAIO</v>
      </c>
      <c r="D22" s="178" t="str">
        <f ca="1">IFERROR(__xludf.DUMMYFUNCTION("""COMPUTED_VALUE"""),"09500499000170")</f>
        <v>09500499000170</v>
      </c>
      <c r="E22" s="178" t="str">
        <f ca="1">IFERROR(__xludf.DUMMYFUNCTION("""COMPUTED_VALUE"""),"001")</f>
        <v>001</v>
      </c>
      <c r="F22" s="178" t="str">
        <f ca="1">IFERROR(__xludf.DUMMYFUNCTION("""COMPUTED_VALUE"""),"3975")</f>
        <v>3975</v>
      </c>
      <c r="G22" s="177" t="str">
        <f ca="1">IFERROR(__xludf.DUMMYFUNCTION("""COMPUTED_VALUE"""),"232653")</f>
        <v>232653</v>
      </c>
      <c r="H22" s="176" t="str">
        <f ca="1">IFERROR(__xludf.DUMMYFUNCTION("""COMPUTED_VALUE"""),"AGRICOLA")</f>
        <v>AGRICOLA</v>
      </c>
      <c r="I22" s="179">
        <f ca="1">IFERROR(__xludf.DUMMYFUNCTION("""COMPUTED_VALUE"""),28272)</f>
        <v>28272</v>
      </c>
    </row>
    <row r="23" spans="1:9" ht="20.25" customHeight="1">
      <c r="A23" s="177" t="str">
        <f ca="1">IFERROR(__xludf.DUMMYFUNCTION("""COMPUTED_VALUE"""),"Araguatins")</f>
        <v>Araguatins</v>
      </c>
      <c r="B23" s="177" t="str">
        <f ca="1">IFERROR(__xludf.DUMMYFUNCTION("""COMPUTED_VALUE"""),"Esperantina")</f>
        <v>Esperantina</v>
      </c>
      <c r="C23" s="176" t="str">
        <f ca="1">IFERROR(__xludf.DUMMYFUNCTION("""COMPUTED_VALUE"""),"A.A. ESC. FAMÍLIA AGRÍCOLA DO BICO DO PAPAGAIO")</f>
        <v>A.A. ESC. FAMÍLIA AGRÍCOLA DO BICO DO PAPAGAIO</v>
      </c>
      <c r="D23" s="178" t="str">
        <f ca="1">IFERROR(__xludf.DUMMYFUNCTION("""COMPUTED_VALUE"""),"09500499000170")</f>
        <v>09500499000170</v>
      </c>
      <c r="E23" s="178" t="str">
        <f ca="1">IFERROR(__xludf.DUMMYFUNCTION("""COMPUTED_VALUE"""),"001")</f>
        <v>001</v>
      </c>
      <c r="F23" s="178" t="str">
        <f ca="1">IFERROR(__xludf.DUMMYFUNCTION("""COMPUTED_VALUE"""),"3975")</f>
        <v>3975</v>
      </c>
      <c r="G23" s="177" t="str">
        <f ca="1">IFERROR(__xludf.DUMMYFUNCTION("""COMPUTED_VALUE"""),"232653")</f>
        <v>232653</v>
      </c>
      <c r="H23" s="176" t="str">
        <f ca="1">IFERROR(__xludf.DUMMYFUNCTION("""COMPUTED_VALUE"""),"SERVIDORES AGRICOLA")</f>
        <v>SERVIDORES AGRICOLA</v>
      </c>
      <c r="I23" s="179">
        <f ca="1">IFERROR(__xludf.DUMMYFUNCTION("""COMPUTED_VALUE"""),2212.6)</f>
        <v>2212.6</v>
      </c>
    </row>
    <row r="24" spans="1:9" ht="20.25" customHeight="1">
      <c r="A24" s="177" t="str">
        <f ca="1">IFERROR(__xludf.DUMMYFUNCTION("""COMPUTED_VALUE"""),"Arraias")</f>
        <v>Arraias</v>
      </c>
      <c r="B24" s="177" t="str">
        <f ca="1">IFERROR(__xludf.DUMMYFUNCTION("""COMPUTED_VALUE"""),"Arraias")</f>
        <v>Arraias</v>
      </c>
      <c r="C24" s="176" t="str">
        <f ca="1">IFERROR(__xludf.DUMMYFUNCTION("""COMPUTED_VALUE"""),"A.A. ESC. AGRÍCOLA DAVID AIRES FRANÇA")</f>
        <v>A.A. ESC. AGRÍCOLA DAVID AIRES FRANÇA</v>
      </c>
      <c r="D24" s="178" t="str">
        <f ca="1">IFERROR(__xludf.DUMMYFUNCTION("""COMPUTED_VALUE"""),"04302970000100")</f>
        <v>04302970000100</v>
      </c>
      <c r="E24" s="178" t="str">
        <f ca="1">IFERROR(__xludf.DUMMYFUNCTION("""COMPUTED_VALUE"""),"001")</f>
        <v>001</v>
      </c>
      <c r="F24" s="178" t="str">
        <f ca="1">IFERROR(__xludf.DUMMYFUNCTION("""COMPUTED_VALUE"""),"0541")</f>
        <v>0541</v>
      </c>
      <c r="G24" s="177" t="str">
        <f ca="1">IFERROR(__xludf.DUMMYFUNCTION("""COMPUTED_VALUE"""),"94811")</f>
        <v>94811</v>
      </c>
      <c r="H24" s="176" t="str">
        <f ca="1">IFERROR(__xludf.DUMMYFUNCTION("""COMPUTED_VALUE"""),"FUND INTEGRAL")</f>
        <v>FUND INTEGRAL</v>
      </c>
      <c r="I24" s="179">
        <f ca="1">IFERROR(__xludf.DUMMYFUNCTION("""COMPUTED_VALUE"""),3920)</f>
        <v>3920</v>
      </c>
    </row>
    <row r="25" spans="1:9" ht="20.25" customHeight="1">
      <c r="A25" s="177" t="str">
        <f ca="1">IFERROR(__xludf.DUMMYFUNCTION("""COMPUTED_VALUE"""),"Arraias")</f>
        <v>Arraias</v>
      </c>
      <c r="B25" s="177" t="str">
        <f ca="1">IFERROR(__xludf.DUMMYFUNCTION("""COMPUTED_VALUE"""),"Arraias")</f>
        <v>Arraias</v>
      </c>
      <c r="C25" s="176" t="str">
        <f ca="1">IFERROR(__xludf.DUMMYFUNCTION("""COMPUTED_VALUE"""),"A.A. ESC. AGRÍCOLA DAVID AIRES FRANÇA")</f>
        <v>A.A. ESC. AGRÍCOLA DAVID AIRES FRANÇA</v>
      </c>
      <c r="D25" s="178" t="str">
        <f ca="1">IFERROR(__xludf.DUMMYFUNCTION("""COMPUTED_VALUE"""),"04302970000100")</f>
        <v>04302970000100</v>
      </c>
      <c r="E25" s="178" t="str">
        <f ca="1">IFERROR(__xludf.DUMMYFUNCTION("""COMPUTED_VALUE"""),"001")</f>
        <v>001</v>
      </c>
      <c r="F25" s="178" t="str">
        <f ca="1">IFERROR(__xludf.DUMMYFUNCTION("""COMPUTED_VALUE"""),"0541")</f>
        <v>0541</v>
      </c>
      <c r="G25" s="177" t="str">
        <f ca="1">IFERROR(__xludf.DUMMYFUNCTION("""COMPUTED_VALUE"""),"94811")</f>
        <v>94811</v>
      </c>
      <c r="H25" s="176" t="str">
        <f ca="1">IFERROR(__xludf.DUMMYFUNCTION("""COMPUTED_VALUE"""),"AGRICOLA")</f>
        <v>AGRICOLA</v>
      </c>
      <c r="I25" s="179">
        <f ca="1">IFERROR(__xludf.DUMMYFUNCTION("""COMPUTED_VALUE"""),11308.8)</f>
        <v>11308.8</v>
      </c>
    </row>
    <row r="26" spans="1:9" ht="20.25" customHeight="1">
      <c r="A26" s="177" t="str">
        <f ca="1">IFERROR(__xludf.DUMMYFUNCTION("""COMPUTED_VALUE"""),"Arraias")</f>
        <v>Arraias</v>
      </c>
      <c r="B26" s="177" t="str">
        <f ca="1">IFERROR(__xludf.DUMMYFUNCTION("""COMPUTED_VALUE"""),"Arraias")</f>
        <v>Arraias</v>
      </c>
      <c r="C26" s="176" t="str">
        <f ca="1">IFERROR(__xludf.DUMMYFUNCTION("""COMPUTED_VALUE"""),"A.A. ESC. AGRÍCOLA DAVID AIRES FRANÇA")</f>
        <v>A.A. ESC. AGRÍCOLA DAVID AIRES FRANÇA</v>
      </c>
      <c r="D26" s="178" t="str">
        <f ca="1">IFERROR(__xludf.DUMMYFUNCTION("""COMPUTED_VALUE"""),"04302970000100")</f>
        <v>04302970000100</v>
      </c>
      <c r="E26" s="178" t="str">
        <f ca="1">IFERROR(__xludf.DUMMYFUNCTION("""COMPUTED_VALUE"""),"001")</f>
        <v>001</v>
      </c>
      <c r="F26" s="178" t="str">
        <f ca="1">IFERROR(__xludf.DUMMYFUNCTION("""COMPUTED_VALUE"""),"0541")</f>
        <v>0541</v>
      </c>
      <c r="G26" s="177" t="str">
        <f ca="1">IFERROR(__xludf.DUMMYFUNCTION("""COMPUTED_VALUE"""),"94811")</f>
        <v>94811</v>
      </c>
      <c r="H26" s="176" t="str">
        <f ca="1">IFERROR(__xludf.DUMMYFUNCTION("""COMPUTED_VALUE"""),"SERVIDORES INTERNATO")</f>
        <v>SERVIDORES INTERNATO</v>
      </c>
      <c r="I26" s="179">
        <f ca="1">IFERROR(__xludf.DUMMYFUNCTION("""COMPUTED_VALUE"""),1582.4)</f>
        <v>1582.4</v>
      </c>
    </row>
    <row r="27" spans="1:9" ht="20.25" customHeight="1">
      <c r="A27" s="177" t="str">
        <f ca="1">IFERROR(__xludf.DUMMYFUNCTION("""COMPUTED_VALUE"""),"Arraias")</f>
        <v>Arraias</v>
      </c>
      <c r="B27" s="177" t="str">
        <f ca="1">IFERROR(__xludf.DUMMYFUNCTION("""COMPUTED_VALUE"""),"Arraias")</f>
        <v>Arraias</v>
      </c>
      <c r="C27" s="176" t="str">
        <f ca="1">IFERROR(__xludf.DUMMYFUNCTION("""COMPUTED_VALUE"""),"A.A. ESC. AGRÍCOLA DAVID AIRES FRANÇA")</f>
        <v>A.A. ESC. AGRÍCOLA DAVID AIRES FRANÇA</v>
      </c>
      <c r="D27" s="178" t="str">
        <f ca="1">IFERROR(__xludf.DUMMYFUNCTION("""COMPUTED_VALUE"""),"04302970000100")</f>
        <v>04302970000100</v>
      </c>
      <c r="E27" s="178" t="str">
        <f ca="1">IFERROR(__xludf.DUMMYFUNCTION("""COMPUTED_VALUE"""),"001")</f>
        <v>001</v>
      </c>
      <c r="F27" s="178" t="str">
        <f ca="1">IFERROR(__xludf.DUMMYFUNCTION("""COMPUTED_VALUE"""),"0541")</f>
        <v>0541</v>
      </c>
      <c r="G27" s="177" t="str">
        <f ca="1">IFERROR(__xludf.DUMMYFUNCTION("""COMPUTED_VALUE"""),"94811")</f>
        <v>94811</v>
      </c>
      <c r="H27" s="176" t="str">
        <f ca="1">IFERROR(__xludf.DUMMYFUNCTION("""COMPUTED_VALUE"""),"SERVIDORES AGRICOLA")</f>
        <v>SERVIDORES AGRICOLA</v>
      </c>
      <c r="I27" s="179">
        <f ca="1">IFERROR(__xludf.DUMMYFUNCTION("""COMPUTED_VALUE"""),851)</f>
        <v>851</v>
      </c>
    </row>
    <row r="28" spans="1:9" ht="20.25" customHeight="1">
      <c r="A28" s="177" t="str">
        <f ca="1">IFERROR(__xludf.DUMMYFUNCTION("""COMPUTED_VALUE"""),"Arraias")</f>
        <v>Arraias</v>
      </c>
      <c r="B28" s="177" t="str">
        <f ca="1">IFERROR(__xludf.DUMMYFUNCTION("""COMPUTED_VALUE"""),"Combinado")</f>
        <v>Combinado</v>
      </c>
      <c r="C28" s="176" t="str">
        <f ca="1">IFERROR(__xludf.DUMMYFUNCTION("""COMPUTED_VALUE"""),"A.A. DA ESCOLA ESTADUAL COMBINADO")</f>
        <v>A.A. DA ESCOLA ESTADUAL COMBINADO</v>
      </c>
      <c r="D28" s="178" t="str">
        <f ca="1">IFERROR(__xludf.DUMMYFUNCTION("""COMPUTED_VALUE"""),"01136003000110")</f>
        <v>01136003000110</v>
      </c>
      <c r="E28" s="178" t="str">
        <f ca="1">IFERROR(__xludf.DUMMYFUNCTION("""COMPUTED_VALUE"""),"001")</f>
        <v>001</v>
      </c>
      <c r="F28" s="178" t="str">
        <f ca="1">IFERROR(__xludf.DUMMYFUNCTION("""COMPUTED_VALUE"""),"3977")</f>
        <v>3977</v>
      </c>
      <c r="G28" s="177" t="str">
        <f ca="1">IFERROR(__xludf.DUMMYFUNCTION("""COMPUTED_VALUE"""),"231940")</f>
        <v>231940</v>
      </c>
      <c r="H28" s="176" t="str">
        <f ca="1">IFERROR(__xludf.DUMMYFUNCTION("""COMPUTED_VALUE"""),"FUND INTEGRAL")</f>
        <v>FUND INTEGRAL</v>
      </c>
      <c r="I28" s="179">
        <f ca="1">IFERROR(__xludf.DUMMYFUNCTION("""COMPUTED_VALUE"""),15131.2)</f>
        <v>15131.2</v>
      </c>
    </row>
    <row r="29" spans="1:9" ht="20.25" customHeight="1">
      <c r="A29" s="177" t="str">
        <f ca="1">IFERROR(__xludf.DUMMYFUNCTION("""COMPUTED_VALUE"""),"Arraias")</f>
        <v>Arraias</v>
      </c>
      <c r="B29" s="177" t="str">
        <f ca="1">IFERROR(__xludf.DUMMYFUNCTION("""COMPUTED_VALUE"""),"Combinado")</f>
        <v>Combinado</v>
      </c>
      <c r="C29" s="176" t="str">
        <f ca="1">IFERROR(__xludf.DUMMYFUNCTION("""COMPUTED_VALUE"""),"A.A. DA ESCOLA ESTADUAL COMBINADO")</f>
        <v>A.A. DA ESCOLA ESTADUAL COMBINADO</v>
      </c>
      <c r="D29" s="178" t="str">
        <f ca="1">IFERROR(__xludf.DUMMYFUNCTION("""COMPUTED_VALUE"""),"01136003000110")</f>
        <v>01136003000110</v>
      </c>
      <c r="E29" s="178" t="str">
        <f ca="1">IFERROR(__xludf.DUMMYFUNCTION("""COMPUTED_VALUE"""),"001")</f>
        <v>001</v>
      </c>
      <c r="F29" s="178" t="str">
        <f ca="1">IFERROR(__xludf.DUMMYFUNCTION("""COMPUTED_VALUE"""),"3977")</f>
        <v>3977</v>
      </c>
      <c r="G29" s="177" t="str">
        <f ca="1">IFERROR(__xludf.DUMMYFUNCTION("""COMPUTED_VALUE"""),"231940")</f>
        <v>231940</v>
      </c>
      <c r="H29" s="176" t="str">
        <f ca="1">IFERROR(__xludf.DUMMYFUNCTION("""COMPUTED_VALUE"""),"SERVIDORES INTEGRAL")</f>
        <v>SERVIDORES INTEGRAL</v>
      </c>
      <c r="I29" s="179">
        <f ca="1">IFERROR(__xludf.DUMMYFUNCTION("""COMPUTED_VALUE"""),1297.39999999999)</f>
        <v>1297.3999999999901</v>
      </c>
    </row>
    <row r="30" spans="1:9" ht="20.25" customHeight="1">
      <c r="A30" s="177" t="str">
        <f ca="1">IFERROR(__xludf.DUMMYFUNCTION("""COMPUTED_VALUE"""),"Colinas")</f>
        <v>Colinas</v>
      </c>
      <c r="B30" s="177" t="str">
        <f ca="1">IFERROR(__xludf.DUMMYFUNCTION("""COMPUTED_VALUE"""),"Colinas do Tocantins")</f>
        <v>Colinas do Tocantins</v>
      </c>
      <c r="C30" s="176" t="str">
        <f ca="1">IFERROR(__xludf.DUMMYFUNCTION("""COMPUTED_VALUE"""),"A.A. ESCOLA ESTADUAL ERNESTO BARROS")</f>
        <v>A.A. ESCOLA ESTADUAL ERNESTO BARROS</v>
      </c>
      <c r="D30" s="178" t="str">
        <f ca="1">IFERROR(__xludf.DUMMYFUNCTION("""COMPUTED_VALUE"""),"01064857000138")</f>
        <v>01064857000138</v>
      </c>
      <c r="E30" s="178" t="str">
        <f ca="1">IFERROR(__xludf.DUMMYFUNCTION("""COMPUTED_VALUE"""),"001")</f>
        <v>001</v>
      </c>
      <c r="F30" s="178" t="str">
        <f ca="1">IFERROR(__xludf.DUMMYFUNCTION("""COMPUTED_VALUE"""),"0911")</f>
        <v>0911</v>
      </c>
      <c r="G30" s="177" t="str">
        <f ca="1">IFERROR(__xludf.DUMMYFUNCTION("""COMPUTED_VALUE"""),"0368571")</f>
        <v>0368571</v>
      </c>
      <c r="H30" s="176" t="str">
        <f ca="1">IFERROR(__xludf.DUMMYFUNCTION("""COMPUTED_VALUE"""),"FUND INTEGRAL")</f>
        <v>FUND INTEGRAL</v>
      </c>
      <c r="I30" s="179">
        <f ca="1">IFERROR(__xludf.DUMMYFUNCTION("""COMPUTED_VALUE"""),23441.6)</f>
        <v>23441.599999999999</v>
      </c>
    </row>
    <row r="31" spans="1:9" ht="20.25" customHeight="1">
      <c r="A31" s="177" t="str">
        <f ca="1">IFERROR(__xludf.DUMMYFUNCTION("""COMPUTED_VALUE"""),"Colinas")</f>
        <v>Colinas</v>
      </c>
      <c r="B31" s="177" t="str">
        <f ca="1">IFERROR(__xludf.DUMMYFUNCTION("""COMPUTED_VALUE"""),"Colinas do Tocantins")</f>
        <v>Colinas do Tocantins</v>
      </c>
      <c r="C31" s="176" t="str">
        <f ca="1">IFERROR(__xludf.DUMMYFUNCTION("""COMPUTED_VALUE"""),"A.A. ESCOLA ESTADUAL ERNESTO BARROS")</f>
        <v>A.A. ESCOLA ESTADUAL ERNESTO BARROS</v>
      </c>
      <c r="D31" s="178" t="str">
        <f ca="1">IFERROR(__xludf.DUMMYFUNCTION("""COMPUTED_VALUE"""),"01064857000138")</f>
        <v>01064857000138</v>
      </c>
      <c r="E31" s="178" t="str">
        <f ca="1">IFERROR(__xludf.DUMMYFUNCTION("""COMPUTED_VALUE"""),"001")</f>
        <v>001</v>
      </c>
      <c r="F31" s="178" t="str">
        <f ca="1">IFERROR(__xludf.DUMMYFUNCTION("""COMPUTED_VALUE"""),"0911")</f>
        <v>0911</v>
      </c>
      <c r="G31" s="177" t="str">
        <f ca="1">IFERROR(__xludf.DUMMYFUNCTION("""COMPUTED_VALUE"""),"0368571")</f>
        <v>0368571</v>
      </c>
      <c r="H31" s="176" t="str">
        <f ca="1">IFERROR(__xludf.DUMMYFUNCTION("""COMPUTED_VALUE"""),"SERVIDORES INTEGRAL")</f>
        <v>SERVIDORES INTEGRAL</v>
      </c>
      <c r="I31" s="179">
        <f ca="1">IFERROR(__xludf.DUMMYFUNCTION("""COMPUTED_VALUE"""),1996)</f>
        <v>1996</v>
      </c>
    </row>
    <row r="32" spans="1:9" ht="20.25" customHeight="1">
      <c r="A32" s="177" t="str">
        <f ca="1">IFERROR(__xludf.DUMMYFUNCTION("""COMPUTED_VALUE"""),"Colinas")</f>
        <v>Colinas</v>
      </c>
      <c r="B32" s="177" t="str">
        <f ca="1">IFERROR(__xludf.DUMMYFUNCTION("""COMPUTED_VALUE"""),"Colinas do Tocantins")</f>
        <v>Colinas do Tocantins</v>
      </c>
      <c r="C32" s="176" t="str">
        <f ca="1">IFERROR(__xludf.DUMMYFUNCTION("""COMPUTED_VALUE"""),"A.A. E. E. LACERDINO OLIVEIRA CAMPOS")</f>
        <v>A.A. E. E. LACERDINO OLIVEIRA CAMPOS</v>
      </c>
      <c r="D32" s="178" t="str">
        <f ca="1">IFERROR(__xludf.DUMMYFUNCTION("""COMPUTED_VALUE"""),"01077439000185")</f>
        <v>01077439000185</v>
      </c>
      <c r="E32" s="178" t="str">
        <f ca="1">IFERROR(__xludf.DUMMYFUNCTION("""COMPUTED_VALUE"""),"001")</f>
        <v>001</v>
      </c>
      <c r="F32" s="178" t="str">
        <f ca="1">IFERROR(__xludf.DUMMYFUNCTION("""COMPUTED_VALUE"""),"0911")</f>
        <v>0911</v>
      </c>
      <c r="G32" s="177" t="str">
        <f ca="1">IFERROR(__xludf.DUMMYFUNCTION("""COMPUTED_VALUE"""),"368741")</f>
        <v>368741</v>
      </c>
      <c r="H32" s="176" t="str">
        <f ca="1">IFERROR(__xludf.DUMMYFUNCTION("""COMPUTED_VALUE"""),"FUND INTEGRAL")</f>
        <v>FUND INTEGRAL</v>
      </c>
      <c r="I32" s="179">
        <f ca="1">IFERROR(__xludf.DUMMYFUNCTION("""COMPUTED_VALUE"""),17561.6)</f>
        <v>17561.599999999999</v>
      </c>
    </row>
    <row r="33" spans="1:9" ht="20.25" customHeight="1">
      <c r="A33" s="177" t="str">
        <f ca="1">IFERROR(__xludf.DUMMYFUNCTION("""COMPUTED_VALUE"""),"Colinas")</f>
        <v>Colinas</v>
      </c>
      <c r="B33" s="177" t="str">
        <f ca="1">IFERROR(__xludf.DUMMYFUNCTION("""COMPUTED_VALUE"""),"Colinas do Tocantins")</f>
        <v>Colinas do Tocantins</v>
      </c>
      <c r="C33" s="176" t="str">
        <f ca="1">IFERROR(__xludf.DUMMYFUNCTION("""COMPUTED_VALUE"""),"A.A. E. E. LACERDINO OLIVEIRA CAMPOS")</f>
        <v>A.A. E. E. LACERDINO OLIVEIRA CAMPOS</v>
      </c>
      <c r="D33" s="178" t="str">
        <f ca="1">IFERROR(__xludf.DUMMYFUNCTION("""COMPUTED_VALUE"""),"01077439000185")</f>
        <v>01077439000185</v>
      </c>
      <c r="E33" s="178" t="str">
        <f ca="1">IFERROR(__xludf.DUMMYFUNCTION("""COMPUTED_VALUE"""),"001")</f>
        <v>001</v>
      </c>
      <c r="F33" s="178" t="str">
        <f ca="1">IFERROR(__xludf.DUMMYFUNCTION("""COMPUTED_VALUE"""),"0911")</f>
        <v>0911</v>
      </c>
      <c r="G33" s="177" t="str">
        <f ca="1">IFERROR(__xludf.DUMMYFUNCTION("""COMPUTED_VALUE"""),"368741")</f>
        <v>368741</v>
      </c>
      <c r="H33" s="176" t="str">
        <f ca="1">IFERROR(__xludf.DUMMYFUNCTION("""COMPUTED_VALUE"""),"SERVIDORES INTEGRAL")</f>
        <v>SERVIDORES INTEGRAL</v>
      </c>
      <c r="I33" s="179">
        <f ca="1">IFERROR(__xludf.DUMMYFUNCTION("""COMPUTED_VALUE"""),1497)</f>
        <v>1497</v>
      </c>
    </row>
    <row r="34" spans="1:9" ht="20.25" customHeight="1">
      <c r="A34" s="177" t="str">
        <f ca="1">IFERROR(__xludf.DUMMYFUNCTION("""COMPUTED_VALUE"""),"Colinas")</f>
        <v>Colinas</v>
      </c>
      <c r="B34" s="177" t="str">
        <f ca="1">IFERROR(__xludf.DUMMYFUNCTION("""COMPUTED_VALUE"""),"Colinas do Tocantins")</f>
        <v>Colinas do Tocantins</v>
      </c>
      <c r="C34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4" s="178" t="str">
        <f ca="1">IFERROR(__xludf.DUMMYFUNCTION("""COMPUTED_VALUE"""),"03421784000110")</f>
        <v>03421784000110</v>
      </c>
      <c r="E34" s="178" t="str">
        <f ca="1">IFERROR(__xludf.DUMMYFUNCTION("""COMPUTED_VALUE"""),"001")</f>
        <v>001</v>
      </c>
      <c r="F34" s="178" t="str">
        <f ca="1">IFERROR(__xludf.DUMMYFUNCTION("""COMPUTED_VALUE"""),"0911")</f>
        <v>0911</v>
      </c>
      <c r="G34" s="177" t="str">
        <f ca="1">IFERROR(__xludf.DUMMYFUNCTION("""COMPUTED_VALUE"""),"199672")</f>
        <v>199672</v>
      </c>
      <c r="H34" s="176" t="str">
        <f ca="1">IFERROR(__xludf.DUMMYFUNCTION("""COMPUTED_VALUE"""),"ENS MEDIO INTEGRAL")</f>
        <v>ENS MEDIO INTEGRAL</v>
      </c>
      <c r="I34" s="179">
        <f ca="1">IFERROR(__xludf.DUMMYFUNCTION("""COMPUTED_VALUE"""),16150.4)</f>
        <v>16150.4</v>
      </c>
    </row>
    <row r="35" spans="1:9" ht="20.25" customHeight="1">
      <c r="A35" s="177" t="str">
        <f ca="1">IFERROR(__xludf.DUMMYFUNCTION("""COMPUTED_VALUE"""),"Colinas")</f>
        <v>Colinas</v>
      </c>
      <c r="B35" s="177" t="str">
        <f ca="1">IFERROR(__xludf.DUMMYFUNCTION("""COMPUTED_VALUE"""),"Colinas do Tocantins")</f>
        <v>Colinas do Tocantins</v>
      </c>
      <c r="C35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5" s="178" t="str">
        <f ca="1">IFERROR(__xludf.DUMMYFUNCTION("""COMPUTED_VALUE"""),"03421784000110")</f>
        <v>03421784000110</v>
      </c>
      <c r="E35" s="178" t="str">
        <f ca="1">IFERROR(__xludf.DUMMYFUNCTION("""COMPUTED_VALUE"""),"001")</f>
        <v>001</v>
      </c>
      <c r="F35" s="178" t="str">
        <f ca="1">IFERROR(__xludf.DUMMYFUNCTION("""COMPUTED_VALUE"""),"0911")</f>
        <v>0911</v>
      </c>
      <c r="G35" s="177" t="str">
        <f ca="1">IFERROR(__xludf.DUMMYFUNCTION("""COMPUTED_VALUE"""),"199672")</f>
        <v>199672</v>
      </c>
      <c r="H35" s="176" t="str">
        <f ca="1">IFERROR(__xludf.DUMMYFUNCTION("""COMPUTED_VALUE"""),"AGRICOLA")</f>
        <v>AGRICOLA</v>
      </c>
      <c r="I35" s="179">
        <f ca="1">IFERROR(__xludf.DUMMYFUNCTION("""COMPUTED_VALUE"""),30652.8)</f>
        <v>30652.799999999999</v>
      </c>
    </row>
    <row r="36" spans="1:9" ht="20.25" customHeight="1">
      <c r="A36" s="177" t="str">
        <f ca="1">IFERROR(__xludf.DUMMYFUNCTION("""COMPUTED_VALUE"""),"Colinas")</f>
        <v>Colinas</v>
      </c>
      <c r="B36" s="177" t="str">
        <f ca="1">IFERROR(__xludf.DUMMYFUNCTION("""COMPUTED_VALUE"""),"Colinas do Tocantins")</f>
        <v>Colinas do Tocantins</v>
      </c>
      <c r="C36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6" s="178" t="str">
        <f ca="1">IFERROR(__xludf.DUMMYFUNCTION("""COMPUTED_VALUE"""),"03421784000110")</f>
        <v>03421784000110</v>
      </c>
      <c r="E36" s="178" t="str">
        <f ca="1">IFERROR(__xludf.DUMMYFUNCTION("""COMPUTED_VALUE"""),"001")</f>
        <v>001</v>
      </c>
      <c r="F36" s="178" t="str">
        <f ca="1">IFERROR(__xludf.DUMMYFUNCTION("""COMPUTED_VALUE"""),"0911")</f>
        <v>0911</v>
      </c>
      <c r="G36" s="177" t="str">
        <f ca="1">IFERROR(__xludf.DUMMYFUNCTION("""COMPUTED_VALUE"""),"199672")</f>
        <v>199672</v>
      </c>
      <c r="H36" s="176" t="str">
        <f ca="1">IFERROR(__xludf.DUMMYFUNCTION("""COMPUTED_VALUE"""),"SERVIDORES AGRICOLA")</f>
        <v>SERVIDORES AGRICOLA</v>
      </c>
      <c r="I36" s="179">
        <f ca="1">IFERROR(__xludf.DUMMYFUNCTION("""COMPUTED_VALUE"""),2382.79999999999)</f>
        <v>2382.7999999999902</v>
      </c>
    </row>
    <row r="37" spans="1:9" ht="20.25" customHeight="1">
      <c r="A37" s="177" t="str">
        <f ca="1">IFERROR(__xludf.DUMMYFUNCTION("""COMPUTED_VALUE"""),"Dianópolis")</f>
        <v>Dianópolis</v>
      </c>
      <c r="B37" s="177" t="str">
        <f ca="1">IFERROR(__xludf.DUMMYFUNCTION("""COMPUTED_VALUE"""),"Almas")</f>
        <v>Almas</v>
      </c>
      <c r="C37" s="176" t="str">
        <f ca="1">IFERROR(__xludf.DUMMYFUNCTION("""COMPUTED_VALUE"""),"A.A.  ESC. ESTADUAL DEOCLIDES MUNIZ")</f>
        <v>A.A.  ESC. ESTADUAL DEOCLIDES MUNIZ</v>
      </c>
      <c r="D37" s="178" t="str">
        <f ca="1">IFERROR(__xludf.DUMMYFUNCTION("""COMPUTED_VALUE"""),"01143807000146")</f>
        <v>01143807000146</v>
      </c>
      <c r="E37" s="178" t="str">
        <f ca="1">IFERROR(__xludf.DUMMYFUNCTION("""COMPUTED_VALUE"""),"001")</f>
        <v>001</v>
      </c>
      <c r="F37" s="178" t="str">
        <f ca="1">IFERROR(__xludf.DUMMYFUNCTION("""COMPUTED_VALUE"""),"1307")</f>
        <v>1307</v>
      </c>
      <c r="G37" s="177" t="str">
        <f ca="1">IFERROR(__xludf.DUMMYFUNCTION("""COMPUTED_VALUE"""),"107786")</f>
        <v>107786</v>
      </c>
      <c r="H37" s="176" t="str">
        <f ca="1">IFERROR(__xludf.DUMMYFUNCTION("""COMPUTED_VALUE"""),"SERVIDORES INTEGRAL")</f>
        <v>SERVIDORES INTEGRAL</v>
      </c>
      <c r="I37" s="179">
        <f ca="1">IFERROR(__xludf.DUMMYFUNCTION("""COMPUTED_VALUE"""),1397.2)</f>
        <v>1397.2</v>
      </c>
    </row>
    <row r="38" spans="1:9" ht="20.25" customHeight="1">
      <c r="A38" s="177" t="str">
        <f ca="1">IFERROR(__xludf.DUMMYFUNCTION("""COMPUTED_VALUE"""),"Dianópolis")</f>
        <v>Dianópolis</v>
      </c>
      <c r="B38" s="177" t="str">
        <f ca="1">IFERROR(__xludf.DUMMYFUNCTION("""COMPUTED_VALUE"""),"Almas")</f>
        <v>Almas</v>
      </c>
      <c r="C38" s="176" t="str">
        <f ca="1">IFERROR(__xludf.DUMMYFUNCTION("""COMPUTED_VALUE"""),"ASSOC.MES.P.EDUC.FUNC.DO COL.AGROP.ALMAS")</f>
        <v>ASSOC.MES.P.EDUC.FUNC.DO COL.AGROP.ALMAS</v>
      </c>
      <c r="D38" s="178" t="str">
        <f ca="1">IFERROR(__xludf.DUMMYFUNCTION("""COMPUTED_VALUE"""),"03751406000102")</f>
        <v>03751406000102</v>
      </c>
      <c r="E38" s="178" t="str">
        <f ca="1">IFERROR(__xludf.DUMMYFUNCTION("""COMPUTED_VALUE"""),"001")</f>
        <v>001</v>
      </c>
      <c r="F38" s="178" t="str">
        <f ca="1">IFERROR(__xludf.DUMMYFUNCTION("""COMPUTED_VALUE"""),"1307")</f>
        <v>1307</v>
      </c>
      <c r="G38" s="177" t="str">
        <f ca="1">IFERROR(__xludf.DUMMYFUNCTION("""COMPUTED_VALUE"""),"115312")</f>
        <v>115312</v>
      </c>
      <c r="H38" s="176" t="str">
        <f ca="1">IFERROR(__xludf.DUMMYFUNCTION("""COMPUTED_VALUE"""),"FUND INTEGRAL")</f>
        <v>FUND INTEGRAL</v>
      </c>
      <c r="I38" s="179">
        <f ca="1">IFERROR(__xludf.DUMMYFUNCTION("""COMPUTED_VALUE"""),3057.6)</f>
        <v>3057.6</v>
      </c>
    </row>
    <row r="39" spans="1:9" ht="20.25" customHeight="1">
      <c r="A39" s="177" t="str">
        <f ca="1">IFERROR(__xludf.DUMMYFUNCTION("""COMPUTED_VALUE"""),"Dianópolis")</f>
        <v>Dianópolis</v>
      </c>
      <c r="B39" s="177" t="str">
        <f ca="1">IFERROR(__xludf.DUMMYFUNCTION("""COMPUTED_VALUE"""),"Almas")</f>
        <v>Almas</v>
      </c>
      <c r="C39" s="176" t="str">
        <f ca="1">IFERROR(__xludf.DUMMYFUNCTION("""COMPUTED_VALUE"""),"ASSOC.MES.P.EDUC.FUNC.DO COL.AGROP.ALMAS")</f>
        <v>ASSOC.MES.P.EDUC.FUNC.DO COL.AGROP.ALMAS</v>
      </c>
      <c r="D39" s="178" t="str">
        <f ca="1">IFERROR(__xludf.DUMMYFUNCTION("""COMPUTED_VALUE"""),"03751406000102")</f>
        <v>03751406000102</v>
      </c>
      <c r="E39" s="178" t="str">
        <f ca="1">IFERROR(__xludf.DUMMYFUNCTION("""COMPUTED_VALUE"""),"001")</f>
        <v>001</v>
      </c>
      <c r="F39" s="178" t="str">
        <f ca="1">IFERROR(__xludf.DUMMYFUNCTION("""COMPUTED_VALUE"""),"1307")</f>
        <v>1307</v>
      </c>
      <c r="G39" s="177" t="str">
        <f ca="1">IFERROR(__xludf.DUMMYFUNCTION("""COMPUTED_VALUE"""),"115312")</f>
        <v>115312</v>
      </c>
      <c r="H39" s="176" t="str">
        <f ca="1">IFERROR(__xludf.DUMMYFUNCTION("""COMPUTED_VALUE"""),"ENS MEDIO INTEGRAL")</f>
        <v>ENS MEDIO INTEGRAL</v>
      </c>
      <c r="I39" s="179">
        <f ca="1">IFERROR(__xludf.DUMMYFUNCTION("""COMPUTED_VALUE"""),11838.4)</f>
        <v>11838.4</v>
      </c>
    </row>
    <row r="40" spans="1:9" ht="20.25" customHeight="1">
      <c r="A40" s="177" t="str">
        <f ca="1">IFERROR(__xludf.DUMMYFUNCTION("""COMPUTED_VALUE"""),"Dianópolis")</f>
        <v>Dianópolis</v>
      </c>
      <c r="B40" s="177" t="str">
        <f ca="1">IFERROR(__xludf.DUMMYFUNCTION("""COMPUTED_VALUE"""),"Almas")</f>
        <v>Almas</v>
      </c>
      <c r="C40" s="176" t="str">
        <f ca="1">IFERROR(__xludf.DUMMYFUNCTION("""COMPUTED_VALUE"""),"ASSOC.MES.P.EDUC.FUNC.DO COL.AGROP.ALMAS")</f>
        <v>ASSOC.MES.P.EDUC.FUNC.DO COL.AGROP.ALMAS</v>
      </c>
      <c r="D40" s="178" t="str">
        <f ca="1">IFERROR(__xludf.DUMMYFUNCTION("""COMPUTED_VALUE"""),"03751406000102")</f>
        <v>03751406000102</v>
      </c>
      <c r="E40" s="178" t="str">
        <f ca="1">IFERROR(__xludf.DUMMYFUNCTION("""COMPUTED_VALUE"""),"001")</f>
        <v>001</v>
      </c>
      <c r="F40" s="178" t="str">
        <f ca="1">IFERROR(__xludf.DUMMYFUNCTION("""COMPUTED_VALUE"""),"1307")</f>
        <v>1307</v>
      </c>
      <c r="G40" s="177" t="str">
        <f ca="1">IFERROR(__xludf.DUMMYFUNCTION("""COMPUTED_VALUE"""),"115312")</f>
        <v>115312</v>
      </c>
      <c r="H40" s="176" t="str">
        <f ca="1">IFERROR(__xludf.DUMMYFUNCTION("""COMPUTED_VALUE"""),"AGRICOLA")</f>
        <v>AGRICOLA</v>
      </c>
      <c r="I40" s="179">
        <f ca="1">IFERROR(__xludf.DUMMYFUNCTION("""COMPUTED_VALUE"""),21873.6)</f>
        <v>21873.599999999999</v>
      </c>
    </row>
    <row r="41" spans="1:9" ht="20.25" customHeight="1">
      <c r="A41" s="177" t="str">
        <f ca="1">IFERROR(__xludf.DUMMYFUNCTION("""COMPUTED_VALUE"""),"Dianópolis")</f>
        <v>Dianópolis</v>
      </c>
      <c r="B41" s="177" t="str">
        <f ca="1">IFERROR(__xludf.DUMMYFUNCTION("""COMPUTED_VALUE"""),"Almas")</f>
        <v>Almas</v>
      </c>
      <c r="C41" s="176" t="str">
        <f ca="1">IFERROR(__xludf.DUMMYFUNCTION("""COMPUTED_VALUE"""),"ASSOC.MES.P.EDUC.FUNC.DO COL.AGROP.ALMAS")</f>
        <v>ASSOC.MES.P.EDUC.FUNC.DO COL.AGROP.ALMAS</v>
      </c>
      <c r="D41" s="178" t="str">
        <f ca="1">IFERROR(__xludf.DUMMYFUNCTION("""COMPUTED_VALUE"""),"03751406000102")</f>
        <v>03751406000102</v>
      </c>
      <c r="E41" s="178" t="str">
        <f ca="1">IFERROR(__xludf.DUMMYFUNCTION("""COMPUTED_VALUE"""),"001")</f>
        <v>001</v>
      </c>
      <c r="F41" s="178" t="str">
        <f ca="1">IFERROR(__xludf.DUMMYFUNCTION("""COMPUTED_VALUE"""),"1307")</f>
        <v>1307</v>
      </c>
      <c r="G41" s="177" t="str">
        <f ca="1">IFERROR(__xludf.DUMMYFUNCTION("""COMPUTED_VALUE"""),"115312")</f>
        <v>115312</v>
      </c>
      <c r="H41" s="176" t="str">
        <f ca="1">IFERROR(__xludf.DUMMYFUNCTION("""COMPUTED_VALUE"""),"SERVIDORES INTERNATO")</f>
        <v>SERVIDORES INTERNATO</v>
      </c>
      <c r="I41" s="179">
        <f ca="1">IFERROR(__xludf.DUMMYFUNCTION("""COMPUTED_VALUE"""),791.2)</f>
        <v>791.2</v>
      </c>
    </row>
    <row r="42" spans="1:9" ht="20.25" customHeight="1">
      <c r="A42" s="177" t="str">
        <f ca="1">IFERROR(__xludf.DUMMYFUNCTION("""COMPUTED_VALUE"""),"Dianópolis")</f>
        <v>Dianópolis</v>
      </c>
      <c r="B42" s="177" t="str">
        <f ca="1">IFERROR(__xludf.DUMMYFUNCTION("""COMPUTED_VALUE"""),"Almas")</f>
        <v>Almas</v>
      </c>
      <c r="C42" s="176" t="str">
        <f ca="1">IFERROR(__xludf.DUMMYFUNCTION("""COMPUTED_VALUE"""),"ASSOC.MES.P.EDUC.FUNC.DO COL.AGROP.ALMAS")</f>
        <v>ASSOC.MES.P.EDUC.FUNC.DO COL.AGROP.ALMAS</v>
      </c>
      <c r="D42" s="178" t="str">
        <f ca="1">IFERROR(__xludf.DUMMYFUNCTION("""COMPUTED_VALUE"""),"03751406000102")</f>
        <v>03751406000102</v>
      </c>
      <c r="E42" s="178" t="str">
        <f ca="1">IFERROR(__xludf.DUMMYFUNCTION("""COMPUTED_VALUE"""),"001")</f>
        <v>001</v>
      </c>
      <c r="F42" s="178" t="str">
        <f ca="1">IFERROR(__xludf.DUMMYFUNCTION("""COMPUTED_VALUE"""),"1307")</f>
        <v>1307</v>
      </c>
      <c r="G42" s="177" t="str">
        <f ca="1">IFERROR(__xludf.DUMMYFUNCTION("""COMPUTED_VALUE"""),"115312")</f>
        <v>115312</v>
      </c>
      <c r="H42" s="176" t="str">
        <f ca="1">IFERROR(__xludf.DUMMYFUNCTION("""COMPUTED_VALUE"""),"SERVIDORES AGRICOLA")</f>
        <v>SERVIDORES AGRICOLA</v>
      </c>
      <c r="I42" s="179">
        <f ca="1">IFERROR(__xludf.DUMMYFUNCTION("""COMPUTED_VALUE"""),1702)</f>
        <v>1702</v>
      </c>
    </row>
    <row r="43" spans="1:9" ht="20.25" customHeight="1">
      <c r="A43" s="177" t="str">
        <f ca="1">IFERROR(__xludf.DUMMYFUNCTION("""COMPUTED_VALUE"""),"Dianópolis")</f>
        <v>Dianópolis</v>
      </c>
      <c r="B43" s="177" t="str">
        <f ca="1">IFERROR(__xludf.DUMMYFUNCTION("""COMPUTED_VALUE"""),"Dianopolis")</f>
        <v>Dianopolis</v>
      </c>
      <c r="C43" s="176" t="str">
        <f ca="1">IFERROR(__xludf.DUMMYFUNCTION("""COMPUTED_VALUE"""),"A. ESC. COMUN.DA E. EST. ANTONIO POVOA")</f>
        <v>A. ESC. COMUN.DA E. EST. ANTONIO POVOA</v>
      </c>
      <c r="D43" s="178" t="str">
        <f ca="1">IFERROR(__xludf.DUMMYFUNCTION("""COMPUTED_VALUE"""),"00895665000100")</f>
        <v>00895665000100</v>
      </c>
      <c r="E43" s="178" t="str">
        <f ca="1">IFERROR(__xludf.DUMMYFUNCTION("""COMPUTED_VALUE"""),"001")</f>
        <v>001</v>
      </c>
      <c r="F43" s="178" t="str">
        <f ca="1">IFERROR(__xludf.DUMMYFUNCTION("""COMPUTED_VALUE"""),"1307")</f>
        <v>1307</v>
      </c>
      <c r="G43" s="177" t="str">
        <f ca="1">IFERROR(__xludf.DUMMYFUNCTION("""COMPUTED_VALUE"""),"010616X")</f>
        <v>010616X</v>
      </c>
      <c r="H43" s="176" t="str">
        <f ca="1">IFERROR(__xludf.DUMMYFUNCTION("""COMPUTED_VALUE"""),"FUND INTEGRAL")</f>
        <v>FUND INTEGRAL</v>
      </c>
      <c r="I43" s="179">
        <f ca="1">IFERROR(__xludf.DUMMYFUNCTION("""COMPUTED_VALUE"""),3136)</f>
        <v>3136</v>
      </c>
    </row>
    <row r="44" spans="1:9" ht="20.25" customHeight="1">
      <c r="A44" s="177" t="str">
        <f ca="1">IFERROR(__xludf.DUMMYFUNCTION("""COMPUTED_VALUE"""),"Dianópolis")</f>
        <v>Dianópolis</v>
      </c>
      <c r="B44" s="177" t="str">
        <f ca="1">IFERROR(__xludf.DUMMYFUNCTION("""COMPUTED_VALUE"""),"Dianopolis")</f>
        <v>Dianopolis</v>
      </c>
      <c r="C44" s="176" t="str">
        <f ca="1">IFERROR(__xludf.DUMMYFUNCTION("""COMPUTED_VALUE"""),"A. ESC. COMUN.DA E. EST. ANTONIO POVOA")</f>
        <v>A. ESC. COMUN.DA E. EST. ANTONIO POVOA</v>
      </c>
      <c r="D44" s="178" t="str">
        <f ca="1">IFERROR(__xludf.DUMMYFUNCTION("""COMPUTED_VALUE"""),"00895665000100")</f>
        <v>00895665000100</v>
      </c>
      <c r="E44" s="178" t="str">
        <f ca="1">IFERROR(__xludf.DUMMYFUNCTION("""COMPUTED_VALUE"""),"001")</f>
        <v>001</v>
      </c>
      <c r="F44" s="178" t="str">
        <f ca="1">IFERROR(__xludf.DUMMYFUNCTION("""COMPUTED_VALUE"""),"1307")</f>
        <v>1307</v>
      </c>
      <c r="G44" s="177" t="str">
        <f ca="1">IFERROR(__xludf.DUMMYFUNCTION("""COMPUTED_VALUE"""),"010616X")</f>
        <v>010616X</v>
      </c>
      <c r="H44" s="176" t="str">
        <f ca="1">IFERROR(__xludf.DUMMYFUNCTION("""COMPUTED_VALUE"""),"SERVIDORES INTEGRAL")</f>
        <v>SERVIDORES INTEGRAL</v>
      </c>
      <c r="I44" s="179">
        <f ca="1">IFERROR(__xludf.DUMMYFUNCTION("""COMPUTED_VALUE"""),299.4)</f>
        <v>299.39999999999998</v>
      </c>
    </row>
    <row r="45" spans="1:9" ht="20.25" customHeight="1">
      <c r="A45" s="177" t="str">
        <f ca="1">IFERROR(__xludf.DUMMYFUNCTION("""COMPUTED_VALUE"""),"Guaraí")</f>
        <v>Guaraí</v>
      </c>
      <c r="B45" s="177" t="str">
        <f ca="1">IFERROR(__xludf.DUMMYFUNCTION("""COMPUTED_VALUE"""),"Couto Magalhaes")</f>
        <v>Couto Magalhaes</v>
      </c>
      <c r="C45" s="176" t="str">
        <f ca="1">IFERROR(__xludf.DUMMYFUNCTION("""COMPUTED_VALUE"""),"A.A. COL. EST. ARCHANGELA MILHOMEM")</f>
        <v>A.A. COL. EST. ARCHANGELA MILHOMEM</v>
      </c>
      <c r="D45" s="178" t="str">
        <f ca="1">IFERROR(__xludf.DUMMYFUNCTION("""COMPUTED_VALUE"""),"01138334000199")</f>
        <v>01138334000199</v>
      </c>
      <c r="E45" s="178" t="str">
        <f ca="1">IFERROR(__xludf.DUMMYFUNCTION("""COMPUTED_VALUE"""),"001")</f>
        <v>001</v>
      </c>
      <c r="F45" s="178" t="str">
        <f ca="1">IFERROR(__xludf.DUMMYFUNCTION("""COMPUTED_VALUE"""),"2094")</f>
        <v>2094</v>
      </c>
      <c r="G45" s="177" t="str">
        <f ca="1">IFERROR(__xludf.DUMMYFUNCTION("""COMPUTED_VALUE"""),"50385")</f>
        <v>50385</v>
      </c>
      <c r="H45" s="176" t="str">
        <f ca="1">IFERROR(__xludf.DUMMYFUNCTION("""COMPUTED_VALUE"""),"ENS MEDIO INTEGRAL")</f>
        <v>ENS MEDIO INTEGRAL</v>
      </c>
      <c r="I45" s="179">
        <f ca="1">IFERROR(__xludf.DUMMYFUNCTION("""COMPUTED_VALUE"""),13092.8)</f>
        <v>13092.8</v>
      </c>
    </row>
    <row r="46" spans="1:9" ht="20.25" customHeight="1">
      <c r="A46" s="177" t="str">
        <f ca="1">IFERROR(__xludf.DUMMYFUNCTION("""COMPUTED_VALUE"""),"Guaraí")</f>
        <v>Guaraí</v>
      </c>
      <c r="B46" s="177" t="str">
        <f ca="1">IFERROR(__xludf.DUMMYFUNCTION("""COMPUTED_VALUE"""),"Couto Magalhaes")</f>
        <v>Couto Magalhaes</v>
      </c>
      <c r="C46" s="176" t="str">
        <f ca="1">IFERROR(__xludf.DUMMYFUNCTION("""COMPUTED_VALUE"""),"A.A. COL. EST. ARCHANGELA MILHOMEM")</f>
        <v>A.A. COL. EST. ARCHANGELA MILHOMEM</v>
      </c>
      <c r="D46" s="178" t="str">
        <f ca="1">IFERROR(__xludf.DUMMYFUNCTION("""COMPUTED_VALUE"""),"01138334000199")</f>
        <v>01138334000199</v>
      </c>
      <c r="E46" s="178" t="str">
        <f ca="1">IFERROR(__xludf.DUMMYFUNCTION("""COMPUTED_VALUE"""),"001")</f>
        <v>001</v>
      </c>
      <c r="F46" s="178" t="str">
        <f ca="1">IFERROR(__xludf.DUMMYFUNCTION("""COMPUTED_VALUE"""),"2094")</f>
        <v>2094</v>
      </c>
      <c r="G46" s="177" t="str">
        <f ca="1">IFERROR(__xludf.DUMMYFUNCTION("""COMPUTED_VALUE"""),"50385")</f>
        <v>50385</v>
      </c>
      <c r="H46" s="176" t="str">
        <f ca="1">IFERROR(__xludf.DUMMYFUNCTION("""COMPUTED_VALUE"""),"SERVIDORES INTEGRAL")</f>
        <v>SERVIDORES INTEGRAL</v>
      </c>
      <c r="I46" s="179">
        <f ca="1">IFERROR(__xludf.DUMMYFUNCTION("""COMPUTED_VALUE"""),1097.8)</f>
        <v>1097.8</v>
      </c>
    </row>
    <row r="47" spans="1:9" ht="20.25" customHeight="1">
      <c r="A47" s="177" t="str">
        <f ca="1">IFERROR(__xludf.DUMMYFUNCTION("""COMPUTED_VALUE"""),"Guaraí")</f>
        <v>Guaraí</v>
      </c>
      <c r="B47" s="177" t="str">
        <f ca="1">IFERROR(__xludf.DUMMYFUNCTION("""COMPUTED_VALUE"""),"Fortaleza do Tabocao")</f>
        <v>Fortaleza do Tabocao</v>
      </c>
      <c r="C47" s="176" t="str">
        <f ca="1">IFERROR(__xludf.DUMMYFUNCTION("""COMPUTED_VALUE"""),"A.A. DA ESC. EST. MAJOR JUVENAL P.DE SOUZA")</f>
        <v>A.A. DA ESC. EST. MAJOR JUVENAL P.DE SOUZA</v>
      </c>
      <c r="D47" s="178" t="str">
        <f ca="1">IFERROR(__xludf.DUMMYFUNCTION("""COMPUTED_VALUE"""),"01408714000104")</f>
        <v>01408714000104</v>
      </c>
      <c r="E47" s="178" t="str">
        <f ca="1">IFERROR(__xludf.DUMMYFUNCTION("""COMPUTED_VALUE"""),"001")</f>
        <v>001</v>
      </c>
      <c r="F47" s="178" t="str">
        <f ca="1">IFERROR(__xludf.DUMMYFUNCTION("""COMPUTED_VALUE"""),"2094")</f>
        <v>2094</v>
      </c>
      <c r="G47" s="177" t="str">
        <f ca="1">IFERROR(__xludf.DUMMYFUNCTION("""COMPUTED_VALUE"""),"46743X")</f>
        <v>46743X</v>
      </c>
      <c r="H47" s="176" t="str">
        <f ca="1">IFERROR(__xludf.DUMMYFUNCTION("""COMPUTED_VALUE"""),"FUND INTEGRAL")</f>
        <v>FUND INTEGRAL</v>
      </c>
      <c r="I47" s="179">
        <f ca="1">IFERROR(__xludf.DUMMYFUNCTION("""COMPUTED_VALUE"""),7761.6)</f>
        <v>7761.6</v>
      </c>
    </row>
    <row r="48" spans="1:9" ht="20.25" customHeight="1">
      <c r="A48" s="177" t="str">
        <f ca="1">IFERROR(__xludf.DUMMYFUNCTION("""COMPUTED_VALUE"""),"Guaraí")</f>
        <v>Guaraí</v>
      </c>
      <c r="B48" s="177" t="str">
        <f ca="1">IFERROR(__xludf.DUMMYFUNCTION("""COMPUTED_VALUE"""),"Fortaleza do Tabocao")</f>
        <v>Fortaleza do Tabocao</v>
      </c>
      <c r="C48" s="176" t="str">
        <f ca="1">IFERROR(__xludf.DUMMYFUNCTION("""COMPUTED_VALUE"""),"A.A. DA ESC. EST. MAJOR JUVENAL P.DE SOUZA")</f>
        <v>A.A. DA ESC. EST. MAJOR JUVENAL P.DE SOUZA</v>
      </c>
      <c r="D48" s="178" t="str">
        <f ca="1">IFERROR(__xludf.DUMMYFUNCTION("""COMPUTED_VALUE"""),"01408714000104")</f>
        <v>01408714000104</v>
      </c>
      <c r="E48" s="178" t="str">
        <f ca="1">IFERROR(__xludf.DUMMYFUNCTION("""COMPUTED_VALUE"""),"001")</f>
        <v>001</v>
      </c>
      <c r="F48" s="178" t="str">
        <f ca="1">IFERROR(__xludf.DUMMYFUNCTION("""COMPUTED_VALUE"""),"2094")</f>
        <v>2094</v>
      </c>
      <c r="G48" s="177" t="str">
        <f ca="1">IFERROR(__xludf.DUMMYFUNCTION("""COMPUTED_VALUE"""),"46743X")</f>
        <v>46743X</v>
      </c>
      <c r="H48" s="176" t="str">
        <f ca="1">IFERROR(__xludf.DUMMYFUNCTION("""COMPUTED_VALUE"""),"SERVIDORES INTEGRAL")</f>
        <v>SERVIDORES INTEGRAL</v>
      </c>
      <c r="I48" s="179">
        <f ca="1">IFERROR(__xludf.DUMMYFUNCTION("""COMPUTED_VALUE"""),698.6)</f>
        <v>698.6</v>
      </c>
    </row>
    <row r="49" spans="1:9" ht="20.25" customHeight="1">
      <c r="A49" s="177" t="str">
        <f ca="1">IFERROR(__xludf.DUMMYFUNCTION("""COMPUTED_VALUE"""),"Gurupi")</f>
        <v>Gurupi</v>
      </c>
      <c r="B49" s="177" t="str">
        <f ca="1">IFERROR(__xludf.DUMMYFUNCTION("""COMPUTED_VALUE"""),"Alianca do Tocantins")</f>
        <v>Alianca do Tocantins</v>
      </c>
      <c r="C49" s="176" t="str">
        <f ca="1">IFERROR(__xludf.DUMMYFUNCTION("""COMPUTED_VALUE"""),"A. PAIS E MESTRES ESC. EST.N.SRA.DO CARMO")</f>
        <v>A. PAIS E MESTRES ESC. EST.N.SRA.DO CARMO</v>
      </c>
      <c r="D49" s="178" t="str">
        <f ca="1">IFERROR(__xludf.DUMMYFUNCTION("""COMPUTED_VALUE"""),"01034192000110")</f>
        <v>01034192000110</v>
      </c>
      <c r="E49" s="178" t="str">
        <f ca="1">IFERROR(__xludf.DUMMYFUNCTION("""COMPUTED_VALUE"""),"001")</f>
        <v>001</v>
      </c>
      <c r="F49" s="178" t="str">
        <f ca="1">IFERROR(__xludf.DUMMYFUNCTION("""COMPUTED_VALUE"""),"3972")</f>
        <v>3972</v>
      </c>
      <c r="G49" s="177" t="str">
        <f ca="1">IFERROR(__xludf.DUMMYFUNCTION("""COMPUTED_VALUE"""),"243590")</f>
        <v>243590</v>
      </c>
      <c r="H49" s="176" t="str">
        <f ca="1">IFERROR(__xludf.DUMMYFUNCTION("""COMPUTED_VALUE"""),"FUND INTEGRAL")</f>
        <v>FUND INTEGRAL</v>
      </c>
      <c r="I49" s="179">
        <f ca="1">IFERROR(__xludf.DUMMYFUNCTION("""COMPUTED_VALUE"""),11054.4)</f>
        <v>11054.4</v>
      </c>
    </row>
    <row r="50" spans="1:9" ht="20.25" customHeight="1">
      <c r="A50" s="177" t="str">
        <f ca="1">IFERROR(__xludf.DUMMYFUNCTION("""COMPUTED_VALUE"""),"Gurupi")</f>
        <v>Gurupi</v>
      </c>
      <c r="B50" s="177" t="str">
        <f ca="1">IFERROR(__xludf.DUMMYFUNCTION("""COMPUTED_VALUE"""),"Alianca do Tocantins")</f>
        <v>Alianca do Tocantins</v>
      </c>
      <c r="C50" s="176" t="str">
        <f ca="1">IFERROR(__xludf.DUMMYFUNCTION("""COMPUTED_VALUE"""),"A. PAIS E MESTRES ESC. EST.N.SRA.DO CARMO")</f>
        <v>A. PAIS E MESTRES ESC. EST.N.SRA.DO CARMO</v>
      </c>
      <c r="D50" s="178" t="str">
        <f ca="1">IFERROR(__xludf.DUMMYFUNCTION("""COMPUTED_VALUE"""),"01034192000110")</f>
        <v>01034192000110</v>
      </c>
      <c r="E50" s="178" t="str">
        <f ca="1">IFERROR(__xludf.DUMMYFUNCTION("""COMPUTED_VALUE"""),"001")</f>
        <v>001</v>
      </c>
      <c r="F50" s="178" t="str">
        <f ca="1">IFERROR(__xludf.DUMMYFUNCTION("""COMPUTED_VALUE"""),"3972")</f>
        <v>3972</v>
      </c>
      <c r="G50" s="177" t="str">
        <f ca="1">IFERROR(__xludf.DUMMYFUNCTION("""COMPUTED_VALUE"""),"243590")</f>
        <v>243590</v>
      </c>
      <c r="H50" s="176" t="str">
        <f ca="1">IFERROR(__xludf.DUMMYFUNCTION("""COMPUTED_VALUE"""),"ENS MEDIO INTEGRAL")</f>
        <v>ENS MEDIO INTEGRAL</v>
      </c>
      <c r="I50" s="179">
        <f ca="1">IFERROR(__xludf.DUMMYFUNCTION("""COMPUTED_VALUE"""),2273.6)</f>
        <v>2273.6</v>
      </c>
    </row>
    <row r="51" spans="1:9" ht="20.25" customHeight="1">
      <c r="A51" s="177" t="str">
        <f ca="1">IFERROR(__xludf.DUMMYFUNCTION("""COMPUTED_VALUE"""),"Gurupi")</f>
        <v>Gurupi</v>
      </c>
      <c r="B51" s="177" t="str">
        <f ca="1">IFERROR(__xludf.DUMMYFUNCTION("""COMPUTED_VALUE"""),"Alianca do Tocantins")</f>
        <v>Alianca do Tocantins</v>
      </c>
      <c r="C51" s="176" t="str">
        <f ca="1">IFERROR(__xludf.DUMMYFUNCTION("""COMPUTED_VALUE"""),"A. PAIS E MESTRES ESC. EST.N.SRA.DO CARMO")</f>
        <v>A. PAIS E MESTRES ESC. EST.N.SRA.DO CARMO</v>
      </c>
      <c r="D51" s="178" t="str">
        <f ca="1">IFERROR(__xludf.DUMMYFUNCTION("""COMPUTED_VALUE"""),"01034192000110")</f>
        <v>01034192000110</v>
      </c>
      <c r="E51" s="178" t="str">
        <f ca="1">IFERROR(__xludf.DUMMYFUNCTION("""COMPUTED_VALUE"""),"001")</f>
        <v>001</v>
      </c>
      <c r="F51" s="178" t="str">
        <f ca="1">IFERROR(__xludf.DUMMYFUNCTION("""COMPUTED_VALUE"""),"3972")</f>
        <v>3972</v>
      </c>
      <c r="G51" s="177" t="str">
        <f ca="1">IFERROR(__xludf.DUMMYFUNCTION("""COMPUTED_VALUE"""),"243590")</f>
        <v>243590</v>
      </c>
      <c r="H51" s="176" t="str">
        <f ca="1">IFERROR(__xludf.DUMMYFUNCTION("""COMPUTED_VALUE"""),"SERVIDORES INTEGRAL")</f>
        <v>SERVIDORES INTEGRAL</v>
      </c>
      <c r="I51" s="179">
        <f ca="1">IFERROR(__xludf.DUMMYFUNCTION("""COMPUTED_VALUE"""),1097.8)</f>
        <v>1097.8</v>
      </c>
    </row>
    <row r="52" spans="1:9" ht="20.25" customHeight="1">
      <c r="A52" s="177" t="str">
        <f ca="1">IFERROR(__xludf.DUMMYFUNCTION("""COMPUTED_VALUE"""),"Gurupi")</f>
        <v>Gurupi</v>
      </c>
      <c r="B52" s="177" t="str">
        <f ca="1">IFERROR(__xludf.DUMMYFUNCTION("""COMPUTED_VALUE"""),"Gurupi")</f>
        <v>Gurupi</v>
      </c>
      <c r="C52" s="176" t="str">
        <f ca="1">IFERROR(__xludf.DUMMYFUNCTION("""COMPUTED_VALUE"""),"A. EDUCACIONAL PRES. COSTA E SILVA")</f>
        <v>A. EDUCACIONAL PRES. COSTA E SILVA</v>
      </c>
      <c r="D52" s="178" t="str">
        <f ca="1">IFERROR(__xludf.DUMMYFUNCTION("""COMPUTED_VALUE"""),"01888719000173")</f>
        <v>01888719000173</v>
      </c>
      <c r="E52" s="178" t="str">
        <f ca="1">IFERROR(__xludf.DUMMYFUNCTION("""COMPUTED_VALUE"""),"001")</f>
        <v>001</v>
      </c>
      <c r="F52" s="178" t="str">
        <f ca="1">IFERROR(__xludf.DUMMYFUNCTION("""COMPUTED_VALUE"""),"0794")</f>
        <v>0794</v>
      </c>
      <c r="G52" s="177" t="str">
        <f ca="1">IFERROR(__xludf.DUMMYFUNCTION("""COMPUTED_VALUE"""),"67490")</f>
        <v>67490</v>
      </c>
      <c r="H52" s="176" t="str">
        <f ca="1">IFERROR(__xludf.DUMMYFUNCTION("""COMPUTED_VALUE"""),"FUND INTEGRAL")</f>
        <v>FUND INTEGRAL</v>
      </c>
      <c r="I52" s="179">
        <f ca="1">IFERROR(__xludf.DUMMYFUNCTION("""COMPUTED_VALUE"""),34888)</f>
        <v>34888</v>
      </c>
    </row>
    <row r="53" spans="1:9" ht="20.25" customHeight="1">
      <c r="A53" s="177" t="str">
        <f ca="1">IFERROR(__xludf.DUMMYFUNCTION("""COMPUTED_VALUE"""),"Gurupi")</f>
        <v>Gurupi</v>
      </c>
      <c r="B53" s="177" t="str">
        <f ca="1">IFERROR(__xludf.DUMMYFUNCTION("""COMPUTED_VALUE"""),"Gurupi")</f>
        <v>Gurupi</v>
      </c>
      <c r="C53" s="176" t="str">
        <f ca="1">IFERROR(__xludf.DUMMYFUNCTION("""COMPUTED_VALUE"""),"A. EDUCACIONAL PRES. COSTA E SILVA")</f>
        <v>A. EDUCACIONAL PRES. COSTA E SILVA</v>
      </c>
      <c r="D53" s="178" t="str">
        <f ca="1">IFERROR(__xludf.DUMMYFUNCTION("""COMPUTED_VALUE"""),"01888719000173")</f>
        <v>01888719000173</v>
      </c>
      <c r="E53" s="178" t="str">
        <f ca="1">IFERROR(__xludf.DUMMYFUNCTION("""COMPUTED_VALUE"""),"001")</f>
        <v>001</v>
      </c>
      <c r="F53" s="178" t="str">
        <f ca="1">IFERROR(__xludf.DUMMYFUNCTION("""COMPUTED_VALUE"""),"0794")</f>
        <v>0794</v>
      </c>
      <c r="G53" s="177" t="str">
        <f ca="1">IFERROR(__xludf.DUMMYFUNCTION("""COMPUTED_VALUE"""),"67490")</f>
        <v>67490</v>
      </c>
      <c r="H53" s="176" t="str">
        <f ca="1">IFERROR(__xludf.DUMMYFUNCTION("""COMPUTED_VALUE"""),"ENS MEDIO INTEGRAL")</f>
        <v>ENS MEDIO INTEGRAL</v>
      </c>
      <c r="I53" s="179">
        <f ca="1">IFERROR(__xludf.DUMMYFUNCTION("""COMPUTED_VALUE"""),12936)</f>
        <v>12936</v>
      </c>
    </row>
    <row r="54" spans="1:9" ht="20.25" customHeight="1">
      <c r="A54" s="177" t="str">
        <f ca="1">IFERROR(__xludf.DUMMYFUNCTION("""COMPUTED_VALUE"""),"Gurupi")</f>
        <v>Gurupi</v>
      </c>
      <c r="B54" s="177" t="str">
        <f ca="1">IFERROR(__xludf.DUMMYFUNCTION("""COMPUTED_VALUE"""),"Gurupi")</f>
        <v>Gurupi</v>
      </c>
      <c r="C54" s="176" t="str">
        <f ca="1">IFERROR(__xludf.DUMMYFUNCTION("""COMPUTED_VALUE"""),"A. EDUCACIONAL PRES. COSTA E SILVA")</f>
        <v>A. EDUCACIONAL PRES. COSTA E SILVA</v>
      </c>
      <c r="D54" s="178" t="str">
        <f ca="1">IFERROR(__xludf.DUMMYFUNCTION("""COMPUTED_VALUE"""),"01888719000173")</f>
        <v>01888719000173</v>
      </c>
      <c r="E54" s="178" t="str">
        <f ca="1">IFERROR(__xludf.DUMMYFUNCTION("""COMPUTED_VALUE"""),"001")</f>
        <v>001</v>
      </c>
      <c r="F54" s="178" t="str">
        <f ca="1">IFERROR(__xludf.DUMMYFUNCTION("""COMPUTED_VALUE"""),"0794")</f>
        <v>0794</v>
      </c>
      <c r="G54" s="177" t="str">
        <f ca="1">IFERROR(__xludf.DUMMYFUNCTION("""COMPUTED_VALUE"""),"67490")</f>
        <v>67490</v>
      </c>
      <c r="H54" s="176" t="str">
        <f ca="1">IFERROR(__xludf.DUMMYFUNCTION("""COMPUTED_VALUE"""),"SERVIDORES INTEGRAL")</f>
        <v>SERVIDORES INTEGRAL</v>
      </c>
      <c r="I54" s="179">
        <f ca="1">IFERROR(__xludf.DUMMYFUNCTION("""COMPUTED_VALUE"""),4091.79999999999)</f>
        <v>4091.7999999999902</v>
      </c>
    </row>
    <row r="55" spans="1:9" ht="20.25" customHeight="1">
      <c r="A55" s="177" t="str">
        <f ca="1">IFERROR(__xludf.DUMMYFUNCTION("""COMPUTED_VALUE"""),"Gurupi")</f>
        <v>Gurupi</v>
      </c>
      <c r="B55" s="177" t="str">
        <f ca="1">IFERROR(__xludf.DUMMYFUNCTION("""COMPUTED_VALUE"""),"Gurupi")</f>
        <v>Gurupi</v>
      </c>
      <c r="C55" s="176" t="str">
        <f ca="1">IFERROR(__xludf.DUMMYFUNCTION("""COMPUTED_VALUE"""),"A.A.  ESCOLAR DO COL. EST. JOSE SEABRA")</f>
        <v>A.A.  ESCOLAR DO COL. EST. JOSE SEABRA</v>
      </c>
      <c r="D55" s="178" t="str">
        <f ca="1">IFERROR(__xludf.DUMMYFUNCTION("""COMPUTED_VALUE"""),"01910570000181")</f>
        <v>01910570000181</v>
      </c>
      <c r="E55" s="178" t="str">
        <f ca="1">IFERROR(__xludf.DUMMYFUNCTION("""COMPUTED_VALUE"""),"001")</f>
        <v>001</v>
      </c>
      <c r="F55" s="178" t="str">
        <f ca="1">IFERROR(__xludf.DUMMYFUNCTION("""COMPUTED_VALUE"""),"0794")</f>
        <v>0794</v>
      </c>
      <c r="G55" s="177" t="str">
        <f ca="1">IFERROR(__xludf.DUMMYFUNCTION("""COMPUTED_VALUE"""),"66982")</f>
        <v>66982</v>
      </c>
      <c r="H55" s="176" t="str">
        <f ca="1">IFERROR(__xludf.DUMMYFUNCTION("""COMPUTED_VALUE"""),"FUND INTEGRAL")</f>
        <v>FUND INTEGRAL</v>
      </c>
      <c r="I55" s="179">
        <f ca="1">IFERROR(__xludf.DUMMYFUNCTION("""COMPUTED_VALUE"""),24696)</f>
        <v>24696</v>
      </c>
    </row>
    <row r="56" spans="1:9" ht="20.25" customHeight="1">
      <c r="A56" s="177" t="str">
        <f ca="1">IFERROR(__xludf.DUMMYFUNCTION("""COMPUTED_VALUE"""),"Gurupi")</f>
        <v>Gurupi</v>
      </c>
      <c r="B56" s="177" t="str">
        <f ca="1">IFERROR(__xludf.DUMMYFUNCTION("""COMPUTED_VALUE"""),"Gurupi")</f>
        <v>Gurupi</v>
      </c>
      <c r="C56" s="176" t="str">
        <f ca="1">IFERROR(__xludf.DUMMYFUNCTION("""COMPUTED_VALUE"""),"A.A.  ESCOLAR DO COL. EST. JOSE SEABRA")</f>
        <v>A.A.  ESCOLAR DO COL. EST. JOSE SEABRA</v>
      </c>
      <c r="D56" s="178" t="str">
        <f ca="1">IFERROR(__xludf.DUMMYFUNCTION("""COMPUTED_VALUE"""),"01910570000181")</f>
        <v>01910570000181</v>
      </c>
      <c r="E56" s="178" t="str">
        <f ca="1">IFERROR(__xludf.DUMMYFUNCTION("""COMPUTED_VALUE"""),"001")</f>
        <v>001</v>
      </c>
      <c r="F56" s="178" t="str">
        <f ca="1">IFERROR(__xludf.DUMMYFUNCTION("""COMPUTED_VALUE"""),"0794")</f>
        <v>0794</v>
      </c>
      <c r="G56" s="177" t="str">
        <f ca="1">IFERROR(__xludf.DUMMYFUNCTION("""COMPUTED_VALUE"""),"66982")</f>
        <v>66982</v>
      </c>
      <c r="H56" s="176" t="str">
        <f ca="1">IFERROR(__xludf.DUMMYFUNCTION("""COMPUTED_VALUE"""),"SERVIDORES INTEGRAL")</f>
        <v>SERVIDORES INTEGRAL</v>
      </c>
      <c r="I56" s="179">
        <f ca="1">IFERROR(__xludf.DUMMYFUNCTION("""COMPUTED_VALUE"""),2095.79999999999)</f>
        <v>2095.7999999999902</v>
      </c>
    </row>
    <row r="57" spans="1:9" ht="20.25" customHeight="1">
      <c r="A57" s="177" t="str">
        <f ca="1">IFERROR(__xludf.DUMMYFUNCTION("""COMPUTED_VALUE"""),"Gurupi")</f>
        <v>Gurupi</v>
      </c>
      <c r="B57" s="177" t="str">
        <f ca="1">IFERROR(__xludf.DUMMYFUNCTION("""COMPUTED_VALUE"""),"Gurupi")</f>
        <v>Gurupi</v>
      </c>
      <c r="C57" s="176" t="str">
        <f ca="1">IFERROR(__xludf.DUMMYFUNCTION("""COMPUTED_VALUE"""),"APM. DA INSTITUIÇÃO BENEFICENTE IRMÃ DULCE")</f>
        <v>APM. DA INSTITUIÇÃO BENEFICENTE IRMÃ DULCE</v>
      </c>
      <c r="D57" s="178" t="str">
        <f ca="1">IFERROR(__xludf.DUMMYFUNCTION("""COMPUTED_VALUE"""),"10807313000100")</f>
        <v>10807313000100</v>
      </c>
      <c r="E57" s="178" t="str">
        <f ca="1">IFERROR(__xludf.DUMMYFUNCTION("""COMPUTED_VALUE"""),"001")</f>
        <v>001</v>
      </c>
      <c r="F57" s="178" t="str">
        <f ca="1">IFERROR(__xludf.DUMMYFUNCTION("""COMPUTED_VALUE"""),"0794")</f>
        <v>0794</v>
      </c>
      <c r="G57" s="177" t="str">
        <f ca="1">IFERROR(__xludf.DUMMYFUNCTION("""COMPUTED_VALUE"""),"447218")</f>
        <v>447218</v>
      </c>
      <c r="H57" s="176" t="str">
        <f ca="1">IFERROR(__xludf.DUMMYFUNCTION("""COMPUTED_VALUE"""),"FUND INTEGRAL")</f>
        <v>FUND INTEGRAL</v>
      </c>
      <c r="I57" s="179">
        <f ca="1">IFERROR(__xludf.DUMMYFUNCTION("""COMPUTED_VALUE"""),11524.8)</f>
        <v>11524.8</v>
      </c>
    </row>
    <row r="58" spans="1:9" ht="20.25" customHeight="1">
      <c r="A58" s="177" t="str">
        <f ca="1">IFERROR(__xludf.DUMMYFUNCTION("""COMPUTED_VALUE"""),"Gurupi")</f>
        <v>Gurupi</v>
      </c>
      <c r="B58" s="177" t="str">
        <f ca="1">IFERROR(__xludf.DUMMYFUNCTION("""COMPUTED_VALUE"""),"Gurupi")</f>
        <v>Gurupi</v>
      </c>
      <c r="C58" s="176" t="str">
        <f ca="1">IFERROR(__xludf.DUMMYFUNCTION("""COMPUTED_VALUE"""),"APM. DA INSTITUIÇÃO BENEFICENTE IRMÃ DULCE")</f>
        <v>APM. DA INSTITUIÇÃO BENEFICENTE IRMÃ DULCE</v>
      </c>
      <c r="D58" s="178" t="str">
        <f ca="1">IFERROR(__xludf.DUMMYFUNCTION("""COMPUTED_VALUE"""),"10807313000100")</f>
        <v>10807313000100</v>
      </c>
      <c r="E58" s="178" t="str">
        <f ca="1">IFERROR(__xludf.DUMMYFUNCTION("""COMPUTED_VALUE"""),"001")</f>
        <v>001</v>
      </c>
      <c r="F58" s="178" t="str">
        <f ca="1">IFERROR(__xludf.DUMMYFUNCTION("""COMPUTED_VALUE"""),"0794")</f>
        <v>0794</v>
      </c>
      <c r="G58" s="177" t="str">
        <f ca="1">IFERROR(__xludf.DUMMYFUNCTION("""COMPUTED_VALUE"""),"447218")</f>
        <v>447218</v>
      </c>
      <c r="H58" s="176" t="str">
        <f ca="1">IFERROR(__xludf.DUMMYFUNCTION("""COMPUTED_VALUE"""),"SERVIDORES INTEGRAL")</f>
        <v>SERVIDORES INTEGRAL</v>
      </c>
      <c r="I58" s="179">
        <f ca="1">IFERROR(__xludf.DUMMYFUNCTION("""COMPUTED_VALUE"""),998)</f>
        <v>998</v>
      </c>
    </row>
    <row r="59" spans="1:9" ht="20.25" customHeight="1">
      <c r="A59" s="177" t="str">
        <f ca="1">IFERROR(__xludf.DUMMYFUNCTION("""COMPUTED_VALUE"""),"Gurupi")</f>
        <v>Gurupi</v>
      </c>
      <c r="B59" s="177" t="str">
        <f ca="1">IFERROR(__xludf.DUMMYFUNCTION("""COMPUTED_VALUE"""),"Sao Salvador do Tocantins")</f>
        <v>Sao Salvador do Tocantins</v>
      </c>
      <c r="C59" s="176" t="str">
        <f ca="1">IFERROR(__xludf.DUMMYFUNCTION("""COMPUTED_VALUE"""),"A.A. COLEGIO ESTADUAL AGRÍCOLA JOSÉ PORFÍRIO DE SOUZA")</f>
        <v>A.A. COLEGIO ESTADUAL AGRÍCOLA JOSÉ PORFÍRIO DE SOUZA</v>
      </c>
      <c r="D59" s="178" t="str">
        <f ca="1">IFERROR(__xludf.DUMMYFUNCTION("""COMPUTED_VALUE"""),"49952315000128")</f>
        <v>49952315000128</v>
      </c>
      <c r="E59" s="178" t="str">
        <f ca="1">IFERROR(__xludf.DUMMYFUNCTION("""COMPUTED_VALUE"""),"001")</f>
        <v>001</v>
      </c>
      <c r="F59" s="178" t="str">
        <f ca="1">IFERROR(__xludf.DUMMYFUNCTION("""COMPUTED_VALUE"""),"4608")</f>
        <v>4608</v>
      </c>
      <c r="G59" s="177" t="str">
        <f ca="1">IFERROR(__xludf.DUMMYFUNCTION("""COMPUTED_VALUE"""),"183679")</f>
        <v>183679</v>
      </c>
      <c r="H59" s="176" t="str">
        <f ca="1">IFERROR(__xludf.DUMMYFUNCTION("""COMPUTED_VALUE"""),"FUND INTEGRAL")</f>
        <v>FUND INTEGRAL</v>
      </c>
      <c r="I59" s="179">
        <f ca="1">IFERROR(__xludf.DUMMYFUNCTION("""COMPUTED_VALUE"""),7761.6)</f>
        <v>7761.6</v>
      </c>
    </row>
    <row r="60" spans="1:9" ht="20.25" customHeight="1">
      <c r="A60" s="177" t="str">
        <f ca="1">IFERROR(__xludf.DUMMYFUNCTION("""COMPUTED_VALUE"""),"Gurupi")</f>
        <v>Gurupi</v>
      </c>
      <c r="B60" s="177" t="str">
        <f ca="1">IFERROR(__xludf.DUMMYFUNCTION("""COMPUTED_VALUE"""),"Sao Salvador do Tocantins")</f>
        <v>Sao Salvador do Tocantins</v>
      </c>
      <c r="C60" s="176" t="str">
        <f ca="1">IFERROR(__xludf.DUMMYFUNCTION("""COMPUTED_VALUE"""),"A.A. COLEGIO ESTADUAL AGRÍCOLA JOSÉ PORFÍRIO DE SOUZA")</f>
        <v>A.A. COLEGIO ESTADUAL AGRÍCOLA JOSÉ PORFÍRIO DE SOUZA</v>
      </c>
      <c r="D60" s="178" t="str">
        <f ca="1">IFERROR(__xludf.DUMMYFUNCTION("""COMPUTED_VALUE"""),"49952315000128")</f>
        <v>49952315000128</v>
      </c>
      <c r="E60" s="178" t="str">
        <f ca="1">IFERROR(__xludf.DUMMYFUNCTION("""COMPUTED_VALUE"""),"001")</f>
        <v>001</v>
      </c>
      <c r="F60" s="178" t="str">
        <f ca="1">IFERROR(__xludf.DUMMYFUNCTION("""COMPUTED_VALUE"""),"4608")</f>
        <v>4608</v>
      </c>
      <c r="G60" s="177" t="str">
        <f ca="1">IFERROR(__xludf.DUMMYFUNCTION("""COMPUTED_VALUE"""),"183679")</f>
        <v>183679</v>
      </c>
      <c r="H60" s="176" t="str">
        <f ca="1">IFERROR(__xludf.DUMMYFUNCTION("""COMPUTED_VALUE"""),"ENS MEDIO INTEGRAL")</f>
        <v>ENS MEDIO INTEGRAL</v>
      </c>
      <c r="I60" s="179">
        <f ca="1">IFERROR(__xludf.DUMMYFUNCTION("""COMPUTED_VALUE"""),6977.6)</f>
        <v>6977.6</v>
      </c>
    </row>
    <row r="61" spans="1:9" ht="20.25" customHeight="1">
      <c r="A61" s="177" t="str">
        <f ca="1">IFERROR(__xludf.DUMMYFUNCTION("""COMPUTED_VALUE"""),"Gurupi")</f>
        <v>Gurupi</v>
      </c>
      <c r="B61" s="177" t="str">
        <f ca="1">IFERROR(__xludf.DUMMYFUNCTION("""COMPUTED_VALUE"""),"Sao Salvador do Tocantins")</f>
        <v>Sao Salvador do Tocantins</v>
      </c>
      <c r="C61" s="176" t="str">
        <f ca="1">IFERROR(__xludf.DUMMYFUNCTION("""COMPUTED_VALUE"""),"A.A. COLEGIO ESTADUAL AGRÍCOLA JOSÉ PORFÍRIO DE SOUZA")</f>
        <v>A.A. COLEGIO ESTADUAL AGRÍCOLA JOSÉ PORFÍRIO DE SOUZA</v>
      </c>
      <c r="D61" s="178" t="str">
        <f ca="1">IFERROR(__xludf.DUMMYFUNCTION("""COMPUTED_VALUE"""),"49952315000128")</f>
        <v>49952315000128</v>
      </c>
      <c r="E61" s="178" t="str">
        <f ca="1">IFERROR(__xludf.DUMMYFUNCTION("""COMPUTED_VALUE"""),"001")</f>
        <v>001</v>
      </c>
      <c r="F61" s="178" t="str">
        <f ca="1">IFERROR(__xludf.DUMMYFUNCTION("""COMPUTED_VALUE"""),"4608")</f>
        <v>4608</v>
      </c>
      <c r="G61" s="177" t="str">
        <f ca="1">IFERROR(__xludf.DUMMYFUNCTION("""COMPUTED_VALUE"""),"183679")</f>
        <v>183679</v>
      </c>
      <c r="H61" s="176" t="str">
        <f ca="1">IFERROR(__xludf.DUMMYFUNCTION("""COMPUTED_VALUE"""),"AGRICOLA")</f>
        <v>AGRICOLA</v>
      </c>
      <c r="I61" s="179">
        <f ca="1">IFERROR(__xludf.DUMMYFUNCTION("""COMPUTED_VALUE"""),27974.4)</f>
        <v>27974.400000000001</v>
      </c>
    </row>
    <row r="62" spans="1:9" ht="20.25" customHeight="1">
      <c r="A62" s="177" t="str">
        <f ca="1">IFERROR(__xludf.DUMMYFUNCTION("""COMPUTED_VALUE"""),"Gurupi")</f>
        <v>Gurupi</v>
      </c>
      <c r="B62" s="177" t="str">
        <f ca="1">IFERROR(__xludf.DUMMYFUNCTION("""COMPUTED_VALUE"""),"Sao Salvador do Tocantins")</f>
        <v>Sao Salvador do Tocantins</v>
      </c>
      <c r="C62" s="176" t="str">
        <f ca="1">IFERROR(__xludf.DUMMYFUNCTION("""COMPUTED_VALUE"""),"A.A. COLEGIO ESTADUAL AGRÍCOLA JOSÉ PORFÍRIO DE SOUZA")</f>
        <v>A.A. COLEGIO ESTADUAL AGRÍCOLA JOSÉ PORFÍRIO DE SOUZA</v>
      </c>
      <c r="D62" s="178" t="str">
        <f ca="1">IFERROR(__xludf.DUMMYFUNCTION("""COMPUTED_VALUE"""),"49952315000128")</f>
        <v>49952315000128</v>
      </c>
      <c r="E62" s="178" t="str">
        <f ca="1">IFERROR(__xludf.DUMMYFUNCTION("""COMPUTED_VALUE"""),"001")</f>
        <v>001</v>
      </c>
      <c r="F62" s="178" t="str">
        <f ca="1">IFERROR(__xludf.DUMMYFUNCTION("""COMPUTED_VALUE"""),"4608")</f>
        <v>4608</v>
      </c>
      <c r="G62" s="177" t="str">
        <f ca="1">IFERROR(__xludf.DUMMYFUNCTION("""COMPUTED_VALUE"""),"183679")</f>
        <v>183679</v>
      </c>
      <c r="H62" s="176" t="str">
        <f ca="1">IFERROR(__xludf.DUMMYFUNCTION("""COMPUTED_VALUE"""),"SERVIDORES AGRICOLA")</f>
        <v>SERVIDORES AGRICOLA</v>
      </c>
      <c r="I62" s="179">
        <f ca="1">IFERROR(__xludf.DUMMYFUNCTION("""COMPUTED_VALUE"""),2212.6)</f>
        <v>2212.6</v>
      </c>
    </row>
    <row r="63" spans="1:9" ht="20.25" customHeight="1">
      <c r="A63" s="177" t="str">
        <f ca="1">IFERROR(__xludf.DUMMYFUNCTION("""COMPUTED_VALUE"""),"Miracema")</f>
        <v>Miracema</v>
      </c>
      <c r="B63" s="177" t="str">
        <f ca="1">IFERROR(__xludf.DUMMYFUNCTION("""COMPUTED_VALUE"""),"Tocantinia")</f>
        <v>Tocantinia</v>
      </c>
      <c r="C63" s="176" t="str">
        <f ca="1">IFERROR(__xludf.DUMMYFUNCTION("""COMPUTED_VALUE"""),"A.COM.DO COLEGIO FREI ANTONIO CONVENIADO")</f>
        <v>A.COM.DO COLEGIO FREI ANTONIO CONVENIADO</v>
      </c>
      <c r="D63" s="178" t="str">
        <f ca="1">IFERROR(__xludf.DUMMYFUNCTION("""COMPUTED_VALUE"""),"01066427000155")</f>
        <v>01066427000155</v>
      </c>
      <c r="E63" s="178" t="str">
        <f ca="1">IFERROR(__xludf.DUMMYFUNCTION("""COMPUTED_VALUE"""),"001")</f>
        <v>001</v>
      </c>
      <c r="F63" s="178" t="str">
        <f ca="1">IFERROR(__xludf.DUMMYFUNCTION("""COMPUTED_VALUE"""),"0862")</f>
        <v>0862</v>
      </c>
      <c r="G63" s="177" t="str">
        <f ca="1">IFERROR(__xludf.DUMMYFUNCTION("""COMPUTED_VALUE"""),"68985")</f>
        <v>68985</v>
      </c>
      <c r="H63" s="176" t="str">
        <f ca="1">IFERROR(__xludf.DUMMYFUNCTION("""COMPUTED_VALUE"""),"FUND INTEGRAL")</f>
        <v>FUND INTEGRAL</v>
      </c>
      <c r="I63" s="179">
        <f ca="1">IFERROR(__xludf.DUMMYFUNCTION("""COMPUTED_VALUE"""),23363.2)</f>
        <v>23363.200000000001</v>
      </c>
    </row>
    <row r="64" spans="1:9" ht="20.25" customHeight="1">
      <c r="A64" s="177" t="str">
        <f ca="1">IFERROR(__xludf.DUMMYFUNCTION("""COMPUTED_VALUE"""),"Miracema")</f>
        <v>Miracema</v>
      </c>
      <c r="B64" s="177" t="str">
        <f ca="1">IFERROR(__xludf.DUMMYFUNCTION("""COMPUTED_VALUE"""),"Tocantinia")</f>
        <v>Tocantinia</v>
      </c>
      <c r="C64" s="176" t="str">
        <f ca="1">IFERROR(__xludf.DUMMYFUNCTION("""COMPUTED_VALUE"""),"A.COM.DO COLEGIO FREI ANTONIO CONVENIADO")</f>
        <v>A.COM.DO COLEGIO FREI ANTONIO CONVENIADO</v>
      </c>
      <c r="D64" s="178" t="str">
        <f ca="1">IFERROR(__xludf.DUMMYFUNCTION("""COMPUTED_VALUE"""),"01066427000155")</f>
        <v>01066427000155</v>
      </c>
      <c r="E64" s="178" t="str">
        <f ca="1">IFERROR(__xludf.DUMMYFUNCTION("""COMPUTED_VALUE"""),"001")</f>
        <v>001</v>
      </c>
      <c r="F64" s="178" t="str">
        <f ca="1">IFERROR(__xludf.DUMMYFUNCTION("""COMPUTED_VALUE"""),"0862")</f>
        <v>0862</v>
      </c>
      <c r="G64" s="177" t="str">
        <f ca="1">IFERROR(__xludf.DUMMYFUNCTION("""COMPUTED_VALUE"""),"68985")</f>
        <v>68985</v>
      </c>
      <c r="H64" s="176" t="str">
        <f ca="1">IFERROR(__xludf.DUMMYFUNCTION("""COMPUTED_VALUE"""),"SERVIDORES INTEGRAL")</f>
        <v>SERVIDORES INTEGRAL</v>
      </c>
      <c r="I64" s="179">
        <f ca="1">IFERROR(__xludf.DUMMYFUNCTION("""COMPUTED_VALUE"""),1996)</f>
        <v>1996</v>
      </c>
    </row>
    <row r="65" spans="1:9" ht="20.25" customHeight="1">
      <c r="A65" s="177" t="str">
        <f ca="1">IFERROR(__xludf.DUMMYFUNCTION("""COMPUTED_VALUE"""),"Miracema")</f>
        <v>Miracema</v>
      </c>
      <c r="B65" s="177" t="str">
        <f ca="1">IFERROR(__xludf.DUMMYFUNCTION("""COMPUTED_VALUE"""),"Tocantinia")</f>
        <v>Tocantinia</v>
      </c>
      <c r="C65" s="176" t="str">
        <f ca="1">IFERROR(__xludf.DUMMYFUNCTION("""COMPUTED_VALUE"""),"ASS. APOIO AO CEM XERENTE WARA")</f>
        <v>ASS. APOIO AO CEM XERENTE WARA</v>
      </c>
      <c r="D65" s="178" t="str">
        <f ca="1">IFERROR(__xludf.DUMMYFUNCTION("""COMPUTED_VALUE"""),"07674098000101")</f>
        <v>07674098000101</v>
      </c>
      <c r="E65" s="178" t="str">
        <f ca="1">IFERROR(__xludf.DUMMYFUNCTION("""COMPUTED_VALUE"""),"001")</f>
        <v>001</v>
      </c>
      <c r="F65" s="178" t="str">
        <f ca="1">IFERROR(__xludf.DUMMYFUNCTION("""COMPUTED_VALUE"""),"0862")</f>
        <v>0862</v>
      </c>
      <c r="G65" s="177" t="str">
        <f ca="1">IFERROR(__xludf.DUMMYFUNCTION("""COMPUTED_VALUE"""),"183407")</f>
        <v>183407</v>
      </c>
      <c r="H65" s="176" t="str">
        <f ca="1">IFERROR(__xludf.DUMMYFUNCTION("""COMPUTED_VALUE"""),"FUND INTEGRAL")</f>
        <v>FUND INTEGRAL</v>
      </c>
      <c r="I65" s="179">
        <f ca="1">IFERROR(__xludf.DUMMYFUNCTION("""COMPUTED_VALUE"""),12230.4)</f>
        <v>12230.4</v>
      </c>
    </row>
    <row r="66" spans="1:9" ht="20.25" customHeight="1">
      <c r="A66" s="177" t="str">
        <f ca="1">IFERROR(__xludf.DUMMYFUNCTION("""COMPUTED_VALUE"""),"Miracema")</f>
        <v>Miracema</v>
      </c>
      <c r="B66" s="177" t="str">
        <f ca="1">IFERROR(__xludf.DUMMYFUNCTION("""COMPUTED_VALUE"""),"Tocantinia")</f>
        <v>Tocantinia</v>
      </c>
      <c r="C66" s="176" t="str">
        <f ca="1">IFERROR(__xludf.DUMMYFUNCTION("""COMPUTED_VALUE"""),"ASS. APOIO AO CEM XERENTE WARA")</f>
        <v>ASS. APOIO AO CEM XERENTE WARA</v>
      </c>
      <c r="D66" s="178" t="str">
        <f ca="1">IFERROR(__xludf.DUMMYFUNCTION("""COMPUTED_VALUE"""),"07674098000101")</f>
        <v>07674098000101</v>
      </c>
      <c r="E66" s="178" t="str">
        <f ca="1">IFERROR(__xludf.DUMMYFUNCTION("""COMPUTED_VALUE"""),"001")</f>
        <v>001</v>
      </c>
      <c r="F66" s="178" t="str">
        <f ca="1">IFERROR(__xludf.DUMMYFUNCTION("""COMPUTED_VALUE"""),"0862")</f>
        <v>0862</v>
      </c>
      <c r="G66" s="177" t="str">
        <f ca="1">IFERROR(__xludf.DUMMYFUNCTION("""COMPUTED_VALUE"""),"183407")</f>
        <v>183407</v>
      </c>
      <c r="H66" s="176" t="str">
        <f ca="1">IFERROR(__xludf.DUMMYFUNCTION("""COMPUTED_VALUE"""),"SERVIDORES INTEGRAL")</f>
        <v>SERVIDORES INTEGRAL</v>
      </c>
      <c r="I66" s="179">
        <f ca="1">IFERROR(__xludf.DUMMYFUNCTION("""COMPUTED_VALUE"""),998)</f>
        <v>998</v>
      </c>
    </row>
    <row r="67" spans="1:9" ht="20.25" customHeight="1">
      <c r="A67" s="177" t="str">
        <f ca="1">IFERROR(__xludf.DUMMYFUNCTION("""COMPUTED_VALUE"""),"Palmas")</f>
        <v>Palmas</v>
      </c>
      <c r="B67" s="177" t="str">
        <f ca="1">IFERROR(__xludf.DUMMYFUNCTION("""COMPUTED_VALUE"""),"Palmas")</f>
        <v>Palmas</v>
      </c>
      <c r="C67" s="176" t="str">
        <f ca="1">IFERROR(__xludf.DUMMYFUNCTION("""COMPUTED_VALUE"""),"ASSOC.COMUNIDADE ESC. ESTADUAL RURAL ENTRE RIOS")</f>
        <v>ASSOC.COMUNIDADE ESC. ESTADUAL RURAL ENTRE RIOS</v>
      </c>
      <c r="D67" s="178" t="str">
        <f ca="1">IFERROR(__xludf.DUMMYFUNCTION("""COMPUTED_VALUE"""),"11257180000108")</f>
        <v>11257180000108</v>
      </c>
      <c r="E67" s="178" t="str">
        <f ca="1">IFERROR(__xludf.DUMMYFUNCTION("""COMPUTED_VALUE"""),"001")</f>
        <v>001</v>
      </c>
      <c r="F67" s="178" t="str">
        <f ca="1">IFERROR(__xludf.DUMMYFUNCTION("""COMPUTED_VALUE"""),"1886")</f>
        <v>1886</v>
      </c>
      <c r="G67" s="177" t="str">
        <f ca="1">IFERROR(__xludf.DUMMYFUNCTION("""COMPUTED_VALUE"""),"1464884")</f>
        <v>1464884</v>
      </c>
      <c r="H67" s="176" t="str">
        <f ca="1">IFERROR(__xludf.DUMMYFUNCTION("""COMPUTED_VALUE"""),"FUND INTEGRAL")</f>
        <v>FUND INTEGRAL</v>
      </c>
      <c r="I67" s="179">
        <f ca="1">IFERROR(__xludf.DUMMYFUNCTION("""COMPUTED_VALUE"""),3057.6)</f>
        <v>3057.6</v>
      </c>
    </row>
    <row r="68" spans="1:9" ht="20.25" customHeight="1">
      <c r="A68" s="177" t="str">
        <f ca="1">IFERROR(__xludf.DUMMYFUNCTION("""COMPUTED_VALUE"""),"Palmas")</f>
        <v>Palmas</v>
      </c>
      <c r="B68" s="177" t="str">
        <f ca="1">IFERROR(__xludf.DUMMYFUNCTION("""COMPUTED_VALUE"""),"Palmas")</f>
        <v>Palmas</v>
      </c>
      <c r="C68" s="176" t="str">
        <f ca="1">IFERROR(__xludf.DUMMYFUNCTION("""COMPUTED_VALUE"""),"ASSOC.COMUNIDADE ESC. ESTADUAL RURAL ENTRE RIOS")</f>
        <v>ASSOC.COMUNIDADE ESC. ESTADUAL RURAL ENTRE RIOS</v>
      </c>
      <c r="D68" s="178" t="str">
        <f ca="1">IFERROR(__xludf.DUMMYFUNCTION("""COMPUTED_VALUE"""),"11257180000108")</f>
        <v>11257180000108</v>
      </c>
      <c r="E68" s="178" t="str">
        <f ca="1">IFERROR(__xludf.DUMMYFUNCTION("""COMPUTED_VALUE"""),"001")</f>
        <v>001</v>
      </c>
      <c r="F68" s="178" t="str">
        <f ca="1">IFERROR(__xludf.DUMMYFUNCTION("""COMPUTED_VALUE"""),"1886")</f>
        <v>1886</v>
      </c>
      <c r="G68" s="177" t="str">
        <f ca="1">IFERROR(__xludf.DUMMYFUNCTION("""COMPUTED_VALUE"""),"1464884")</f>
        <v>1464884</v>
      </c>
      <c r="H68" s="176" t="str">
        <f ca="1">IFERROR(__xludf.DUMMYFUNCTION("""COMPUTED_VALUE"""),"AGRICOLA")</f>
        <v>AGRICOLA</v>
      </c>
      <c r="I68" s="179">
        <f ca="1">IFERROR(__xludf.DUMMYFUNCTION("""COMPUTED_VALUE"""),5803.2)</f>
        <v>5803.2</v>
      </c>
    </row>
    <row r="69" spans="1:9" ht="20.25" customHeight="1">
      <c r="A69" s="177" t="str">
        <f ca="1">IFERROR(__xludf.DUMMYFUNCTION("""COMPUTED_VALUE"""),"Palmas")</f>
        <v>Palmas</v>
      </c>
      <c r="B69" s="177" t="str">
        <f ca="1">IFERROR(__xludf.DUMMYFUNCTION("""COMPUTED_VALUE"""),"Palmas")</f>
        <v>Palmas</v>
      </c>
      <c r="C69" s="176" t="str">
        <f ca="1">IFERROR(__xludf.DUMMYFUNCTION("""COMPUTED_VALUE"""),"ASSOC.COMUNIDADE ESC. ESTADUAL RURAL ENTRE RIOS")</f>
        <v>ASSOC.COMUNIDADE ESC. ESTADUAL RURAL ENTRE RIOS</v>
      </c>
      <c r="D69" s="178" t="str">
        <f ca="1">IFERROR(__xludf.DUMMYFUNCTION("""COMPUTED_VALUE"""),"11257180000108")</f>
        <v>11257180000108</v>
      </c>
      <c r="E69" s="178" t="str">
        <f ca="1">IFERROR(__xludf.DUMMYFUNCTION("""COMPUTED_VALUE"""),"001")</f>
        <v>001</v>
      </c>
      <c r="F69" s="178" t="str">
        <f ca="1">IFERROR(__xludf.DUMMYFUNCTION("""COMPUTED_VALUE"""),"1886")</f>
        <v>1886</v>
      </c>
      <c r="G69" s="177" t="str">
        <f ca="1">IFERROR(__xludf.DUMMYFUNCTION("""COMPUTED_VALUE"""),"1464884")</f>
        <v>1464884</v>
      </c>
      <c r="H69" s="176" t="str">
        <f ca="1">IFERROR(__xludf.DUMMYFUNCTION("""COMPUTED_VALUE"""),"SERVIDORES AGRICOLA")</f>
        <v>SERVIDORES AGRICOLA</v>
      </c>
      <c r="I69" s="179">
        <f ca="1">IFERROR(__xludf.DUMMYFUNCTION("""COMPUTED_VALUE"""),510.599999999999)</f>
        <v>510.599999999999</v>
      </c>
    </row>
    <row r="70" spans="1:9" ht="20.25" customHeight="1">
      <c r="A70" s="177" t="str">
        <f ca="1">IFERROR(__xludf.DUMMYFUNCTION("""COMPUTED_VALUE"""),"Palmas")</f>
        <v>Palmas</v>
      </c>
      <c r="B70" s="177" t="str">
        <f ca="1">IFERROR(__xludf.DUMMYFUNCTION("""COMPUTED_VALUE"""),"Palmas")</f>
        <v>Palmas</v>
      </c>
      <c r="C70" s="176" t="str">
        <f ca="1">IFERROR(__xludf.DUMMYFUNCTION("""COMPUTED_VALUE"""),"ASSOCIAÇÃO DE APOIO A ESC. ESTADUAL DA 403 SUL")</f>
        <v>ASSOCIAÇÃO DE APOIO A ESC. ESTADUAL DA 403 SUL</v>
      </c>
      <c r="D70" s="178" t="str">
        <f ca="1">IFERROR(__xludf.DUMMYFUNCTION("""COMPUTED_VALUE"""),"11332101000186")</f>
        <v>11332101000186</v>
      </c>
      <c r="E70" s="178" t="str">
        <f ca="1">IFERROR(__xludf.DUMMYFUNCTION("""COMPUTED_VALUE"""),"001")</f>
        <v>001</v>
      </c>
      <c r="F70" s="178" t="str">
        <f ca="1">IFERROR(__xludf.DUMMYFUNCTION("""COMPUTED_VALUE"""),"1505")</f>
        <v>1505</v>
      </c>
      <c r="G70" s="177" t="str">
        <f ca="1">IFERROR(__xludf.DUMMYFUNCTION("""COMPUTED_VALUE"""),"467588")</f>
        <v>467588</v>
      </c>
      <c r="H70" s="176" t="str">
        <f ca="1">IFERROR(__xludf.DUMMYFUNCTION("""COMPUTED_VALUE"""),"FUND INTEGRAL")</f>
        <v>FUND INTEGRAL</v>
      </c>
      <c r="I70" s="179">
        <f ca="1">IFERROR(__xludf.DUMMYFUNCTION("""COMPUTED_VALUE"""),71265.6)</f>
        <v>71265.600000000006</v>
      </c>
    </row>
    <row r="71" spans="1:9" ht="20.25" customHeight="1">
      <c r="A71" s="177" t="str">
        <f ca="1">IFERROR(__xludf.DUMMYFUNCTION("""COMPUTED_VALUE"""),"Palmas")</f>
        <v>Palmas</v>
      </c>
      <c r="B71" s="177" t="str">
        <f ca="1">IFERROR(__xludf.DUMMYFUNCTION("""COMPUTED_VALUE"""),"Palmas")</f>
        <v>Palmas</v>
      </c>
      <c r="C71" s="176" t="str">
        <f ca="1">IFERROR(__xludf.DUMMYFUNCTION("""COMPUTED_VALUE"""),"ASSOCIAÇÃO DE APOIO A ESC. ESTADUAL DA 403 SUL")</f>
        <v>ASSOCIAÇÃO DE APOIO A ESC. ESTADUAL DA 403 SUL</v>
      </c>
      <c r="D71" s="178" t="str">
        <f ca="1">IFERROR(__xludf.DUMMYFUNCTION("""COMPUTED_VALUE"""),"11332101000186")</f>
        <v>11332101000186</v>
      </c>
      <c r="E71" s="178" t="str">
        <f ca="1">IFERROR(__xludf.DUMMYFUNCTION("""COMPUTED_VALUE"""),"001")</f>
        <v>001</v>
      </c>
      <c r="F71" s="178" t="str">
        <f ca="1">IFERROR(__xludf.DUMMYFUNCTION("""COMPUTED_VALUE"""),"1505")</f>
        <v>1505</v>
      </c>
      <c r="G71" s="177" t="str">
        <f ca="1">IFERROR(__xludf.DUMMYFUNCTION("""COMPUTED_VALUE"""),"467588")</f>
        <v>467588</v>
      </c>
      <c r="H71" s="176" t="str">
        <f ca="1">IFERROR(__xludf.DUMMYFUNCTION("""COMPUTED_VALUE"""),"SERVIDORES INTEGRAL")</f>
        <v>SERVIDORES INTEGRAL</v>
      </c>
      <c r="I71" s="179">
        <f ca="1">IFERROR(__xludf.DUMMYFUNCTION("""COMPUTED_VALUE"""),6087.8)</f>
        <v>6087.8</v>
      </c>
    </row>
    <row r="72" spans="1:9" ht="20.25" customHeight="1">
      <c r="A72" s="177" t="str">
        <f ca="1">IFERROR(__xludf.DUMMYFUNCTION("""COMPUTED_VALUE"""),"Paraíso")</f>
        <v>Paraíso</v>
      </c>
      <c r="B72" s="177" t="str">
        <f ca="1">IFERROR(__xludf.DUMMYFUNCTION("""COMPUTED_VALUE"""),"Nova Rosalandia")</f>
        <v>Nova Rosalandia</v>
      </c>
      <c r="C72" s="176" t="str">
        <f ca="1">IFERROR(__xludf.DUMMYFUNCTION("""COMPUTED_VALUE"""),"ASSOC.COM. ESC EST.REGINA SIQUEIRA CAMPOS")</f>
        <v>ASSOC.COM. ESC EST.REGINA SIQUEIRA CAMPOS</v>
      </c>
      <c r="D72" s="178" t="str">
        <f ca="1">IFERROR(__xludf.DUMMYFUNCTION("""COMPUTED_VALUE"""),"01181170000182")</f>
        <v>01181170000182</v>
      </c>
      <c r="E72" s="178" t="str">
        <f ca="1">IFERROR(__xludf.DUMMYFUNCTION("""COMPUTED_VALUE"""),"001")</f>
        <v>001</v>
      </c>
      <c r="F72" s="178" t="str">
        <f ca="1">IFERROR(__xludf.DUMMYFUNCTION("""COMPUTED_VALUE"""),"0804")</f>
        <v>0804</v>
      </c>
      <c r="G72" s="177" t="str">
        <f ca="1">IFERROR(__xludf.DUMMYFUNCTION("""COMPUTED_VALUE"""),"16383X")</f>
        <v>16383X</v>
      </c>
      <c r="H72" s="176" t="str">
        <f ca="1">IFERROR(__xludf.DUMMYFUNCTION("""COMPUTED_VALUE"""),"FUND INTEGRAL")</f>
        <v>FUND INTEGRAL</v>
      </c>
      <c r="I72" s="179">
        <f ca="1">IFERROR(__xludf.DUMMYFUNCTION("""COMPUTED_VALUE"""),11603.2)</f>
        <v>11603.2</v>
      </c>
    </row>
    <row r="73" spans="1:9" ht="20.25" customHeight="1">
      <c r="A73" s="177" t="str">
        <f ca="1">IFERROR(__xludf.DUMMYFUNCTION("""COMPUTED_VALUE"""),"Paraíso")</f>
        <v>Paraíso</v>
      </c>
      <c r="B73" s="177" t="str">
        <f ca="1">IFERROR(__xludf.DUMMYFUNCTION("""COMPUTED_VALUE"""),"Nova Rosalandia")</f>
        <v>Nova Rosalandia</v>
      </c>
      <c r="C73" s="176" t="str">
        <f ca="1">IFERROR(__xludf.DUMMYFUNCTION("""COMPUTED_VALUE"""),"ASSOC.COM. ESC EST.REGINA SIQUEIRA CAMPOS")</f>
        <v>ASSOC.COM. ESC EST.REGINA SIQUEIRA CAMPOS</v>
      </c>
      <c r="D73" s="178" t="str">
        <f ca="1">IFERROR(__xludf.DUMMYFUNCTION("""COMPUTED_VALUE"""),"01181170000182")</f>
        <v>01181170000182</v>
      </c>
      <c r="E73" s="178" t="str">
        <f ca="1">IFERROR(__xludf.DUMMYFUNCTION("""COMPUTED_VALUE"""),"001")</f>
        <v>001</v>
      </c>
      <c r="F73" s="178" t="str">
        <f ca="1">IFERROR(__xludf.DUMMYFUNCTION("""COMPUTED_VALUE"""),"0804")</f>
        <v>0804</v>
      </c>
      <c r="G73" s="177" t="str">
        <f ca="1">IFERROR(__xludf.DUMMYFUNCTION("""COMPUTED_VALUE"""),"16383X")</f>
        <v>16383X</v>
      </c>
      <c r="H73" s="176" t="str">
        <f ca="1">IFERROR(__xludf.DUMMYFUNCTION("""COMPUTED_VALUE"""),"ENS MEDIO INTEGRAL")</f>
        <v>ENS MEDIO INTEGRAL</v>
      </c>
      <c r="I73" s="179">
        <f ca="1">IFERROR(__xludf.DUMMYFUNCTION("""COMPUTED_VALUE"""),1176)</f>
        <v>1176</v>
      </c>
    </row>
    <row r="74" spans="1:9" ht="20.25" customHeight="1">
      <c r="A74" s="177" t="str">
        <f ca="1">IFERROR(__xludf.DUMMYFUNCTION("""COMPUTED_VALUE"""),"Paraíso")</f>
        <v>Paraíso</v>
      </c>
      <c r="B74" s="177" t="str">
        <f ca="1">IFERROR(__xludf.DUMMYFUNCTION("""COMPUTED_VALUE"""),"Nova Rosalandia")</f>
        <v>Nova Rosalandia</v>
      </c>
      <c r="C74" s="176" t="str">
        <f ca="1">IFERROR(__xludf.DUMMYFUNCTION("""COMPUTED_VALUE"""),"ASSOC.COM. ESC EST.REGINA SIQUEIRA CAMPOS")</f>
        <v>ASSOC.COM. ESC EST.REGINA SIQUEIRA CAMPOS</v>
      </c>
      <c r="D74" s="178" t="str">
        <f ca="1">IFERROR(__xludf.DUMMYFUNCTION("""COMPUTED_VALUE"""),"01181170000182")</f>
        <v>01181170000182</v>
      </c>
      <c r="E74" s="178" t="str">
        <f ca="1">IFERROR(__xludf.DUMMYFUNCTION("""COMPUTED_VALUE"""),"001")</f>
        <v>001</v>
      </c>
      <c r="F74" s="178" t="str">
        <f ca="1">IFERROR(__xludf.DUMMYFUNCTION("""COMPUTED_VALUE"""),"0804")</f>
        <v>0804</v>
      </c>
      <c r="G74" s="177" t="str">
        <f ca="1">IFERROR(__xludf.DUMMYFUNCTION("""COMPUTED_VALUE"""),"16383X")</f>
        <v>16383X</v>
      </c>
      <c r="H74" s="176" t="str">
        <f ca="1">IFERROR(__xludf.DUMMYFUNCTION("""COMPUTED_VALUE"""),"SERVIDORES INTEGRAL")</f>
        <v>SERVIDORES INTEGRAL</v>
      </c>
      <c r="I74" s="179">
        <f ca="1">IFERROR(__xludf.DUMMYFUNCTION("""COMPUTED_VALUE"""),1097.8)</f>
        <v>1097.8</v>
      </c>
    </row>
    <row r="75" spans="1:9" ht="20.25" customHeight="1">
      <c r="A75" s="177" t="str">
        <f ca="1">IFERROR(__xludf.DUMMYFUNCTION("""COMPUTED_VALUE"""),"Paraíso")</f>
        <v>Paraíso</v>
      </c>
      <c r="B75" s="177" t="str">
        <f ca="1">IFERROR(__xludf.DUMMYFUNCTION("""COMPUTED_VALUE"""),"Paraiso do Tocantins")</f>
        <v>Paraiso do Tocantins</v>
      </c>
      <c r="C75" s="176" t="str">
        <f ca="1">IFERROR(__xludf.DUMMYFUNCTION("""COMPUTED_VALUE"""),"ASS. A. ESCOLA EST. DE TEMPO INTEGRAL PROFESSORA RITA ANDRADE SANTOS")</f>
        <v>ASS. A. ESCOLA EST. DE TEMPO INTEGRAL PROFESSORA RITA ANDRADE SANTOS</v>
      </c>
      <c r="D75" s="178" t="str">
        <f ca="1">IFERROR(__xludf.DUMMYFUNCTION("""COMPUTED_VALUE"""),"48740961000169")</f>
        <v>48740961000169</v>
      </c>
      <c r="E75" s="178" t="str">
        <f ca="1">IFERROR(__xludf.DUMMYFUNCTION("""COMPUTED_VALUE"""),"001")</f>
        <v>001</v>
      </c>
      <c r="F75" s="178" t="str">
        <f ca="1">IFERROR(__xludf.DUMMYFUNCTION("""COMPUTED_VALUE"""),"0804")</f>
        <v>0804</v>
      </c>
      <c r="G75" s="177" t="str">
        <f ca="1">IFERROR(__xludf.DUMMYFUNCTION("""COMPUTED_VALUE"""),"58858X")</f>
        <v>58858X</v>
      </c>
      <c r="H75" s="176" t="str">
        <f ca="1">IFERROR(__xludf.DUMMYFUNCTION("""COMPUTED_VALUE"""),"FUND INTEGRAL")</f>
        <v>FUND INTEGRAL</v>
      </c>
      <c r="I75" s="179">
        <f ca="1">IFERROR(__xludf.DUMMYFUNCTION("""COMPUTED_VALUE"""),41787.2)</f>
        <v>41787.199999999997</v>
      </c>
    </row>
    <row r="76" spans="1:9" ht="20.25" customHeight="1">
      <c r="A76" s="177" t="str">
        <f ca="1">IFERROR(__xludf.DUMMYFUNCTION("""COMPUTED_VALUE"""),"Paraíso")</f>
        <v>Paraíso</v>
      </c>
      <c r="B76" s="177" t="str">
        <f ca="1">IFERROR(__xludf.DUMMYFUNCTION("""COMPUTED_VALUE"""),"Paraiso do Tocantins")</f>
        <v>Paraiso do Tocantins</v>
      </c>
      <c r="C76" s="176" t="str">
        <f ca="1">IFERROR(__xludf.DUMMYFUNCTION("""COMPUTED_VALUE"""),"ASS. A. ESCOLA EST. DE TEMPO INTEGRAL PROFESSORA RITA ANDRADE SANTOS")</f>
        <v>ASS. A. ESCOLA EST. DE TEMPO INTEGRAL PROFESSORA RITA ANDRADE SANTOS</v>
      </c>
      <c r="D76" s="178" t="str">
        <f ca="1">IFERROR(__xludf.DUMMYFUNCTION("""COMPUTED_VALUE"""),"48740961000169")</f>
        <v>48740961000169</v>
      </c>
      <c r="E76" s="178" t="str">
        <f ca="1">IFERROR(__xludf.DUMMYFUNCTION("""COMPUTED_VALUE"""),"001")</f>
        <v>001</v>
      </c>
      <c r="F76" s="178" t="str">
        <f ca="1">IFERROR(__xludf.DUMMYFUNCTION("""COMPUTED_VALUE"""),"0804")</f>
        <v>0804</v>
      </c>
      <c r="G76" s="177" t="str">
        <f ca="1">IFERROR(__xludf.DUMMYFUNCTION("""COMPUTED_VALUE"""),"58858X")</f>
        <v>58858X</v>
      </c>
      <c r="H76" s="176" t="str">
        <f ca="1">IFERROR(__xludf.DUMMYFUNCTION("""COMPUTED_VALUE"""),"ENS MEDIO INTEGRAL")</f>
        <v>ENS MEDIO INTEGRAL</v>
      </c>
      <c r="I76" s="179">
        <f ca="1">IFERROR(__xludf.DUMMYFUNCTION("""COMPUTED_VALUE"""),2508.8)</f>
        <v>2508.8000000000002</v>
      </c>
    </row>
    <row r="77" spans="1:9" ht="20.25" customHeight="1">
      <c r="A77" s="177" t="str">
        <f ca="1">IFERROR(__xludf.DUMMYFUNCTION("""COMPUTED_VALUE"""),"Paraíso")</f>
        <v>Paraíso</v>
      </c>
      <c r="B77" s="177" t="str">
        <f ca="1">IFERROR(__xludf.DUMMYFUNCTION("""COMPUTED_VALUE"""),"Paraiso do Tocantins")</f>
        <v>Paraiso do Tocantins</v>
      </c>
      <c r="C77" s="176" t="str">
        <f ca="1">IFERROR(__xludf.DUMMYFUNCTION("""COMPUTED_VALUE"""),"ASS. A. ESCOLA EST. DE TEMPO INTEGRAL PROFESSORA RITA ANDRADE SANTOS")</f>
        <v>ASS. A. ESCOLA EST. DE TEMPO INTEGRAL PROFESSORA RITA ANDRADE SANTOS</v>
      </c>
      <c r="D77" s="178" t="str">
        <f ca="1">IFERROR(__xludf.DUMMYFUNCTION("""COMPUTED_VALUE"""),"48740961000169")</f>
        <v>48740961000169</v>
      </c>
      <c r="E77" s="178" t="str">
        <f ca="1">IFERROR(__xludf.DUMMYFUNCTION("""COMPUTED_VALUE"""),"001")</f>
        <v>001</v>
      </c>
      <c r="F77" s="178" t="str">
        <f ca="1">IFERROR(__xludf.DUMMYFUNCTION("""COMPUTED_VALUE"""),"0804")</f>
        <v>0804</v>
      </c>
      <c r="G77" s="177" t="str">
        <f ca="1">IFERROR(__xludf.DUMMYFUNCTION("""COMPUTED_VALUE"""),"58858X")</f>
        <v>58858X</v>
      </c>
      <c r="H77" s="176" t="str">
        <f ca="1">IFERROR(__xludf.DUMMYFUNCTION("""COMPUTED_VALUE"""),"SERVIDORES INTEGRAL")</f>
        <v>SERVIDORES INTEGRAL</v>
      </c>
      <c r="I77" s="179">
        <f ca="1">IFERROR(__xludf.DUMMYFUNCTION("""COMPUTED_VALUE"""),3792.4)</f>
        <v>3792.4</v>
      </c>
    </row>
    <row r="78" spans="1:9" ht="20.25" customHeight="1">
      <c r="A78" s="177" t="str">
        <f ca="1">IFERROR(__xludf.DUMMYFUNCTION("""COMPUTED_VALUE"""),"Pedro Afonso")</f>
        <v>Pedro Afonso</v>
      </c>
      <c r="B78" s="177" t="str">
        <f ca="1">IFERROR(__xludf.DUMMYFUNCTION("""COMPUTED_VALUE"""),"Pedro Afonso")</f>
        <v>Pedro Afonso</v>
      </c>
      <c r="C78" s="176" t="str">
        <f ca="1">IFERROR(__xludf.DUMMYFUNCTION("""COMPUTED_VALUE"""),"A.A. AO COLÉGIO DE TEMPO INTEGRAL PROFESSOR ANTONIO BELARMINO FILHO")</f>
        <v>A.A. AO COLÉGIO DE TEMPO INTEGRAL PROFESSOR ANTONIO BELARMINO FILHO</v>
      </c>
      <c r="D78" s="178" t="str">
        <f ca="1">IFERROR(__xludf.DUMMYFUNCTION("""COMPUTED_VALUE"""),"47823286000179")</f>
        <v>47823286000179</v>
      </c>
      <c r="E78" s="178" t="str">
        <f ca="1">IFERROR(__xludf.DUMMYFUNCTION("""COMPUTED_VALUE"""),"001")</f>
        <v>001</v>
      </c>
      <c r="F78" s="178" t="str">
        <f ca="1">IFERROR(__xludf.DUMMYFUNCTION("""COMPUTED_VALUE"""),"1595")</f>
        <v>1595</v>
      </c>
      <c r="G78" s="177" t="str">
        <f ca="1">IFERROR(__xludf.DUMMYFUNCTION("""COMPUTED_VALUE"""),"334804")</f>
        <v>334804</v>
      </c>
      <c r="H78" s="176" t="str">
        <f ca="1">IFERROR(__xludf.DUMMYFUNCTION("""COMPUTED_VALUE"""),"FUND INTEGRAL")</f>
        <v>FUND INTEGRAL</v>
      </c>
      <c r="I78" s="179">
        <f ca="1">IFERROR(__xludf.DUMMYFUNCTION("""COMPUTED_VALUE"""),33398.4)</f>
        <v>33398.400000000001</v>
      </c>
    </row>
    <row r="79" spans="1:9" ht="20.25" customHeight="1">
      <c r="A79" s="177" t="str">
        <f ca="1">IFERROR(__xludf.DUMMYFUNCTION("""COMPUTED_VALUE"""),"Pedro Afonso")</f>
        <v>Pedro Afonso</v>
      </c>
      <c r="B79" s="177" t="str">
        <f ca="1">IFERROR(__xludf.DUMMYFUNCTION("""COMPUTED_VALUE"""),"Pedro Afonso")</f>
        <v>Pedro Afonso</v>
      </c>
      <c r="C79" s="176" t="str">
        <f ca="1">IFERROR(__xludf.DUMMYFUNCTION("""COMPUTED_VALUE"""),"A.A. AO COLÉGIO DE TEMPO INTEGRAL PROFESSOR ANTONIO BELARMINO FILHO")</f>
        <v>A.A. AO COLÉGIO DE TEMPO INTEGRAL PROFESSOR ANTONIO BELARMINO FILHO</v>
      </c>
      <c r="D79" s="178" t="str">
        <f ca="1">IFERROR(__xludf.DUMMYFUNCTION("""COMPUTED_VALUE"""),"47823286000179")</f>
        <v>47823286000179</v>
      </c>
      <c r="E79" s="178" t="str">
        <f ca="1">IFERROR(__xludf.DUMMYFUNCTION("""COMPUTED_VALUE"""),"001")</f>
        <v>001</v>
      </c>
      <c r="F79" s="178" t="str">
        <f ca="1">IFERROR(__xludf.DUMMYFUNCTION("""COMPUTED_VALUE"""),"1595")</f>
        <v>1595</v>
      </c>
      <c r="G79" s="177" t="str">
        <f ca="1">IFERROR(__xludf.DUMMYFUNCTION("""COMPUTED_VALUE"""),"334804")</f>
        <v>334804</v>
      </c>
      <c r="H79" s="176" t="str">
        <f ca="1">IFERROR(__xludf.DUMMYFUNCTION("""COMPUTED_VALUE"""),"ENS MEDIO INTEGRAL")</f>
        <v>ENS MEDIO INTEGRAL</v>
      </c>
      <c r="I79" s="179">
        <f ca="1">IFERROR(__xludf.DUMMYFUNCTION("""COMPUTED_VALUE"""),9172.8)</f>
        <v>9172.7999999999993</v>
      </c>
    </row>
    <row r="80" spans="1:9" ht="20.25" customHeight="1">
      <c r="A80" s="177" t="str">
        <f ca="1">IFERROR(__xludf.DUMMYFUNCTION("""COMPUTED_VALUE"""),"Pedro Afonso")</f>
        <v>Pedro Afonso</v>
      </c>
      <c r="B80" s="177" t="str">
        <f ca="1">IFERROR(__xludf.DUMMYFUNCTION("""COMPUTED_VALUE"""),"Pedro Afonso")</f>
        <v>Pedro Afonso</v>
      </c>
      <c r="C80" s="176" t="str">
        <f ca="1">IFERROR(__xludf.DUMMYFUNCTION("""COMPUTED_VALUE"""),"A.A. AO COLÉGIO DE TEMPO INTEGRAL PROFESSOR ANTONIO BELARMINO FILHO")</f>
        <v>A.A. AO COLÉGIO DE TEMPO INTEGRAL PROFESSOR ANTONIO BELARMINO FILHO</v>
      </c>
      <c r="D80" s="178" t="str">
        <f ca="1">IFERROR(__xludf.DUMMYFUNCTION("""COMPUTED_VALUE"""),"47823286000179")</f>
        <v>47823286000179</v>
      </c>
      <c r="E80" s="178" t="str">
        <f ca="1">IFERROR(__xludf.DUMMYFUNCTION("""COMPUTED_VALUE"""),"001")</f>
        <v>001</v>
      </c>
      <c r="F80" s="178" t="str">
        <f ca="1">IFERROR(__xludf.DUMMYFUNCTION("""COMPUTED_VALUE"""),"1595")</f>
        <v>1595</v>
      </c>
      <c r="G80" s="177" t="str">
        <f ca="1">IFERROR(__xludf.DUMMYFUNCTION("""COMPUTED_VALUE"""),"334804")</f>
        <v>334804</v>
      </c>
      <c r="H80" s="176" t="str">
        <f ca="1">IFERROR(__xludf.DUMMYFUNCTION("""COMPUTED_VALUE"""),"SERVIDORES INTEGRAL")</f>
        <v>SERVIDORES INTEGRAL</v>
      </c>
      <c r="I80" s="179">
        <f ca="1">IFERROR(__xludf.DUMMYFUNCTION("""COMPUTED_VALUE"""),3592.79999999999)</f>
        <v>3592.7999999999902</v>
      </c>
    </row>
    <row r="81" spans="1:9" ht="20.25" customHeight="1">
      <c r="A81" s="177" t="str">
        <f ca="1">IFERROR(__xludf.DUMMYFUNCTION("""COMPUTED_VALUE"""),"Pedro Afonso")</f>
        <v>Pedro Afonso</v>
      </c>
      <c r="B81" s="177" t="str">
        <f ca="1">IFERROR(__xludf.DUMMYFUNCTION("""COMPUTED_VALUE"""),"Santa Maria do Tocantins")</f>
        <v>Santa Maria do Tocantins</v>
      </c>
      <c r="C81" s="176" t="str">
        <f ca="1">IFERROR(__xludf.DUMMYFUNCTION("""COMPUTED_VALUE"""),"A. A.AS ESC.DO COL. EST. SANTA MARIA")</f>
        <v>A. A.AS ESC.DO COL. EST. SANTA MARIA</v>
      </c>
      <c r="D81" s="178" t="str">
        <f ca="1">IFERROR(__xludf.DUMMYFUNCTION("""COMPUTED_VALUE"""),"02087933000193")</f>
        <v>02087933000193</v>
      </c>
      <c r="E81" s="178" t="str">
        <f ca="1">IFERROR(__xludf.DUMMYFUNCTION("""COMPUTED_VALUE"""),"001")</f>
        <v>001</v>
      </c>
      <c r="F81" s="178" t="str">
        <f ca="1">IFERROR(__xludf.DUMMYFUNCTION("""COMPUTED_VALUE"""),"1595")</f>
        <v>1595</v>
      </c>
      <c r="G81" s="177" t="str">
        <f ca="1">IFERROR(__xludf.DUMMYFUNCTION("""COMPUTED_VALUE"""),"83089")</f>
        <v>83089</v>
      </c>
      <c r="H81" s="177" t="str">
        <f ca="1">IFERROR(__xludf.DUMMYFUNCTION("""COMPUTED_VALUE"""),"FUND INTEGRAL")</f>
        <v>FUND INTEGRAL</v>
      </c>
      <c r="I81" s="179">
        <f ca="1">IFERROR(__xludf.DUMMYFUNCTION("""COMPUTED_VALUE"""),8780.8)</f>
        <v>8780.7999999999993</v>
      </c>
    </row>
    <row r="82" spans="1:9" ht="20.25" customHeight="1">
      <c r="A82" s="177" t="str">
        <f ca="1">IFERROR(__xludf.DUMMYFUNCTION("""COMPUTED_VALUE"""),"Pedro Afonso")</f>
        <v>Pedro Afonso</v>
      </c>
      <c r="B82" s="177" t="str">
        <f ca="1">IFERROR(__xludf.DUMMYFUNCTION("""COMPUTED_VALUE"""),"Santa Maria do Tocantins")</f>
        <v>Santa Maria do Tocantins</v>
      </c>
      <c r="C82" s="176" t="str">
        <f ca="1">IFERROR(__xludf.DUMMYFUNCTION("""COMPUTED_VALUE"""),"A. A.AS ESC.DO COL. EST. SANTA MARIA")</f>
        <v>A. A.AS ESC.DO COL. EST. SANTA MARIA</v>
      </c>
      <c r="D82" s="178" t="str">
        <f ca="1">IFERROR(__xludf.DUMMYFUNCTION("""COMPUTED_VALUE"""),"02087933000193")</f>
        <v>02087933000193</v>
      </c>
      <c r="E82" s="178" t="str">
        <f ca="1">IFERROR(__xludf.DUMMYFUNCTION("""COMPUTED_VALUE"""),"001")</f>
        <v>001</v>
      </c>
      <c r="F82" s="178" t="str">
        <f ca="1">IFERROR(__xludf.DUMMYFUNCTION("""COMPUTED_VALUE"""),"1595")</f>
        <v>1595</v>
      </c>
      <c r="G82" s="177" t="str">
        <f ca="1">IFERROR(__xludf.DUMMYFUNCTION("""COMPUTED_VALUE"""),"83089")</f>
        <v>83089</v>
      </c>
      <c r="H82" s="177" t="str">
        <f ca="1">IFERROR(__xludf.DUMMYFUNCTION("""COMPUTED_VALUE"""),"SERVIDORES INTEGRAL")</f>
        <v>SERVIDORES INTEGRAL</v>
      </c>
      <c r="I82" s="179">
        <f ca="1">IFERROR(__xludf.DUMMYFUNCTION("""COMPUTED_VALUE"""),698.6)</f>
        <v>698.6</v>
      </c>
    </row>
    <row r="83" spans="1:9" ht="19.5" customHeight="1">
      <c r="A83" s="177" t="str">
        <f ca="1">IFERROR(__xludf.DUMMYFUNCTION("""COMPUTED_VALUE"""),"Pedro Afonso")</f>
        <v>Pedro Afonso</v>
      </c>
      <c r="B83" s="177" t="str">
        <f ca="1">IFERROR(__xludf.DUMMYFUNCTION("""COMPUTED_VALUE"""),"Tupirama")</f>
        <v>Tupirama</v>
      </c>
      <c r="C83" s="177" t="str">
        <f ca="1">IFERROR(__xludf.DUMMYFUNCTION("""COMPUTED_VALUE"""),"A.A. A ESCOLA EST. MARIA DA GLORIA")</f>
        <v>A.A. A ESCOLA EST. MARIA DA GLORIA</v>
      </c>
      <c r="D83" s="178" t="str">
        <f ca="1">IFERROR(__xludf.DUMMYFUNCTION("""COMPUTED_VALUE"""),"02096555000104")</f>
        <v>02096555000104</v>
      </c>
      <c r="E83" s="178" t="str">
        <f ca="1">IFERROR(__xludf.DUMMYFUNCTION("""COMPUTED_VALUE"""),"001")</f>
        <v>001</v>
      </c>
      <c r="F83" s="178" t="str">
        <f ca="1">IFERROR(__xludf.DUMMYFUNCTION("""COMPUTED_VALUE"""),"2094")</f>
        <v>2094</v>
      </c>
      <c r="G83" s="177" t="str">
        <f ca="1">IFERROR(__xludf.DUMMYFUNCTION("""COMPUTED_VALUE"""),"50482")</f>
        <v>50482</v>
      </c>
      <c r="H83" s="177" t="str">
        <f ca="1">IFERROR(__xludf.DUMMYFUNCTION("""COMPUTED_VALUE"""),"FUND INTEGRAL")</f>
        <v>FUND INTEGRAL</v>
      </c>
      <c r="I83" s="179">
        <f ca="1">IFERROR(__xludf.DUMMYFUNCTION("""COMPUTED_VALUE"""),9956.8)</f>
        <v>9956.7999999999993</v>
      </c>
    </row>
    <row r="84" spans="1:9" ht="19.5" customHeight="1">
      <c r="A84" s="177" t="str">
        <f ca="1">IFERROR(__xludf.DUMMYFUNCTION("""COMPUTED_VALUE"""),"Pedro Afonso")</f>
        <v>Pedro Afonso</v>
      </c>
      <c r="B84" s="177" t="str">
        <f ca="1">IFERROR(__xludf.DUMMYFUNCTION("""COMPUTED_VALUE"""),"Tupirama")</f>
        <v>Tupirama</v>
      </c>
      <c r="C84" s="177" t="str">
        <f ca="1">IFERROR(__xludf.DUMMYFUNCTION("""COMPUTED_VALUE"""),"A.A. A ESCOLA EST. MARIA DA GLORIA")</f>
        <v>A.A. A ESCOLA EST. MARIA DA GLORIA</v>
      </c>
      <c r="D84" s="178" t="str">
        <f ca="1">IFERROR(__xludf.DUMMYFUNCTION("""COMPUTED_VALUE"""),"02096555000104")</f>
        <v>02096555000104</v>
      </c>
      <c r="E84" s="178" t="str">
        <f ca="1">IFERROR(__xludf.DUMMYFUNCTION("""COMPUTED_VALUE"""),"001")</f>
        <v>001</v>
      </c>
      <c r="F84" s="178" t="str">
        <f ca="1">IFERROR(__xludf.DUMMYFUNCTION("""COMPUTED_VALUE"""),"2094")</f>
        <v>2094</v>
      </c>
      <c r="G84" s="177" t="str">
        <f ca="1">IFERROR(__xludf.DUMMYFUNCTION("""COMPUTED_VALUE"""),"50482")</f>
        <v>50482</v>
      </c>
      <c r="H84" s="177" t="str">
        <f ca="1">IFERROR(__xludf.DUMMYFUNCTION("""COMPUTED_VALUE"""),"SERVIDORES INTEGRAL")</f>
        <v>SERVIDORES INTEGRAL</v>
      </c>
      <c r="I84" s="179">
        <f ca="1">IFERROR(__xludf.DUMMYFUNCTION("""COMPUTED_VALUE"""),798.4)</f>
        <v>798.4</v>
      </c>
    </row>
    <row r="85" spans="1:9" ht="19.5" customHeight="1">
      <c r="A85" s="177" t="str">
        <f ca="1">IFERROR(__xludf.DUMMYFUNCTION("""COMPUTED_VALUE"""),"Porto Nacional")</f>
        <v>Porto Nacional</v>
      </c>
      <c r="B85" s="177" t="str">
        <f ca="1">IFERROR(__xludf.DUMMYFUNCTION("""COMPUTED_VALUE"""),"Brejinho de Nazare")</f>
        <v>Brejinho de Nazare</v>
      </c>
      <c r="C85" s="177" t="str">
        <f ca="1">IFERROR(__xludf.DUMMYFUNCTION("""COMPUTED_VALUE"""),"AS.DE APOIO A ESC. EST. JONAS PEREIRA LIMA")</f>
        <v>AS.DE APOIO A ESC. EST. JONAS PEREIRA LIMA</v>
      </c>
      <c r="D85" s="178" t="str">
        <f ca="1">IFERROR(__xludf.DUMMYFUNCTION("""COMPUTED_VALUE"""),"01148459000108")</f>
        <v>01148459000108</v>
      </c>
      <c r="E85" s="178" t="str">
        <f ca="1">IFERROR(__xludf.DUMMYFUNCTION("""COMPUTED_VALUE"""),"001")</f>
        <v>001</v>
      </c>
      <c r="F85" s="178" t="str">
        <f ca="1">IFERROR(__xludf.DUMMYFUNCTION("""COMPUTED_VALUE"""),"3976")</f>
        <v>3976</v>
      </c>
      <c r="G85" s="177" t="str">
        <f ca="1">IFERROR(__xludf.DUMMYFUNCTION("""COMPUTED_VALUE"""),"80489")</f>
        <v>80489</v>
      </c>
      <c r="H85" s="177" t="str">
        <f ca="1">IFERROR(__xludf.DUMMYFUNCTION("""COMPUTED_VALUE"""),"FUND INTEGRAL")</f>
        <v>FUND INTEGRAL</v>
      </c>
      <c r="I85" s="179">
        <f ca="1">IFERROR(__xludf.DUMMYFUNCTION("""COMPUTED_VALUE"""),21716.8)</f>
        <v>21716.799999999999</v>
      </c>
    </row>
    <row r="86" spans="1:9" ht="19.5" customHeight="1">
      <c r="A86" s="177" t="str">
        <f ca="1">IFERROR(__xludf.DUMMYFUNCTION("""COMPUTED_VALUE"""),"Porto Nacional")</f>
        <v>Porto Nacional</v>
      </c>
      <c r="B86" s="177" t="str">
        <f ca="1">IFERROR(__xludf.DUMMYFUNCTION("""COMPUTED_VALUE"""),"Brejinho de Nazare")</f>
        <v>Brejinho de Nazare</v>
      </c>
      <c r="C86" s="177" t="str">
        <f ca="1">IFERROR(__xludf.DUMMYFUNCTION("""COMPUTED_VALUE"""),"AS.DE APOIO A ESC. EST. JONAS PEREIRA LIMA")</f>
        <v>AS.DE APOIO A ESC. EST. JONAS PEREIRA LIMA</v>
      </c>
      <c r="D86" s="178" t="str">
        <f ca="1">IFERROR(__xludf.DUMMYFUNCTION("""COMPUTED_VALUE"""),"01148459000108")</f>
        <v>01148459000108</v>
      </c>
      <c r="E86" s="178" t="str">
        <f ca="1">IFERROR(__xludf.DUMMYFUNCTION("""COMPUTED_VALUE"""),"001")</f>
        <v>001</v>
      </c>
      <c r="F86" s="178" t="str">
        <f ca="1">IFERROR(__xludf.DUMMYFUNCTION("""COMPUTED_VALUE"""),"3976")</f>
        <v>3976</v>
      </c>
      <c r="G86" s="177" t="str">
        <f ca="1">IFERROR(__xludf.DUMMYFUNCTION("""COMPUTED_VALUE"""),"80489")</f>
        <v>80489</v>
      </c>
      <c r="H86" s="177" t="str">
        <f ca="1">IFERROR(__xludf.DUMMYFUNCTION("""COMPUTED_VALUE"""),"SERVIDORES INTEGRAL")</f>
        <v>SERVIDORES INTEGRAL</v>
      </c>
      <c r="I86" s="179">
        <f ca="1">IFERROR(__xludf.DUMMYFUNCTION("""COMPUTED_VALUE"""),1796.39999999999)</f>
        <v>1796.3999999999901</v>
      </c>
    </row>
    <row r="87" spans="1:9" ht="19.5" customHeight="1">
      <c r="A87" s="177" t="str">
        <f ca="1">IFERROR(__xludf.DUMMYFUNCTION("""COMPUTED_VALUE"""),"Porto Nacional")</f>
        <v>Porto Nacional</v>
      </c>
      <c r="B87" s="177" t="str">
        <f ca="1">IFERROR(__xludf.DUMMYFUNCTION("""COMPUTED_VALUE"""),"Monte do Carmo")</f>
        <v>Monte do Carmo</v>
      </c>
      <c r="C87" s="177" t="str">
        <f ca="1">IFERROR(__xludf.DUMMYFUNCTION("""COMPUTED_VALUE"""),"A.APOIO DA ESCOLA ESTADUAL MESTRA BELA")</f>
        <v>A.APOIO DA ESCOLA ESTADUAL MESTRA BELA</v>
      </c>
      <c r="D87" s="178" t="str">
        <f ca="1">IFERROR(__xludf.DUMMYFUNCTION("""COMPUTED_VALUE"""),"01071442000191")</f>
        <v>01071442000191</v>
      </c>
      <c r="E87" s="178" t="str">
        <f ca="1">IFERROR(__xludf.DUMMYFUNCTION("""COMPUTED_VALUE"""),"001")</f>
        <v>001</v>
      </c>
      <c r="F87" s="178" t="str">
        <f ca="1">IFERROR(__xludf.DUMMYFUNCTION("""COMPUTED_VALUE"""),"1117")</f>
        <v>1117</v>
      </c>
      <c r="G87" s="177" t="str">
        <f ca="1">IFERROR(__xludf.DUMMYFUNCTION("""COMPUTED_VALUE"""),"31286X")</f>
        <v>31286X</v>
      </c>
      <c r="H87" s="177" t="str">
        <f ca="1">IFERROR(__xludf.DUMMYFUNCTION("""COMPUTED_VALUE"""),"FUND INTEGRAL")</f>
        <v>FUND INTEGRAL</v>
      </c>
      <c r="I87" s="179">
        <f ca="1">IFERROR(__xludf.DUMMYFUNCTION("""COMPUTED_VALUE"""),8937.6)</f>
        <v>8937.6</v>
      </c>
    </row>
    <row r="88" spans="1:9" ht="19.5" customHeight="1">
      <c r="A88" s="177" t="str">
        <f ca="1">IFERROR(__xludf.DUMMYFUNCTION("""COMPUTED_VALUE"""),"Porto Nacional")</f>
        <v>Porto Nacional</v>
      </c>
      <c r="B88" s="177" t="str">
        <f ca="1">IFERROR(__xludf.DUMMYFUNCTION("""COMPUTED_VALUE"""),"Monte do Carmo")</f>
        <v>Monte do Carmo</v>
      </c>
      <c r="C88" s="177" t="str">
        <f ca="1">IFERROR(__xludf.DUMMYFUNCTION("""COMPUTED_VALUE"""),"A.APOIO DA ESCOLA ESTADUAL MESTRA BELA")</f>
        <v>A.APOIO DA ESCOLA ESTADUAL MESTRA BELA</v>
      </c>
      <c r="D88" s="178" t="str">
        <f ca="1">IFERROR(__xludf.DUMMYFUNCTION("""COMPUTED_VALUE"""),"01071442000191")</f>
        <v>01071442000191</v>
      </c>
      <c r="E88" s="178" t="str">
        <f ca="1">IFERROR(__xludf.DUMMYFUNCTION("""COMPUTED_VALUE"""),"001")</f>
        <v>001</v>
      </c>
      <c r="F88" s="178" t="str">
        <f ca="1">IFERROR(__xludf.DUMMYFUNCTION("""COMPUTED_VALUE"""),"1117")</f>
        <v>1117</v>
      </c>
      <c r="G88" s="177" t="str">
        <f ca="1">IFERROR(__xludf.DUMMYFUNCTION("""COMPUTED_VALUE"""),"31286X")</f>
        <v>31286X</v>
      </c>
      <c r="H88" s="177" t="str">
        <f ca="1">IFERROR(__xludf.DUMMYFUNCTION("""COMPUTED_VALUE"""),"SERVIDORES INTEGRAL")</f>
        <v>SERVIDORES INTEGRAL</v>
      </c>
      <c r="I88" s="179">
        <f ca="1">IFERROR(__xludf.DUMMYFUNCTION("""COMPUTED_VALUE"""),798.4)</f>
        <v>798.4</v>
      </c>
    </row>
    <row r="89" spans="1:9" ht="19.5" customHeight="1">
      <c r="A89" s="177" t="str">
        <f ca="1">IFERROR(__xludf.DUMMYFUNCTION("""COMPUTED_VALUE"""),"Porto Nacional")</f>
        <v>Porto Nacional</v>
      </c>
      <c r="B89" s="177" t="str">
        <f ca="1">IFERROR(__xludf.DUMMYFUNCTION("""COMPUTED_VALUE"""),"Monte do Carmo")</f>
        <v>Monte do Carmo</v>
      </c>
      <c r="C89" s="177" t="str">
        <f ca="1">IFERROR(__xludf.DUMMYFUNCTION("""COMPUTED_VALUE"""),"A.A. DA ESC. EST. BRIGADAS CHE GUEVARA")</f>
        <v>A.A. DA ESC. EST. BRIGADAS CHE GUEVARA</v>
      </c>
      <c r="D89" s="178" t="str">
        <f ca="1">IFERROR(__xludf.DUMMYFUNCTION("""COMPUTED_VALUE"""),"08593650000108")</f>
        <v>08593650000108</v>
      </c>
      <c r="E89" s="178" t="str">
        <f ca="1">IFERROR(__xludf.DUMMYFUNCTION("""COMPUTED_VALUE"""),"001")</f>
        <v>001</v>
      </c>
      <c r="F89" s="178" t="str">
        <f ca="1">IFERROR(__xludf.DUMMYFUNCTION("""COMPUTED_VALUE"""),"1117")</f>
        <v>1117</v>
      </c>
      <c r="G89" s="177" t="str">
        <f ca="1">IFERROR(__xludf.DUMMYFUNCTION("""COMPUTED_VALUE"""),"263060")</f>
        <v>263060</v>
      </c>
      <c r="H89" s="177" t="str">
        <f ca="1">IFERROR(__xludf.DUMMYFUNCTION("""COMPUTED_VALUE"""),"ENS MEDIO INTEGRAL")</f>
        <v>ENS MEDIO INTEGRAL</v>
      </c>
      <c r="I89" s="179">
        <f ca="1">IFERROR(__xludf.DUMMYFUNCTION("""COMPUTED_VALUE"""),4233.6)</f>
        <v>4233.6000000000004</v>
      </c>
    </row>
    <row r="90" spans="1:9" ht="19.5" customHeight="1">
      <c r="A90" s="177" t="str">
        <f ca="1">IFERROR(__xludf.DUMMYFUNCTION("""COMPUTED_VALUE"""),"Porto Nacional")</f>
        <v>Porto Nacional</v>
      </c>
      <c r="B90" s="177" t="str">
        <f ca="1">IFERROR(__xludf.DUMMYFUNCTION("""COMPUTED_VALUE"""),"Monte do Carmo")</f>
        <v>Monte do Carmo</v>
      </c>
      <c r="C90" s="177" t="str">
        <f ca="1">IFERROR(__xludf.DUMMYFUNCTION("""COMPUTED_VALUE"""),"A.A. DA ESC. EST. BRIGADAS CHE GUEVARA")</f>
        <v>A.A. DA ESC. EST. BRIGADAS CHE GUEVARA</v>
      </c>
      <c r="D90" s="178" t="str">
        <f ca="1">IFERROR(__xludf.DUMMYFUNCTION("""COMPUTED_VALUE"""),"08593650000108")</f>
        <v>08593650000108</v>
      </c>
      <c r="E90" s="178" t="str">
        <f ca="1">IFERROR(__xludf.DUMMYFUNCTION("""COMPUTED_VALUE"""),"001")</f>
        <v>001</v>
      </c>
      <c r="F90" s="178" t="str">
        <f ca="1">IFERROR(__xludf.DUMMYFUNCTION("""COMPUTED_VALUE"""),"1117")</f>
        <v>1117</v>
      </c>
      <c r="G90" s="177" t="str">
        <f ca="1">IFERROR(__xludf.DUMMYFUNCTION("""COMPUTED_VALUE"""),"263060")</f>
        <v>263060</v>
      </c>
      <c r="H90" s="177" t="str">
        <f ca="1">IFERROR(__xludf.DUMMYFUNCTION("""COMPUTED_VALUE"""),"AGRICOLA")</f>
        <v>AGRICOLA</v>
      </c>
      <c r="I90" s="179">
        <f ca="1">IFERROR(__xludf.DUMMYFUNCTION("""COMPUTED_VALUE"""),8035.2)</f>
        <v>8035.2</v>
      </c>
    </row>
    <row r="91" spans="1:9" ht="19.5" customHeight="1">
      <c r="A91" s="177" t="str">
        <f ca="1">IFERROR(__xludf.DUMMYFUNCTION("""COMPUTED_VALUE"""),"Porto Nacional")</f>
        <v>Porto Nacional</v>
      </c>
      <c r="B91" s="177" t="str">
        <f ca="1">IFERROR(__xludf.DUMMYFUNCTION("""COMPUTED_VALUE"""),"Monte do Carmo")</f>
        <v>Monte do Carmo</v>
      </c>
      <c r="C91" s="177" t="str">
        <f ca="1">IFERROR(__xludf.DUMMYFUNCTION("""COMPUTED_VALUE"""),"A.A. DA ESC. EST. BRIGADAS CHE GUEVARA")</f>
        <v>A.A. DA ESC. EST. BRIGADAS CHE GUEVARA</v>
      </c>
      <c r="D91" s="178" t="str">
        <f ca="1">IFERROR(__xludf.DUMMYFUNCTION("""COMPUTED_VALUE"""),"08593650000108")</f>
        <v>08593650000108</v>
      </c>
      <c r="E91" s="178" t="str">
        <f ca="1">IFERROR(__xludf.DUMMYFUNCTION("""COMPUTED_VALUE"""),"001")</f>
        <v>001</v>
      </c>
      <c r="F91" s="178" t="str">
        <f ca="1">IFERROR(__xludf.DUMMYFUNCTION("""COMPUTED_VALUE"""),"1117")</f>
        <v>1117</v>
      </c>
      <c r="G91" s="177" t="str">
        <f ca="1">IFERROR(__xludf.DUMMYFUNCTION("""COMPUTED_VALUE"""),"263060")</f>
        <v>263060</v>
      </c>
      <c r="H91" s="177" t="str">
        <f ca="1">IFERROR(__xludf.DUMMYFUNCTION("""COMPUTED_VALUE"""),"SERVIDORES AGRICOLA")</f>
        <v>SERVIDORES AGRICOLA</v>
      </c>
      <c r="I91" s="179">
        <f ca="1">IFERROR(__xludf.DUMMYFUNCTION("""COMPUTED_VALUE"""),680.8)</f>
        <v>680.8</v>
      </c>
    </row>
    <row r="92" spans="1:9" ht="19.5" customHeight="1">
      <c r="A92" s="177" t="str">
        <f ca="1">IFERROR(__xludf.DUMMYFUNCTION("""COMPUTED_VALUE"""),"Porto Nacional")</f>
        <v>Porto Nacional</v>
      </c>
      <c r="B92" s="177" t="str">
        <f ca="1">IFERROR(__xludf.DUMMYFUNCTION("""COMPUTED_VALUE"""),"Natividade")</f>
        <v>Natividade</v>
      </c>
      <c r="C92" s="177" t="str">
        <f ca="1">IFERROR(__xludf.DUMMYFUNCTION("""COMPUTED_VALUE"""),"ASSOC. NOSSA SENHORA NATIVIDADE COL. AGRÍCOLA")</f>
        <v>ASSOC. NOSSA SENHORA NATIVIDADE COL. AGRÍCOLA</v>
      </c>
      <c r="D92" s="178" t="str">
        <f ca="1">IFERROR(__xludf.DUMMYFUNCTION("""COMPUTED_VALUE"""),"03758716000140")</f>
        <v>03758716000140</v>
      </c>
      <c r="E92" s="178" t="str">
        <f ca="1">IFERROR(__xludf.DUMMYFUNCTION("""COMPUTED_VALUE"""),"001")</f>
        <v>001</v>
      </c>
      <c r="F92" s="178" t="str">
        <f ca="1">IFERROR(__xludf.DUMMYFUNCTION("""COMPUTED_VALUE"""),"3980")</f>
        <v>3980</v>
      </c>
      <c r="G92" s="177" t="str">
        <f ca="1">IFERROR(__xludf.DUMMYFUNCTION("""COMPUTED_VALUE"""),"282782")</f>
        <v>282782</v>
      </c>
      <c r="H92" s="177" t="str">
        <f ca="1">IFERROR(__xludf.DUMMYFUNCTION("""COMPUTED_VALUE"""),"AGRICOLA")</f>
        <v>AGRICOLA</v>
      </c>
      <c r="I92" s="179">
        <f ca="1">IFERROR(__xludf.DUMMYFUNCTION("""COMPUTED_VALUE"""),33182.4)</f>
        <v>33182.400000000001</v>
      </c>
    </row>
    <row r="93" spans="1:9" ht="19.5" customHeight="1">
      <c r="A93" s="177" t="str">
        <f ca="1">IFERROR(__xludf.DUMMYFUNCTION("""COMPUTED_VALUE"""),"Porto Nacional")</f>
        <v>Porto Nacional</v>
      </c>
      <c r="B93" s="177" t="str">
        <f ca="1">IFERROR(__xludf.DUMMYFUNCTION("""COMPUTED_VALUE"""),"Natividade")</f>
        <v>Natividade</v>
      </c>
      <c r="C93" s="177" t="str">
        <f ca="1">IFERROR(__xludf.DUMMYFUNCTION("""COMPUTED_VALUE"""),"ASSOC. NOSSA SENHORA NATIVIDADE COL. AGRÍCOLA")</f>
        <v>ASSOC. NOSSA SENHORA NATIVIDADE COL. AGRÍCOLA</v>
      </c>
      <c r="D93" s="178" t="str">
        <f ca="1">IFERROR(__xludf.DUMMYFUNCTION("""COMPUTED_VALUE"""),"03758716000140")</f>
        <v>03758716000140</v>
      </c>
      <c r="E93" s="178" t="str">
        <f ca="1">IFERROR(__xludf.DUMMYFUNCTION("""COMPUTED_VALUE"""),"001")</f>
        <v>001</v>
      </c>
      <c r="F93" s="178" t="str">
        <f ca="1">IFERROR(__xludf.DUMMYFUNCTION("""COMPUTED_VALUE"""),"3980")</f>
        <v>3980</v>
      </c>
      <c r="G93" s="177" t="str">
        <f ca="1">IFERROR(__xludf.DUMMYFUNCTION("""COMPUTED_VALUE"""),"282782")</f>
        <v>282782</v>
      </c>
      <c r="H93" s="177" t="str">
        <f ca="1">IFERROR(__xludf.DUMMYFUNCTION("""COMPUTED_VALUE"""),"SERVIDORES AGRICOLA")</f>
        <v>SERVIDORES AGRICOLA</v>
      </c>
      <c r="I93" s="179">
        <f ca="1">IFERROR(__xludf.DUMMYFUNCTION("""COMPUTED_VALUE"""),2553)</f>
        <v>2553</v>
      </c>
    </row>
    <row r="94" spans="1:9" ht="19.5" customHeight="1">
      <c r="A94" s="177" t="str">
        <f ca="1">IFERROR(__xludf.DUMMYFUNCTION("""COMPUTED_VALUE"""),"Porto Nacional")</f>
        <v>Porto Nacional</v>
      </c>
      <c r="B94" s="177" t="str">
        <f ca="1">IFERROR(__xludf.DUMMYFUNCTION("""COMPUTED_VALUE"""),"Pindorama do Tocantins")</f>
        <v>Pindorama do Tocantins</v>
      </c>
      <c r="C94" s="177" t="str">
        <f ca="1">IFERROR(__xludf.DUMMYFUNCTION("""COMPUTED_VALUE"""),"A.A. DO COL. EST. MANOEL DOS SANTOS ROSAL")</f>
        <v>A.A. DO COL. EST. MANOEL DOS SANTOS ROSAL</v>
      </c>
      <c r="D94" s="178" t="str">
        <f ca="1">IFERROR(__xludf.DUMMYFUNCTION("""COMPUTED_VALUE"""),"01034136000185")</f>
        <v>01034136000185</v>
      </c>
      <c r="E94" s="178" t="str">
        <f ca="1">IFERROR(__xludf.DUMMYFUNCTION("""COMPUTED_VALUE"""),"001")</f>
        <v>001</v>
      </c>
      <c r="F94" s="178" t="str">
        <f ca="1">IFERROR(__xludf.DUMMYFUNCTION("""COMPUTED_VALUE"""),"1117")</f>
        <v>1117</v>
      </c>
      <c r="G94" s="177" t="str">
        <f ca="1">IFERROR(__xludf.DUMMYFUNCTION("""COMPUTED_VALUE"""),"312991")</f>
        <v>312991</v>
      </c>
      <c r="H94" s="177" t="str">
        <f ca="1">IFERROR(__xludf.DUMMYFUNCTION("""COMPUTED_VALUE"""),"FUND INTEGRAL")</f>
        <v>FUND INTEGRAL</v>
      </c>
      <c r="I94" s="179">
        <f ca="1">IFERROR(__xludf.DUMMYFUNCTION("""COMPUTED_VALUE"""),8545.6)</f>
        <v>8545.6</v>
      </c>
    </row>
    <row r="95" spans="1:9" ht="19.5" customHeight="1">
      <c r="A95" s="177" t="str">
        <f ca="1">IFERROR(__xludf.DUMMYFUNCTION("""COMPUTED_VALUE"""),"Porto Nacional")</f>
        <v>Porto Nacional</v>
      </c>
      <c r="B95" s="177" t="str">
        <f ca="1">IFERROR(__xludf.DUMMYFUNCTION("""COMPUTED_VALUE"""),"Pindorama do Tocantins")</f>
        <v>Pindorama do Tocantins</v>
      </c>
      <c r="C95" s="177" t="str">
        <f ca="1">IFERROR(__xludf.DUMMYFUNCTION("""COMPUTED_VALUE"""),"A.A. DO COL. EST. MANOEL DOS SANTOS ROSAL")</f>
        <v>A.A. DO COL. EST. MANOEL DOS SANTOS ROSAL</v>
      </c>
      <c r="D95" s="178" t="str">
        <f ca="1">IFERROR(__xludf.DUMMYFUNCTION("""COMPUTED_VALUE"""),"01034136000185")</f>
        <v>01034136000185</v>
      </c>
      <c r="E95" s="178" t="str">
        <f ca="1">IFERROR(__xludf.DUMMYFUNCTION("""COMPUTED_VALUE"""),"001")</f>
        <v>001</v>
      </c>
      <c r="F95" s="178" t="str">
        <f ca="1">IFERROR(__xludf.DUMMYFUNCTION("""COMPUTED_VALUE"""),"1117")</f>
        <v>1117</v>
      </c>
      <c r="G95" s="177" t="str">
        <f ca="1">IFERROR(__xludf.DUMMYFUNCTION("""COMPUTED_VALUE"""),"312991")</f>
        <v>312991</v>
      </c>
      <c r="H95" s="177" t="str">
        <f ca="1">IFERROR(__xludf.DUMMYFUNCTION("""COMPUTED_VALUE"""),"SERVIDORES INTEGRAL")</f>
        <v>SERVIDORES INTEGRAL</v>
      </c>
      <c r="I95" s="179">
        <f ca="1">IFERROR(__xludf.DUMMYFUNCTION("""COMPUTED_VALUE"""),698.6)</f>
        <v>698.6</v>
      </c>
    </row>
    <row r="96" spans="1:9" ht="19.5" customHeight="1">
      <c r="A96" s="177" t="str">
        <f ca="1">IFERROR(__xludf.DUMMYFUNCTION("""COMPUTED_VALUE"""),"Porto Nacional")</f>
        <v>Porto Nacional</v>
      </c>
      <c r="B96" s="177" t="str">
        <f ca="1">IFERROR(__xludf.DUMMYFUNCTION("""COMPUTED_VALUE"""),"Porto Nacional")</f>
        <v>Porto Nacional</v>
      </c>
      <c r="C96" s="177" t="str">
        <f ca="1">IFERROR(__xludf.DUMMYFUNCTION("""COMPUTED_VALUE"""),"A.A.  A ESCOLA D. PEDRO II")</f>
        <v>A.A.  A ESCOLA D. PEDRO II</v>
      </c>
      <c r="D96" s="178" t="str">
        <f ca="1">IFERROR(__xludf.DUMMYFUNCTION("""COMPUTED_VALUE"""),"01133697000131")</f>
        <v>01133697000131</v>
      </c>
      <c r="E96" s="178" t="str">
        <f ca="1">IFERROR(__xludf.DUMMYFUNCTION("""COMPUTED_VALUE"""),"001")</f>
        <v>001</v>
      </c>
      <c r="F96" s="178" t="str">
        <f ca="1">IFERROR(__xludf.DUMMYFUNCTION("""COMPUTED_VALUE"""),"1117")</f>
        <v>1117</v>
      </c>
      <c r="G96" s="177" t="str">
        <f ca="1">IFERROR(__xludf.DUMMYFUNCTION("""COMPUTED_VALUE"""),"0313092")</f>
        <v>0313092</v>
      </c>
      <c r="H96" s="177" t="str">
        <f ca="1">IFERROR(__xludf.DUMMYFUNCTION("""COMPUTED_VALUE"""),"FUND INTEGRAL")</f>
        <v>FUND INTEGRAL</v>
      </c>
      <c r="I96" s="179">
        <f ca="1">IFERROR(__xludf.DUMMYFUNCTION("""COMPUTED_VALUE"""),10976)</f>
        <v>10976</v>
      </c>
    </row>
    <row r="97" spans="1:9" ht="12.75">
      <c r="A97" t="str">
        <f ca="1">IFERROR(__xludf.DUMMYFUNCTION("""COMPUTED_VALUE"""),"Porto Nacional")</f>
        <v>Porto Nacional</v>
      </c>
      <c r="B97" t="str">
        <f ca="1">IFERROR(__xludf.DUMMYFUNCTION("""COMPUTED_VALUE"""),"Porto Nacional")</f>
        <v>Porto Nacional</v>
      </c>
      <c r="C97" t="str">
        <f ca="1">IFERROR(__xludf.DUMMYFUNCTION("""COMPUTED_VALUE"""),"A.A.  A ESCOLA D. PEDRO II")</f>
        <v>A.A.  A ESCOLA D. PEDRO II</v>
      </c>
      <c r="D97" s="3" t="str">
        <f ca="1">IFERROR(__xludf.DUMMYFUNCTION("""COMPUTED_VALUE"""),"01133697000131")</f>
        <v>01133697000131</v>
      </c>
      <c r="E97" s="3" t="str">
        <f ca="1">IFERROR(__xludf.DUMMYFUNCTION("""COMPUTED_VALUE"""),"001")</f>
        <v>001</v>
      </c>
      <c r="F97" s="3" t="str">
        <f ca="1">IFERROR(__xludf.DUMMYFUNCTION("""COMPUTED_VALUE"""),"1117")</f>
        <v>1117</v>
      </c>
      <c r="G97" t="str">
        <f ca="1">IFERROR(__xludf.DUMMYFUNCTION("""COMPUTED_VALUE"""),"0313092")</f>
        <v>0313092</v>
      </c>
      <c r="H97" t="str">
        <f ca="1">IFERROR(__xludf.DUMMYFUNCTION("""COMPUTED_VALUE"""),"SERVIDORES INTEGRAL")</f>
        <v>SERVIDORES INTEGRAL</v>
      </c>
      <c r="I97" s="8">
        <f ca="1">IFERROR(__xludf.DUMMYFUNCTION("""COMPUTED_VALUE"""),898.199999999999)</f>
        <v>898.19999999999902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IFERROR(__xludf.DUMMYFUNCTION("""COMPUTED_VALUE"""),"Porto Nacional")</f>
        <v>Porto Nacional</v>
      </c>
      <c r="C98" t="str">
        <f ca="1">IFERROR(__xludf.DUMMYFUNCTION("""COMPUTED_VALUE"""),"ASSOCIAÇÃO DE APOIO DA ESCOLA FAMÍLIA AGRÍCOLA")</f>
        <v>ASSOCIAÇÃO DE APOIO DA ESCOLA FAMÍLIA AGRÍCOLA</v>
      </c>
      <c r="D98" s="3" t="str">
        <f ca="1">IFERROR(__xludf.DUMMYFUNCTION("""COMPUTED_VALUE"""),"01197155000122")</f>
        <v>01197155000122</v>
      </c>
      <c r="E98" s="3" t="str">
        <f ca="1">IFERROR(__xludf.DUMMYFUNCTION("""COMPUTED_VALUE"""),"001")</f>
        <v>001</v>
      </c>
      <c r="F98" s="3" t="str">
        <f ca="1">IFERROR(__xludf.DUMMYFUNCTION("""COMPUTED_VALUE"""),"1117")</f>
        <v>1117</v>
      </c>
      <c r="G98" t="str">
        <f ca="1">IFERROR(__xludf.DUMMYFUNCTION("""COMPUTED_VALUE"""),"313483")</f>
        <v>313483</v>
      </c>
      <c r="H98" t="str">
        <f ca="1">IFERROR(__xludf.DUMMYFUNCTION("""COMPUTED_VALUE"""),"ENS MEDIO INTEGRAL")</f>
        <v>ENS MEDIO INTEGRAL</v>
      </c>
      <c r="I98" s="8">
        <f ca="1">IFERROR(__xludf.DUMMYFUNCTION("""COMPUTED_VALUE"""),18267.2)</f>
        <v>18267.2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IFERROR(__xludf.DUMMYFUNCTION("""COMPUTED_VALUE"""),"Porto Nacional")</f>
        <v>Porto Nacional</v>
      </c>
      <c r="C99" t="str">
        <f ca="1">IFERROR(__xludf.DUMMYFUNCTION("""COMPUTED_VALUE"""),"ASSOCIAÇÃO DE APOIO DA ESCOLA FAMÍLIA AGRÍCOLA")</f>
        <v>ASSOCIAÇÃO DE APOIO DA ESCOLA FAMÍLIA AGRÍCOLA</v>
      </c>
      <c r="D99" s="3" t="str">
        <f ca="1">IFERROR(__xludf.DUMMYFUNCTION("""COMPUTED_VALUE"""),"01197155000122")</f>
        <v>01197155000122</v>
      </c>
      <c r="E99" s="3" t="str">
        <f ca="1">IFERROR(__xludf.DUMMYFUNCTION("""COMPUTED_VALUE"""),"001")</f>
        <v>001</v>
      </c>
      <c r="F99" s="3" t="str">
        <f ca="1">IFERROR(__xludf.DUMMYFUNCTION("""COMPUTED_VALUE"""),"1117")</f>
        <v>1117</v>
      </c>
      <c r="G99" t="str">
        <f ca="1">IFERROR(__xludf.DUMMYFUNCTION("""COMPUTED_VALUE"""),"313483")</f>
        <v>313483</v>
      </c>
      <c r="H99" t="str">
        <f ca="1">IFERROR(__xludf.DUMMYFUNCTION("""COMPUTED_VALUE"""),"AGRICOLA")</f>
        <v>AGRICOLA</v>
      </c>
      <c r="I99" s="8">
        <f ca="1">IFERROR(__xludf.DUMMYFUNCTION("""COMPUTED_VALUE"""),34670.4)</f>
        <v>34670.400000000001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IFERROR(__xludf.DUMMYFUNCTION("""COMPUTED_VALUE"""),"Porto Nacional")</f>
        <v>Porto Nacional</v>
      </c>
      <c r="C100" t="str">
        <f ca="1">IFERROR(__xludf.DUMMYFUNCTION("""COMPUTED_VALUE"""),"ASSOCIAÇÃO DE APOIO DA ESCOLA FAMÍLIA AGRÍCOLA")</f>
        <v>ASSOCIAÇÃO DE APOIO DA ESCOLA FAMÍLIA AGRÍCOLA</v>
      </c>
      <c r="D100" s="3" t="str">
        <f ca="1">IFERROR(__xludf.DUMMYFUNCTION("""COMPUTED_VALUE"""),"01197155000122")</f>
        <v>01197155000122</v>
      </c>
      <c r="E100" s="3" t="str">
        <f ca="1">IFERROR(__xludf.DUMMYFUNCTION("""COMPUTED_VALUE"""),"001")</f>
        <v>001</v>
      </c>
      <c r="F100" s="3" t="str">
        <f ca="1">IFERROR(__xludf.DUMMYFUNCTION("""COMPUTED_VALUE"""),"1117")</f>
        <v>1117</v>
      </c>
      <c r="G100" t="str">
        <f ca="1">IFERROR(__xludf.DUMMYFUNCTION("""COMPUTED_VALUE"""),"313483")</f>
        <v>313483</v>
      </c>
      <c r="H100" t="str">
        <f ca="1">IFERROR(__xludf.DUMMYFUNCTION("""COMPUTED_VALUE"""),"SERVIDORES AGRICOLA")</f>
        <v>SERVIDORES AGRICOLA</v>
      </c>
      <c r="I100" s="8">
        <f ca="1">IFERROR(__xludf.DUMMYFUNCTION("""COMPUTED_VALUE"""),2723.2)</f>
        <v>2723.2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IFERROR(__xludf.DUMMYFUNCTION("""COMPUTED_VALUE"""),"Silvanopolis")</f>
        <v>Silvanopolis</v>
      </c>
      <c r="C101" t="str">
        <f ca="1">IFERROR(__xludf.DUMMYFUNCTION("""COMPUTED_VALUE"""),"A.A. A ESC. EST. JOAO PIRES QUERIDO")</f>
        <v>A.A. A ESC. EST. JOAO PIRES QUERIDO</v>
      </c>
      <c r="D101" s="3" t="str">
        <f ca="1">IFERROR(__xludf.DUMMYFUNCTION("""COMPUTED_VALUE"""),"01284632000197")</f>
        <v>01284632000197</v>
      </c>
      <c r="E101" s="3" t="str">
        <f ca="1">IFERROR(__xludf.DUMMYFUNCTION("""COMPUTED_VALUE"""),"001")</f>
        <v>001</v>
      </c>
      <c r="F101" s="3" t="str">
        <f ca="1">IFERROR(__xludf.DUMMYFUNCTION("""COMPUTED_VALUE"""),"3980")</f>
        <v>3980</v>
      </c>
      <c r="G101" t="str">
        <f ca="1">IFERROR(__xludf.DUMMYFUNCTION("""COMPUTED_VALUE"""),"051187")</f>
        <v>051187</v>
      </c>
      <c r="H101" t="str">
        <f ca="1">IFERROR(__xludf.DUMMYFUNCTION("""COMPUTED_VALUE"""),"FUND INTEGRAL")</f>
        <v>FUND INTEGRAL</v>
      </c>
      <c r="I101" s="8">
        <f ca="1">IFERROR(__xludf.DUMMYFUNCTION("""COMPUTED_VALUE"""),11916.8)</f>
        <v>11916.8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IFERROR(__xludf.DUMMYFUNCTION("""COMPUTED_VALUE"""),"Silvanopolis")</f>
        <v>Silvanopolis</v>
      </c>
      <c r="C102" t="str">
        <f ca="1">IFERROR(__xludf.DUMMYFUNCTION("""COMPUTED_VALUE"""),"A.A. A ESC. EST. JOAO PIRES QUERIDO")</f>
        <v>A.A. A ESC. EST. JOAO PIRES QUERIDO</v>
      </c>
      <c r="D102" s="3" t="str">
        <f ca="1">IFERROR(__xludf.DUMMYFUNCTION("""COMPUTED_VALUE"""),"01284632000197")</f>
        <v>01284632000197</v>
      </c>
      <c r="E102" s="3" t="str">
        <f ca="1">IFERROR(__xludf.DUMMYFUNCTION("""COMPUTED_VALUE"""),"001")</f>
        <v>001</v>
      </c>
      <c r="F102" s="3" t="str">
        <f ca="1">IFERROR(__xludf.DUMMYFUNCTION("""COMPUTED_VALUE"""),"3980")</f>
        <v>3980</v>
      </c>
      <c r="G102" t="str">
        <f ca="1">IFERROR(__xludf.DUMMYFUNCTION("""COMPUTED_VALUE"""),"051187")</f>
        <v>051187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IFERROR(__xludf.DUMMYFUNCTION("""COMPUTED_VALUE"""),998)</f>
        <v>998</v>
      </c>
    </row>
    <row r="103" spans="1:9" ht="12.75">
      <c r="A103" t="str">
        <f ca="1">IFERROR(__xludf.DUMMYFUNCTION("""COMPUTED_VALUE"""),"Tocantinópolis")</f>
        <v>Tocantinópolis</v>
      </c>
      <c r="B103" t="str">
        <f ca="1">IFERROR(__xludf.DUMMYFUNCTION("""COMPUTED_VALUE"""),"Aguiarnopolis")</f>
        <v>Aguiarnopolis</v>
      </c>
      <c r="C103" t="str">
        <f ca="1">IFERROR(__xludf.DUMMYFUNCTION("""COMPUTED_VALUE"""),"A.A. DA ESC. EST. NAZARÉ NUNES DA SILVA (AGUIARNOPOLIS)")</f>
        <v>A.A. DA ESC. EST. NAZARÉ NUNES DA SILVA (AGUIARNOPOLIS)</v>
      </c>
      <c r="D103" s="3" t="str">
        <f ca="1">IFERROR(__xludf.DUMMYFUNCTION("""COMPUTED_VALUE"""),"01213519000110")</f>
        <v>01213519000110</v>
      </c>
      <c r="E103" s="3" t="str">
        <f ca="1">IFERROR(__xludf.DUMMYFUNCTION("""COMPUTED_VALUE"""),"001")</f>
        <v>001</v>
      </c>
      <c r="F103" s="3" t="str">
        <f ca="1">IFERROR(__xludf.DUMMYFUNCTION("""COMPUTED_VALUE"""),"0810")</f>
        <v>0810</v>
      </c>
      <c r="G103" t="str">
        <f ca="1">IFERROR(__xludf.DUMMYFUNCTION("""COMPUTED_VALUE"""),"217727")</f>
        <v>217727</v>
      </c>
      <c r="H103" t="str">
        <f ca="1">IFERROR(__xludf.DUMMYFUNCTION("""COMPUTED_VALUE"""),"FUND INTEGRAL")</f>
        <v>FUND INTEGRAL</v>
      </c>
      <c r="I103" s="8">
        <f ca="1">IFERROR(__xludf.DUMMYFUNCTION("""COMPUTED_VALUE"""),7212.8)</f>
        <v>7212.8</v>
      </c>
    </row>
    <row r="104" spans="1:9" ht="12.75">
      <c r="A104" t="str">
        <f ca="1">IFERROR(__xludf.DUMMYFUNCTION("""COMPUTED_VALUE"""),"Tocantinópolis")</f>
        <v>Tocantinópolis</v>
      </c>
      <c r="B104" t="str">
        <f ca="1">IFERROR(__xludf.DUMMYFUNCTION("""COMPUTED_VALUE"""),"Aguiarnopolis")</f>
        <v>Aguiarnopolis</v>
      </c>
      <c r="C104" t="str">
        <f ca="1">IFERROR(__xludf.DUMMYFUNCTION("""COMPUTED_VALUE"""),"A.A. DA ESC. EST. NAZARÉ NUNES DA SILVA (AGUIARNOPOLIS)")</f>
        <v>A.A. DA ESC. EST. NAZARÉ NUNES DA SILVA (AGUIARNOPOLIS)</v>
      </c>
      <c r="D104" s="3" t="str">
        <f ca="1">IFERROR(__xludf.DUMMYFUNCTION("""COMPUTED_VALUE"""),"01213519000110")</f>
        <v>01213519000110</v>
      </c>
      <c r="E104" s="3" t="str">
        <f ca="1">IFERROR(__xludf.DUMMYFUNCTION("""COMPUTED_VALUE"""),"001")</f>
        <v>001</v>
      </c>
      <c r="F104" s="3" t="str">
        <f ca="1">IFERROR(__xludf.DUMMYFUNCTION("""COMPUTED_VALUE"""),"0810")</f>
        <v>0810</v>
      </c>
      <c r="G104" t="str">
        <f ca="1">IFERROR(__xludf.DUMMYFUNCTION("""COMPUTED_VALUE"""),"217727")</f>
        <v>217727</v>
      </c>
      <c r="H104" t="str">
        <f ca="1">IFERROR(__xludf.DUMMYFUNCTION("""COMPUTED_VALUE"""),"SERVIDORES INTEGRAL")</f>
        <v>SERVIDORES INTEGRAL</v>
      </c>
      <c r="I104" s="8">
        <f ca="1">IFERROR(__xludf.DUMMYFUNCTION("""COMPUTED_VALUE"""),598.8)</f>
        <v>598.79999999999995</v>
      </c>
    </row>
    <row r="105" spans="1:9" ht="12.75">
      <c r="A105" t="str">
        <f ca="1">IFERROR(__xludf.DUMMYFUNCTION("""COMPUTED_VALUE"""),"Tocantinópolis")</f>
        <v>Tocantinópolis</v>
      </c>
      <c r="B105" t="str">
        <f ca="1">IFERROR(__xludf.DUMMYFUNCTION("""COMPUTED_VALUE"""),"Tocantinopolis")</f>
        <v>Tocantinopolis</v>
      </c>
      <c r="C105" t="str">
        <f ca="1">IFERROR(__xludf.DUMMYFUNCTION("""COMPUTED_VALUE"""),"A. PAIS DA ESC. EST. XV DE NOVEMBRO")</f>
        <v>A. PAIS DA ESC. EST. XV DE NOVEMBRO</v>
      </c>
      <c r="D105" s="3" t="str">
        <f ca="1">IFERROR(__xludf.DUMMYFUNCTION("""COMPUTED_VALUE"""),"01213520000145")</f>
        <v>01213520000145</v>
      </c>
      <c r="E105" s="3" t="str">
        <f ca="1">IFERROR(__xludf.DUMMYFUNCTION("""COMPUTED_VALUE"""),"001")</f>
        <v>001</v>
      </c>
      <c r="F105" s="3" t="str">
        <f ca="1">IFERROR(__xludf.DUMMYFUNCTION("""COMPUTED_VALUE"""),"0810")</f>
        <v>0810</v>
      </c>
      <c r="G105" t="str">
        <f ca="1">IFERROR(__xludf.DUMMYFUNCTION("""COMPUTED_VALUE"""),"58238")</f>
        <v>58238</v>
      </c>
      <c r="H105" t="str">
        <f ca="1">IFERROR(__xludf.DUMMYFUNCTION("""COMPUTED_VALUE"""),"FUND INTEGRAL")</f>
        <v>FUND INTEGRAL</v>
      </c>
      <c r="I105" s="8">
        <f ca="1">IFERROR(__xludf.DUMMYFUNCTION("""COMPUTED_VALUE"""),13641.6)</f>
        <v>13641.6</v>
      </c>
    </row>
    <row r="106" spans="1:9" ht="12.75">
      <c r="A106" t="str">
        <f ca="1">IFERROR(__xludf.DUMMYFUNCTION("""COMPUTED_VALUE"""),"Tocantinópolis")</f>
        <v>Tocantinópolis</v>
      </c>
      <c r="B106" t="str">
        <f ca="1">IFERROR(__xludf.DUMMYFUNCTION("""COMPUTED_VALUE"""),"Tocantinopolis")</f>
        <v>Tocantinopolis</v>
      </c>
      <c r="C106" t="str">
        <f ca="1">IFERROR(__xludf.DUMMYFUNCTION("""COMPUTED_VALUE"""),"A. PAIS DA ESC. EST. XV DE NOVEMBRO")</f>
        <v>A. PAIS DA ESC. EST. XV DE NOVEMBRO</v>
      </c>
      <c r="D106" s="3" t="str">
        <f ca="1">IFERROR(__xludf.DUMMYFUNCTION("""COMPUTED_VALUE"""),"01213520000145")</f>
        <v>01213520000145</v>
      </c>
      <c r="E106" s="3" t="str">
        <f ca="1">IFERROR(__xludf.DUMMYFUNCTION("""COMPUTED_VALUE"""),"001")</f>
        <v>001</v>
      </c>
      <c r="F106" s="3" t="str">
        <f ca="1">IFERROR(__xludf.DUMMYFUNCTION("""COMPUTED_VALUE"""),"0810")</f>
        <v>0810</v>
      </c>
      <c r="G106" t="str">
        <f ca="1">IFERROR(__xludf.DUMMYFUNCTION("""COMPUTED_VALUE"""),"58238")</f>
        <v>58238</v>
      </c>
      <c r="H106" t="str">
        <f ca="1">IFERROR(__xludf.DUMMYFUNCTION("""COMPUTED_VALUE"""),"SERVIDORES INTEGRAL")</f>
        <v>SERVIDORES INTEGRAL</v>
      </c>
      <c r="I106" s="8">
        <f ca="1">IFERROR(__xludf.DUMMYFUNCTION("""COMPUTED_VALUE"""),1197.6)</f>
        <v>1197.5999999999999</v>
      </c>
    </row>
    <row r="107" spans="1:9" ht="12.75">
      <c r="A107" t="str">
        <f ca="1">IFERROR(__xludf.DUMMYFUNCTION("""COMPUTED_VALUE"""),"Tocantinópolis")</f>
        <v>Tocantinópolis</v>
      </c>
      <c r="B107" t="str">
        <f ca="1">IFERROR(__xludf.DUMMYFUNCTION("""COMPUTED_VALUE"""),"Tocantinopolis")</f>
        <v>Tocantinopolis</v>
      </c>
      <c r="C107" t="str">
        <f ca="1">IFERROR(__xludf.DUMMYFUNCTION("""COMPUTED_VALUE"""),"A.A. ESC. E. E.PROF.ALDENORA A.CORREIA")</f>
        <v>A.A. ESC. E. E.PROF.ALDENORA A.CORREIA</v>
      </c>
      <c r="D107" s="3" t="str">
        <f ca="1">IFERROR(__xludf.DUMMYFUNCTION("""COMPUTED_VALUE"""),"01213527000167")</f>
        <v>01213527000167</v>
      </c>
      <c r="E107" s="3" t="str">
        <f ca="1">IFERROR(__xludf.DUMMYFUNCTION("""COMPUTED_VALUE"""),"001")</f>
        <v>001</v>
      </c>
      <c r="F107" s="3" t="str">
        <f ca="1">IFERROR(__xludf.DUMMYFUNCTION("""COMPUTED_VALUE"""),"0810")</f>
        <v>0810</v>
      </c>
      <c r="G107" t="str">
        <f ca="1">IFERROR(__xludf.DUMMYFUNCTION("""COMPUTED_VALUE"""),"58319")</f>
        <v>58319</v>
      </c>
      <c r="H107" t="str">
        <f ca="1">IFERROR(__xludf.DUMMYFUNCTION("""COMPUTED_VALUE"""),"FUND INTEGRAL")</f>
        <v>FUND INTEGRAL</v>
      </c>
      <c r="I107" s="8">
        <f ca="1">IFERROR(__xludf.DUMMYFUNCTION("""COMPUTED_VALUE"""),8624)</f>
        <v>8624</v>
      </c>
    </row>
    <row r="108" spans="1:9" ht="12.75">
      <c r="A108" t="str">
        <f ca="1">IFERROR(__xludf.DUMMYFUNCTION("""COMPUTED_VALUE"""),"Tocantinópolis")</f>
        <v>Tocantinópolis</v>
      </c>
      <c r="B108" t="str">
        <f ca="1">IFERROR(__xludf.DUMMYFUNCTION("""COMPUTED_VALUE"""),"Tocantinopolis")</f>
        <v>Tocantinopolis</v>
      </c>
      <c r="C108" t="str">
        <f ca="1">IFERROR(__xludf.DUMMYFUNCTION("""COMPUTED_VALUE"""),"A.A. ESC. E. E.PROF.ALDENORA A.CORREIA")</f>
        <v>A.A. ESC. E. E.PROF.ALDENORA A.CORREIA</v>
      </c>
      <c r="D108" s="3" t="str">
        <f ca="1">IFERROR(__xludf.DUMMYFUNCTION("""COMPUTED_VALUE"""),"01213527000167")</f>
        <v>01213527000167</v>
      </c>
      <c r="E108" s="3" t="str">
        <f ca="1">IFERROR(__xludf.DUMMYFUNCTION("""COMPUTED_VALUE"""),"001")</f>
        <v>001</v>
      </c>
      <c r="F108" s="3" t="str">
        <f ca="1">IFERROR(__xludf.DUMMYFUNCTION("""COMPUTED_VALUE"""),"0810")</f>
        <v>0810</v>
      </c>
      <c r="G108" t="str">
        <f ca="1">IFERROR(__xludf.DUMMYFUNCTION("""COMPUTED_VALUE"""),"58319")</f>
        <v>58319</v>
      </c>
      <c r="H108" t="str">
        <f ca="1">IFERROR(__xludf.DUMMYFUNCTION("""COMPUTED_VALUE"""),"SERVIDORES INTEGRAL")</f>
        <v>SERVIDORES INTEGRAL</v>
      </c>
      <c r="I108" s="8">
        <f ca="1">IFERROR(__xludf.DUMMYFUNCTION("""COMPUTED_VALUE"""),698.6)</f>
        <v>698.6</v>
      </c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A,B,C,D,E,F,G,M WHERE M&gt;0 label M 'AGRICOLA'"")"),"Araguaina")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IFERROR(__xludf.DUMMYFUNCTION("""COMPUTED_VALUE"""),"AGRICOLA")</f>
        <v>AGRICOLA</v>
      </c>
      <c r="I1" s="271" t="str">
        <f t="array" ref="I1:I1000">IF(ROW(A1:A1000)=1,"ETAPA",IF(A1:A1000&lt;&gt;"","AGRICOLA",""))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82"/>
      <c r="B1" s="363"/>
      <c r="C1" s="363"/>
      <c r="D1" s="388" t="s">
        <v>143</v>
      </c>
      <c r="E1" s="374"/>
      <c r="F1" s="374"/>
      <c r="G1" s="374"/>
      <c r="H1" s="374"/>
      <c r="I1" s="374"/>
      <c r="J1" s="375"/>
    </row>
    <row r="2" spans="1:12" ht="24" customHeight="1">
      <c r="A2" s="363"/>
      <c r="B2" s="363"/>
      <c r="C2" s="363"/>
      <c r="D2" s="376"/>
      <c r="E2" s="377"/>
      <c r="F2" s="377"/>
      <c r="G2" s="377"/>
      <c r="H2" s="377"/>
      <c r="I2" s="377"/>
      <c r="J2" s="378"/>
    </row>
    <row r="3" spans="1:12" ht="24" customHeight="1">
      <c r="A3" s="363"/>
      <c r="B3" s="363"/>
      <c r="C3" s="363"/>
      <c r="D3" s="379" t="s">
        <v>124</v>
      </c>
      <c r="E3" s="380"/>
      <c r="F3" s="380"/>
      <c r="G3" s="381"/>
      <c r="H3" s="180">
        <f t="shared" ref="H3:J3" ca="1" si="0">SUBTOTAL(9,H6:H50)</f>
        <v>516968.39999999892</v>
      </c>
      <c r="I3" s="180">
        <f t="shared" ca="1" si="0"/>
        <v>49204.799999999923</v>
      </c>
      <c r="J3" s="180">
        <f t="shared" ca="1" si="0"/>
        <v>566173.19999999867</v>
      </c>
    </row>
    <row r="4" spans="1:12" ht="56.25" customHeight="1">
      <c r="A4" s="181" t="s">
        <v>4</v>
      </c>
      <c r="B4" s="181" t="s">
        <v>5</v>
      </c>
      <c r="C4" s="181" t="str">
        <f ca="1">"UNIDADES EXECUTORAS = " &amp; COUNTA(C6:C1437)</f>
        <v>UNIDADES EXECUTORAS = 28</v>
      </c>
      <c r="D4" s="181" t="s">
        <v>8</v>
      </c>
      <c r="E4" s="289" t="s">
        <v>0</v>
      </c>
      <c r="F4" s="289" t="s">
        <v>1</v>
      </c>
      <c r="G4" s="290" t="s">
        <v>2</v>
      </c>
      <c r="H4" s="291" t="s">
        <v>144</v>
      </c>
      <c r="I4" s="292" t="s">
        <v>120</v>
      </c>
      <c r="J4" s="293" t="s">
        <v>137</v>
      </c>
    </row>
    <row r="5" spans="1:12" ht="12" customHeight="1">
      <c r="A5" s="294" t="str">
        <f ca="1">IFERROR(__xludf.DUMMYFUNCTION("QUERY(REP_EST!A6:Z530,""select A,B,C,D,E,F,G, S, W WHERE S&gt;0 "",1)"),"Araguaina")</f>
        <v>Araguaina</v>
      </c>
      <c r="B5" s="295" t="str">
        <f ca="1">IFERROR(__xludf.DUMMYFUNCTION("""COMPUTED_VALUE"""),"Ananas")</f>
        <v>Ananas</v>
      </c>
      <c r="C5" s="295" t="str">
        <f ca="1">IFERROR(__xludf.DUMMYFUNCTION("""COMPUTED_VALUE"""),"ASSOC. DE APOIO DO CENTRO DE ENSINO MÉDIO CABO APARICIO ARAÚJO PAZ")</f>
        <v>ASSOC. DE APOIO DO CENTRO DE ENSINO MÉDIO CABO APARICIO ARAÚJO PAZ</v>
      </c>
      <c r="D5" s="295" t="str">
        <f ca="1">IFERROR(__xludf.DUMMYFUNCTION("""COMPUTED_VALUE"""),"05537116000188")</f>
        <v>05537116000188</v>
      </c>
      <c r="E5" s="296" t="str">
        <f ca="1">IFERROR(__xludf.DUMMYFUNCTION("""COMPUTED_VALUE"""),"001")</f>
        <v>001</v>
      </c>
      <c r="F5" s="296" t="str">
        <f ca="1">IFERROR(__xludf.DUMMYFUNCTION("""COMPUTED_VALUE"""),"3973")</f>
        <v>3973</v>
      </c>
      <c r="G5" s="296" t="str">
        <f ca="1">IFERROR(__xludf.DUMMYFUNCTION("""COMPUTED_VALUE"""),"114510")</f>
        <v>114510</v>
      </c>
      <c r="H5" s="295" t="str">
        <f ca="1">IFERROR(__xludf.DUMMYFUNCTION("""COMPUTED_VALUE"""),"product(080.6())")</f>
        <v>product(080.6())</v>
      </c>
      <c r="I5" s="295" t="str">
        <f ca="1">IFERROR(__xludf.DUMMYFUNCTION("""COMPUTED_VALUE"""),"product(120.6())")</f>
        <v>product(120.6())</v>
      </c>
      <c r="J5" s="297" t="s">
        <v>137</v>
      </c>
      <c r="K5" s="256"/>
      <c r="L5" s="256"/>
    </row>
    <row r="6" spans="1:12" ht="12.75">
      <c r="A6" s="298" t="str">
        <f ca="1">IFERROR(__xludf.DUMMYFUNCTION("""COMPUTED_VALUE"""),"Araguaina")</f>
        <v>Araguaina</v>
      </c>
      <c r="B6" s="298" t="str">
        <f ca="1">IFERROR(__xludf.DUMMYFUNCTION("""COMPUTED_VALUE"""),"Araguaina")</f>
        <v>Araguaina</v>
      </c>
      <c r="C6" s="190" t="str">
        <f ca="1">IFERROR(__xludf.DUMMYFUNCTION("""COMPUTED_VALUE"""),"ASSOC. A. COL. EST. BENJAMIM JOSÉ DE ALMEIDA")</f>
        <v>ASSOC. A. COL. EST. BENJAMIM JOSÉ DE ALMEIDA</v>
      </c>
      <c r="D6" s="299" t="str">
        <f ca="1">IFERROR(__xludf.DUMMYFUNCTION("""COMPUTED_VALUE"""),"01136023000190")</f>
        <v>01136023000190</v>
      </c>
      <c r="E6" s="299" t="str">
        <f ca="1">IFERROR(__xludf.DUMMYFUNCTION("""COMPUTED_VALUE"""),"001")</f>
        <v>001</v>
      </c>
      <c r="F6" s="299" t="str">
        <f ca="1">IFERROR(__xludf.DUMMYFUNCTION("""COMPUTED_VALUE"""),"0638")</f>
        <v>0638</v>
      </c>
      <c r="G6" s="299" t="str">
        <f ca="1">IFERROR(__xludf.DUMMYFUNCTION("""COMPUTED_VALUE"""),"55149X")</f>
        <v>55149X</v>
      </c>
      <c r="H6" s="300">
        <f ca="1">IFERROR(__xludf.DUMMYFUNCTION("""COMPUTED_VALUE"""),22487.3999999999)</f>
        <v>22487.3999999999</v>
      </c>
      <c r="I6" s="300">
        <f ca="1">IFERROR(__xludf.DUMMYFUNCTION("""COMPUTED_VALUE"""),2291.4)</f>
        <v>2291.4</v>
      </c>
      <c r="J6" s="300">
        <f t="shared" ref="J6:J34" ca="1" si="1">SUM(H6,I6)</f>
        <v>24778.799999999901</v>
      </c>
    </row>
    <row r="7" spans="1:12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IFERROR(__xludf.DUMMYFUNCTION("""COMPUTED_VALUE"""),"ASSOC. DE PAIS, ALUNOS E MESTRES COL. EST. POLIVALENTE CASTELO BRANCO")</f>
        <v>ASSOC. DE PAIS, ALUNOS E MESTRES COL. EST. POLIVALENTE CASTELO BRANCO</v>
      </c>
      <c r="D7" s="258" t="str">
        <f ca="1">IFERROR(__xludf.DUMMYFUNCTION("""COMPUTED_VALUE"""),"00918900000112")</f>
        <v>00918900000112</v>
      </c>
      <c r="E7" s="258" t="str">
        <f ca="1">IFERROR(__xludf.DUMMYFUNCTION("""COMPUTED_VALUE"""),"001")</f>
        <v>001</v>
      </c>
      <c r="F7" s="258" t="str">
        <f ca="1">IFERROR(__xludf.DUMMYFUNCTION("""COMPUTED_VALUE"""),"0638")</f>
        <v>0638</v>
      </c>
      <c r="G7" s="258" t="str">
        <f ca="1">IFERROR(__xludf.DUMMYFUNCTION("""COMPUTED_VALUE"""),"12599")</f>
        <v>12599</v>
      </c>
      <c r="H7" s="153">
        <f ca="1">IFERROR(__xludf.DUMMYFUNCTION("""COMPUTED_VALUE"""),11767.5999999999)</f>
        <v>11767.5999999999</v>
      </c>
      <c r="I7" s="153">
        <f ca="1">IFERROR(__xludf.DUMMYFUNCTION("""COMPUTED_VALUE"""),1206)</f>
        <v>1206</v>
      </c>
      <c r="J7" s="153">
        <f t="shared" ca="1" si="1"/>
        <v>12973.5999999999</v>
      </c>
    </row>
    <row r="8" spans="1:12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IFERROR(__xludf.DUMMYFUNCTION("""COMPUTED_VALUE"""),"ASSOC. APOIO COL. EST. CEM PAULO FREIRE")</f>
        <v>ASSOC. APOIO COL. EST. CEM PAULO FREIRE</v>
      </c>
      <c r="D8" s="257" t="str">
        <f ca="1">IFERROR(__xludf.DUMMYFUNCTION("""COMPUTED_VALUE"""),"01738420000132")</f>
        <v>01738420000132</v>
      </c>
      <c r="E8" s="257" t="str">
        <f ca="1">IFERROR(__xludf.DUMMYFUNCTION("""COMPUTED_VALUE"""),"001")</f>
        <v>001</v>
      </c>
      <c r="F8" s="257" t="str">
        <f ca="1">IFERROR(__xludf.DUMMYFUNCTION("""COMPUTED_VALUE"""),"0638")</f>
        <v>0638</v>
      </c>
      <c r="G8" s="257" t="str">
        <f ca="1">IFERROR(__xludf.DUMMYFUNCTION("""COMPUTED_VALUE"""),"551589")</f>
        <v>551589</v>
      </c>
      <c r="H8" s="148">
        <f ca="1">IFERROR(__xludf.DUMMYFUNCTION("""COMPUTED_VALUE"""),18779.8)</f>
        <v>18779.8</v>
      </c>
      <c r="I8" s="148">
        <f ca="1">IFERROR(__xludf.DUMMYFUNCTION("""COMPUTED_VALUE"""),1929.6)</f>
        <v>1929.6</v>
      </c>
      <c r="J8" s="148">
        <f t="shared" ca="1" si="1"/>
        <v>20709.399999999998</v>
      </c>
    </row>
    <row r="9" spans="1:12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COLEGIO ESTADUAL RUI BARBOSA")</f>
        <v>A.A. COLEGIO ESTADUAL RUI BARBOSA</v>
      </c>
      <c r="D9" s="258" t="str">
        <f ca="1">IFERROR(__xludf.DUMMYFUNCTION("""COMPUTED_VALUE"""),"01071440000100")</f>
        <v>01071440000100</v>
      </c>
      <c r="E9" s="258" t="str">
        <f ca="1">IFERROR(__xludf.DUMMYFUNCTION("""COMPUTED_VALUE"""),"001")</f>
        <v>001</v>
      </c>
      <c r="F9" s="258" t="str">
        <f ca="1">IFERROR(__xludf.DUMMYFUNCTION("""COMPUTED_VALUE"""),"0638")</f>
        <v>0638</v>
      </c>
      <c r="G9" s="258" t="str">
        <f ca="1">IFERROR(__xludf.DUMMYFUNCTION("""COMPUTED_VALUE"""),"0463787")</f>
        <v>0463787</v>
      </c>
      <c r="H9" s="153">
        <f ca="1">IFERROR(__xludf.DUMMYFUNCTION("""COMPUTED_VALUE"""),12654.1999999999)</f>
        <v>12654.199999999901</v>
      </c>
      <c r="I9" s="153">
        <f ca="1">IFERROR(__xludf.DUMMYFUNCTION("""COMPUTED_VALUE"""),1206)</f>
        <v>1206</v>
      </c>
      <c r="J9" s="153">
        <f t="shared" ca="1" si="1"/>
        <v>13860.199999999901</v>
      </c>
    </row>
    <row r="10" spans="1:12" ht="12.75">
      <c r="A10" s="144" t="str">
        <f ca="1">IFERROR(__xludf.DUMMYFUNCTION("""COMPUTED_VALUE"""),"Araguatins")</f>
        <v>Araguatins</v>
      </c>
      <c r="B10" s="144" t="str">
        <f ca="1">IFERROR(__xludf.DUMMYFUNCTION("""COMPUTED_VALUE"""),"Augustinopolis")</f>
        <v>Augustinopolis</v>
      </c>
      <c r="C10" s="145" t="str">
        <f ca="1">IFERROR(__xludf.DUMMYFUNCTION("""COMPUTED_VALUE"""),"ASSOC. DE APOIO COL. EST. MANOEL VICENTE SOUZA")</f>
        <v>ASSOC. DE APOIO COL. EST. MANOEL VICENTE SOUZA</v>
      </c>
      <c r="D10" s="257" t="str">
        <f ca="1">IFERROR(__xludf.DUMMYFUNCTION("""COMPUTED_VALUE"""),"01223642000112")</f>
        <v>01223642000112</v>
      </c>
      <c r="E10" s="257" t="str">
        <f ca="1">IFERROR(__xludf.DUMMYFUNCTION("""COMPUTED_VALUE"""),"001")</f>
        <v>001</v>
      </c>
      <c r="F10" s="257" t="str">
        <f ca="1">IFERROR(__xludf.DUMMYFUNCTION("""COMPUTED_VALUE"""),"3975")</f>
        <v>3975</v>
      </c>
      <c r="G10" s="257" t="str">
        <f ca="1">IFERROR(__xludf.DUMMYFUNCTION("""COMPUTED_VALUE"""),"139297")</f>
        <v>139297</v>
      </c>
      <c r="H10" s="148">
        <f ca="1">IFERROR(__xludf.DUMMYFUNCTION("""COMPUTED_VALUE"""),30386.1999999999)</f>
        <v>30386.199999999899</v>
      </c>
      <c r="I10" s="148">
        <f ca="1">IFERROR(__xludf.DUMMYFUNCTION("""COMPUTED_VALUE"""),3015)</f>
        <v>3015</v>
      </c>
      <c r="J10" s="148">
        <f t="shared" ca="1" si="1"/>
        <v>33401.199999999895</v>
      </c>
    </row>
    <row r="11" spans="1:12" ht="12.75">
      <c r="A11" s="149" t="str">
        <f ca="1">IFERROR(__xludf.DUMMYFUNCTION("""COMPUTED_VALUE"""),"Araguatins")</f>
        <v>Araguatins</v>
      </c>
      <c r="B11" s="149" t="str">
        <f ca="1">IFERROR(__xludf.DUMMYFUNCTION("""COMPUTED_VALUE"""),"Buriti do Tocantins")</f>
        <v>Buriti do Tocantins</v>
      </c>
      <c r="C11" s="150" t="str">
        <f ca="1">IFERROR(__xludf.DUMMYFUNCTION("""COMPUTED_VALUE"""),"A. DE APOIO DO COLEGIO EST. BURITI")</f>
        <v>A. DE APOIO DO COLEGIO EST. BURITI</v>
      </c>
      <c r="D11" s="258" t="str">
        <f ca="1">IFERROR(__xludf.DUMMYFUNCTION("""COMPUTED_VALUE"""),"01206217000115")</f>
        <v>01206217000115</v>
      </c>
      <c r="E11" s="258" t="str">
        <f ca="1">IFERROR(__xludf.DUMMYFUNCTION("""COMPUTED_VALUE"""),"001")</f>
        <v>001</v>
      </c>
      <c r="F11" s="258" t="str">
        <f ca="1">IFERROR(__xludf.DUMMYFUNCTION("""COMPUTED_VALUE"""),"1305")</f>
        <v>1305</v>
      </c>
      <c r="G11" s="258" t="str">
        <f ca="1">IFERROR(__xludf.DUMMYFUNCTION("""COMPUTED_VALUE"""),"209406")</f>
        <v>209406</v>
      </c>
      <c r="H11" s="153">
        <f ca="1">IFERROR(__xludf.DUMMYFUNCTION("""COMPUTED_VALUE"""),14830.4)</f>
        <v>14830.4</v>
      </c>
      <c r="I11" s="153">
        <f ca="1">IFERROR(__xludf.DUMMYFUNCTION("""COMPUTED_VALUE"""),1447.19999999999)</f>
        <v>1447.19999999999</v>
      </c>
      <c r="J11" s="153">
        <f t="shared" ca="1" si="1"/>
        <v>16277.599999999989</v>
      </c>
    </row>
    <row r="12" spans="1:12" ht="12.75">
      <c r="A12" s="144" t="str">
        <f ca="1">IFERROR(__xludf.DUMMYFUNCTION("""COMPUTED_VALUE"""),"Arraias")</f>
        <v>Arraias</v>
      </c>
      <c r="B12" s="144" t="str">
        <f ca="1">IFERROR(__xludf.DUMMYFUNCTION("""COMPUTED_VALUE"""),"Arraias")</f>
        <v>Arraias</v>
      </c>
      <c r="C12" s="145" t="str">
        <f ca="1">IFERROR(__xludf.DUMMYFUNCTION("""COMPUTED_VALUE"""),"A. E. COM.COL EST PROFA. JOANA B. CORDEIRO")</f>
        <v>A. E. COM.COL EST PROFA. JOANA B. CORDEIRO</v>
      </c>
      <c r="D12" s="257" t="str">
        <f ca="1">IFERROR(__xludf.DUMMYFUNCTION("""COMPUTED_VALUE"""),"00922190000102")</f>
        <v>00922190000102</v>
      </c>
      <c r="E12" s="257" t="str">
        <f ca="1">IFERROR(__xludf.DUMMYFUNCTION("""COMPUTED_VALUE"""),"001")</f>
        <v>001</v>
      </c>
      <c r="F12" s="257" t="str">
        <f ca="1">IFERROR(__xludf.DUMMYFUNCTION("""COMPUTED_VALUE"""),"0541")</f>
        <v>0541</v>
      </c>
      <c r="G12" s="257" t="str">
        <f ca="1">IFERROR(__xludf.DUMMYFUNCTION("""COMPUTED_VALUE"""),"231770")</f>
        <v>231770</v>
      </c>
      <c r="H12" s="148">
        <f ca="1">IFERROR(__xludf.DUMMYFUNCTION("""COMPUTED_VALUE"""),4271.79999999999)</f>
        <v>4271.7999999999902</v>
      </c>
      <c r="I12" s="148">
        <f ca="1">IFERROR(__xludf.DUMMYFUNCTION("""COMPUTED_VALUE"""),482.4)</f>
        <v>482.4</v>
      </c>
      <c r="J12" s="148">
        <f t="shared" ca="1" si="1"/>
        <v>4754.1999999999898</v>
      </c>
    </row>
    <row r="13" spans="1:12" ht="12.75">
      <c r="A13" s="149" t="str">
        <f ca="1">IFERROR(__xludf.DUMMYFUNCTION("""COMPUTED_VALUE"""),"Arraias")</f>
        <v>Arraias</v>
      </c>
      <c r="B13" s="149" t="str">
        <f ca="1">IFERROR(__xludf.DUMMYFUNCTION("""COMPUTED_VALUE"""),"Arraias")</f>
        <v>Arraias</v>
      </c>
      <c r="C13" s="150" t="str">
        <f ca="1">IFERROR(__xludf.DUMMYFUNCTION("""COMPUTED_VALUE"""),"A.A. ESC. AGRÍCOLA DAVID AIRES FRANÇA")</f>
        <v>A.A. ESC. AGRÍCOLA DAVID AIRES FRANÇA</v>
      </c>
      <c r="D13" s="258" t="str">
        <f ca="1">IFERROR(__xludf.DUMMYFUNCTION("""COMPUTED_VALUE"""),"04302970000100")</f>
        <v>04302970000100</v>
      </c>
      <c r="E13" s="258" t="str">
        <f ca="1">IFERROR(__xludf.DUMMYFUNCTION("""COMPUTED_VALUE"""),"001")</f>
        <v>001</v>
      </c>
      <c r="F13" s="258" t="str">
        <f ca="1">IFERROR(__xludf.DUMMYFUNCTION("""COMPUTED_VALUE"""),"0541")</f>
        <v>0541</v>
      </c>
      <c r="G13" s="258" t="str">
        <f ca="1">IFERROR(__xludf.DUMMYFUNCTION("""COMPUTED_VALUE"""),"94811")</f>
        <v>94811</v>
      </c>
      <c r="H13" s="153">
        <f ca="1">IFERROR(__xludf.DUMMYFUNCTION("""COMPUTED_VALUE"""),8624.19999999999)</f>
        <v>8624.1999999999898</v>
      </c>
      <c r="I13" s="153">
        <f ca="1">IFERROR(__xludf.DUMMYFUNCTION("""COMPUTED_VALUE"""),0)</f>
        <v>0</v>
      </c>
      <c r="J13" s="153">
        <f t="shared" ca="1" si="1"/>
        <v>8624.1999999999898</v>
      </c>
    </row>
    <row r="14" spans="1:12" ht="12.75">
      <c r="A14" s="144" t="str">
        <f ca="1">IFERROR(__xludf.DUMMYFUNCTION("""COMPUTED_VALUE"""),"Colinas")</f>
        <v>Colinas</v>
      </c>
      <c r="B14" s="144" t="str">
        <f ca="1">IFERROR(__xludf.DUMMYFUNCTION("""COMPUTED_VALUE"""),"Colinas do Tocantins")</f>
        <v>Colinas do Tocantins</v>
      </c>
      <c r="C14" s="145" t="str">
        <f ca="1">IFERROR(__xludf.DUMMYFUNCTION("""COMPUTED_VALUE"""),"ASSOC. DE APOIO DO COL. EST. CASTELO BRANCO")</f>
        <v>ASSOC. DE APOIO DO COL. EST. CASTELO BRANCO</v>
      </c>
      <c r="D14" s="257" t="str">
        <f ca="1">IFERROR(__xludf.DUMMYFUNCTION("""COMPUTED_VALUE"""),"01071413000120")</f>
        <v>01071413000120</v>
      </c>
      <c r="E14" s="257" t="str">
        <f ca="1">IFERROR(__xludf.DUMMYFUNCTION("""COMPUTED_VALUE"""),"001")</f>
        <v>001</v>
      </c>
      <c r="F14" s="257" t="str">
        <f ca="1">IFERROR(__xludf.DUMMYFUNCTION("""COMPUTED_VALUE"""),"0911")</f>
        <v>0911</v>
      </c>
      <c r="G14" s="257" t="str">
        <f ca="1">IFERROR(__xludf.DUMMYFUNCTION("""COMPUTED_VALUE"""),"187275")</f>
        <v>187275</v>
      </c>
      <c r="H14" s="148">
        <f ca="1">IFERROR(__xludf.DUMMYFUNCTION("""COMPUTED_VALUE"""),16281.1999999999)</f>
        <v>16281.199999999901</v>
      </c>
      <c r="I14" s="148">
        <f ca="1">IFERROR(__xludf.DUMMYFUNCTION("""COMPUTED_VALUE"""),1567.8)</f>
        <v>1567.8</v>
      </c>
      <c r="J14" s="148">
        <f t="shared" ca="1" si="1"/>
        <v>17848.999999999902</v>
      </c>
    </row>
    <row r="15" spans="1:12" ht="12.75">
      <c r="A15" s="149" t="str">
        <f ca="1">IFERROR(__xludf.DUMMYFUNCTION("""COMPUTED_VALUE"""),"Dianópolis")</f>
        <v>Dianópolis</v>
      </c>
      <c r="B15" s="149" t="str">
        <f ca="1">IFERROR(__xludf.DUMMYFUNCTION("""COMPUTED_VALUE"""),"Dianopolis")</f>
        <v>Dianopolis</v>
      </c>
      <c r="C15" s="150" t="str">
        <f ca="1">IFERROR(__xludf.DUMMYFUNCTION("""COMPUTED_VALUE"""),"A. ESC. COMUN.DA E. EST. ANTONIO POVOA")</f>
        <v>A. ESC. COMUN.DA E. EST. ANTONIO POVOA</v>
      </c>
      <c r="D15" s="258" t="str">
        <f ca="1">IFERROR(__xludf.DUMMYFUNCTION("""COMPUTED_VALUE"""),"00895665000100")</f>
        <v>00895665000100</v>
      </c>
      <c r="E15" s="258" t="str">
        <f ca="1">IFERROR(__xludf.DUMMYFUNCTION("""COMPUTED_VALUE"""),"001")</f>
        <v>001</v>
      </c>
      <c r="F15" s="258" t="str">
        <f ca="1">IFERROR(__xludf.DUMMYFUNCTION("""COMPUTED_VALUE"""),"1307")</f>
        <v>1307</v>
      </c>
      <c r="G15" s="258" t="str">
        <f ca="1">IFERROR(__xludf.DUMMYFUNCTION("""COMPUTED_VALUE"""),"010616X")</f>
        <v>010616X</v>
      </c>
      <c r="H15" s="153">
        <f ca="1">IFERROR(__xludf.DUMMYFUNCTION("""COMPUTED_VALUE"""),8059.99999999999)</f>
        <v>8059.99999999999</v>
      </c>
      <c r="I15" s="153">
        <f ca="1">IFERROR(__xludf.DUMMYFUNCTION("""COMPUTED_VALUE"""),844.199999999999)</f>
        <v>844.19999999999902</v>
      </c>
      <c r="J15" s="153">
        <f t="shared" ca="1" si="1"/>
        <v>8904.1999999999898</v>
      </c>
    </row>
    <row r="16" spans="1:12" ht="12.75">
      <c r="A16" s="144" t="str">
        <f ca="1">IFERROR(__xludf.DUMMYFUNCTION("""COMPUTED_VALUE"""),"Dianópolis")</f>
        <v>Dianópolis</v>
      </c>
      <c r="B16" s="144" t="str">
        <f ca="1">IFERROR(__xludf.DUMMYFUNCTION("""COMPUTED_VALUE"""),"Taguatinga")</f>
        <v>Taguatinga</v>
      </c>
      <c r="C16" s="145" t="str">
        <f ca="1">IFERROR(__xludf.DUMMYFUNCTION("""COMPUTED_VALUE"""),"A.A. COL. EST. PROFESSOR AURELIANO")</f>
        <v>A.A. COL. EST. PROFESSOR AURELIANO</v>
      </c>
      <c r="D16" s="257" t="str">
        <f ca="1">IFERROR(__xludf.DUMMYFUNCTION("""COMPUTED_VALUE"""),"01133709000128")</f>
        <v>01133709000128</v>
      </c>
      <c r="E16" s="257" t="str">
        <f ca="1">IFERROR(__xludf.DUMMYFUNCTION("""COMPUTED_VALUE"""),"001")</f>
        <v>001</v>
      </c>
      <c r="F16" s="257" t="str">
        <f ca="1">IFERROR(__xludf.DUMMYFUNCTION("""COMPUTED_VALUE"""),"2704")</f>
        <v>2704</v>
      </c>
      <c r="G16" s="257" t="str">
        <f ca="1">IFERROR(__xludf.DUMMYFUNCTION("""COMPUTED_VALUE"""),"102717")</f>
        <v>102717</v>
      </c>
      <c r="H16" s="148">
        <f ca="1">IFERROR(__xludf.DUMMYFUNCTION("""COMPUTED_VALUE"""),11203.4)</f>
        <v>11203.4</v>
      </c>
      <c r="I16" s="148">
        <f ca="1">IFERROR(__xludf.DUMMYFUNCTION("""COMPUTED_VALUE"""),1085.39999999999)</f>
        <v>1085.3999999999901</v>
      </c>
      <c r="J16" s="148">
        <f t="shared" ca="1" si="1"/>
        <v>12288.79999999999</v>
      </c>
    </row>
    <row r="17" spans="1:11" ht="12.75">
      <c r="A17" s="149" t="str">
        <f ca="1">IFERROR(__xludf.DUMMYFUNCTION("""COMPUTED_VALUE"""),"Guaraí")</f>
        <v>Guaraí</v>
      </c>
      <c r="B17" s="149" t="str">
        <f ca="1">IFERROR(__xludf.DUMMYFUNCTION("""COMPUTED_VALUE"""),"Fortaleza do Tabocao")</f>
        <v>Fortaleza do Tabocao</v>
      </c>
      <c r="C17" s="150" t="str">
        <f ca="1">IFERROR(__xludf.DUMMYFUNCTION("""COMPUTED_VALUE"""),"A.A. DA ESC. EST. MAJOR JUVENAL P.DE SOUZA")</f>
        <v>A.A. DA ESC. EST. MAJOR JUVENAL P.DE SOUZA</v>
      </c>
      <c r="D17" s="258" t="str">
        <f ca="1">IFERROR(__xludf.DUMMYFUNCTION("""COMPUTED_VALUE"""),"01408714000104")</f>
        <v>01408714000104</v>
      </c>
      <c r="E17" s="258" t="str">
        <f ca="1">IFERROR(__xludf.DUMMYFUNCTION("""COMPUTED_VALUE"""),"001")</f>
        <v>001</v>
      </c>
      <c r="F17" s="258" t="str">
        <f ca="1">IFERROR(__xludf.DUMMYFUNCTION("""COMPUTED_VALUE"""),"2094")</f>
        <v>2094</v>
      </c>
      <c r="G17" s="258" t="str">
        <f ca="1">IFERROR(__xludf.DUMMYFUNCTION("""COMPUTED_VALUE"""),"46743X")</f>
        <v>46743X</v>
      </c>
      <c r="H17" s="153">
        <f ca="1">IFERROR(__xludf.DUMMYFUNCTION("""COMPUTED_VALUE"""),11606.4)</f>
        <v>11606.4</v>
      </c>
      <c r="I17" s="153">
        <f ca="1">IFERROR(__xludf.DUMMYFUNCTION("""COMPUTED_VALUE"""),1206)</f>
        <v>1206</v>
      </c>
      <c r="J17" s="153">
        <f t="shared" ca="1" si="1"/>
        <v>12812.4</v>
      </c>
      <c r="K17" s="301"/>
    </row>
    <row r="18" spans="1:11" ht="12.75">
      <c r="A18" s="144" t="str">
        <f ca="1">IFERROR(__xludf.DUMMYFUNCTION("""COMPUTED_VALUE"""),"Guaraí")</f>
        <v>Guaraí</v>
      </c>
      <c r="B18" s="144" t="str">
        <f ca="1">IFERROR(__xludf.DUMMYFUNCTION("""COMPUTED_VALUE"""),"Guarai")</f>
        <v>Guarai</v>
      </c>
      <c r="C18" s="145" t="str">
        <f ca="1">IFERROR(__xludf.DUMMYFUNCTION("""COMPUTED_VALUE"""),"ASSOC. DE APOIO ESC. EST. OQUERLINA TORRES")</f>
        <v>ASSOC. DE APOIO ESC. EST. OQUERLINA TORRES</v>
      </c>
      <c r="D18" s="257" t="str">
        <f ca="1">IFERROR(__xludf.DUMMYFUNCTION("""COMPUTED_VALUE"""),"01421201000125")</f>
        <v>01421201000125</v>
      </c>
      <c r="E18" s="257" t="str">
        <f ca="1">IFERROR(__xludf.DUMMYFUNCTION("""COMPUTED_VALUE"""),"001")</f>
        <v>001</v>
      </c>
      <c r="F18" s="257" t="str">
        <f ca="1">IFERROR(__xludf.DUMMYFUNCTION("""COMPUTED_VALUE"""),"2094")</f>
        <v>2094</v>
      </c>
      <c r="G18" s="257" t="str">
        <f ca="1">IFERROR(__xludf.DUMMYFUNCTION("""COMPUTED_VALUE"""),"19266X")</f>
        <v>19266X</v>
      </c>
      <c r="H18" s="148">
        <f ca="1">IFERROR(__xludf.DUMMYFUNCTION("""COMPUTED_VALUE"""),20230.6)</f>
        <v>20230.599999999999</v>
      </c>
      <c r="I18" s="148">
        <f ca="1">IFERROR(__xludf.DUMMYFUNCTION("""COMPUTED_VALUE"""),2050.2)</f>
        <v>2050.1999999999998</v>
      </c>
      <c r="J18" s="148">
        <f t="shared" ca="1" si="1"/>
        <v>22280.799999999999</v>
      </c>
    </row>
    <row r="19" spans="1:11" ht="12.75">
      <c r="A19" s="159" t="str">
        <f ca="1">IFERROR(__xludf.DUMMYFUNCTION("""COMPUTED_VALUE"""),"Gurupi")</f>
        <v>Gurupi</v>
      </c>
      <c r="B19" s="159" t="str">
        <f ca="1">IFERROR(__xludf.DUMMYFUNCTION("""COMPUTED_VALUE"""),"Gurupi")</f>
        <v>Gurupi</v>
      </c>
      <c r="C19" s="160" t="str">
        <f ca="1">IFERROR(__xludf.DUMMYFUNCTION("""COMPUTED_VALUE"""),"ASSOC. DE APOIO ESC. EST. BOM JESUS")</f>
        <v>ASSOC. DE APOIO ESC. EST. BOM JESUS</v>
      </c>
      <c r="D19" s="258" t="str">
        <f ca="1">IFERROR(__xludf.DUMMYFUNCTION("""COMPUTED_VALUE"""),"01865430000139")</f>
        <v>01865430000139</v>
      </c>
      <c r="E19" s="258" t="str">
        <f ca="1">IFERROR(__xludf.DUMMYFUNCTION("""COMPUTED_VALUE"""),"001")</f>
        <v>001</v>
      </c>
      <c r="F19" s="258" t="str">
        <f ca="1">IFERROR(__xludf.DUMMYFUNCTION("""COMPUTED_VALUE"""),"0794")</f>
        <v>0794</v>
      </c>
      <c r="G19" s="258" t="str">
        <f ca="1">IFERROR(__xludf.DUMMYFUNCTION("""COMPUTED_VALUE"""),"420603")</f>
        <v>420603</v>
      </c>
      <c r="H19" s="153">
        <f ca="1">IFERROR(__xludf.DUMMYFUNCTION("""COMPUTED_VALUE"""),25953.1999999999)</f>
        <v>25953.199999999899</v>
      </c>
      <c r="I19" s="153">
        <f ca="1">IFERROR(__xludf.DUMMYFUNCTION("""COMPUTED_VALUE"""),2532.6)</f>
        <v>2532.6</v>
      </c>
      <c r="J19" s="153">
        <f t="shared" ca="1" si="1"/>
        <v>28485.799999999897</v>
      </c>
    </row>
    <row r="20" spans="1:11" ht="12.75">
      <c r="A20" s="157" t="str">
        <f ca="1">IFERROR(__xludf.DUMMYFUNCTION("""COMPUTED_VALUE"""),"Gurupi")</f>
        <v>Gurupi</v>
      </c>
      <c r="B20" s="157" t="str">
        <f ca="1">IFERROR(__xludf.DUMMYFUNCTION("""COMPUTED_VALUE"""),"Gurupi")</f>
        <v>Gurupi</v>
      </c>
      <c r="C20" s="158" t="str">
        <f ca="1">IFERROR(__xludf.DUMMYFUNCTION("""COMPUTED_VALUE"""),"ASSOC. DE APOIO COL. EST. DE GURUPI")</f>
        <v>ASSOC. DE APOIO COL. EST. DE GURUPI</v>
      </c>
      <c r="D20" s="257" t="str">
        <f ca="1">IFERROR(__xludf.DUMMYFUNCTION("""COMPUTED_VALUE"""),"01887135000183")</f>
        <v>01887135000183</v>
      </c>
      <c r="E20" s="257" t="str">
        <f ca="1">IFERROR(__xludf.DUMMYFUNCTION("""COMPUTED_VALUE"""),"001")</f>
        <v>001</v>
      </c>
      <c r="F20" s="257" t="str">
        <f ca="1">IFERROR(__xludf.DUMMYFUNCTION("""COMPUTED_VALUE"""),"0794")</f>
        <v>0794</v>
      </c>
      <c r="G20" s="257" t="str">
        <f ca="1">IFERROR(__xludf.DUMMYFUNCTION("""COMPUTED_VALUE"""),"420700")</f>
        <v>420700</v>
      </c>
      <c r="H20" s="148">
        <f ca="1">IFERROR(__xludf.DUMMYFUNCTION("""COMPUTED_VALUE"""),7415.2)</f>
        <v>7415.2</v>
      </c>
      <c r="I20" s="148">
        <f ca="1">IFERROR(__xludf.DUMMYFUNCTION("""COMPUTED_VALUE"""),723.599999999999)</f>
        <v>723.599999999999</v>
      </c>
      <c r="J20" s="148">
        <f t="shared" ca="1" si="1"/>
        <v>8138.7999999999993</v>
      </c>
    </row>
    <row r="21" spans="1:11" ht="12.75">
      <c r="A21" s="159" t="str">
        <f ca="1">IFERROR(__xludf.DUMMYFUNCTION("""COMPUTED_VALUE"""),"Miracema")</f>
        <v>Miracema</v>
      </c>
      <c r="B21" s="159" t="str">
        <f ca="1">IFERROR(__xludf.DUMMYFUNCTION("""COMPUTED_VALUE"""),"Miracema do Tocantins")</f>
        <v>Miracema do Tocantins</v>
      </c>
      <c r="C21" s="160" t="str">
        <f ca="1">IFERROR(__xludf.DUMMYFUNCTION("""COMPUTED_VALUE"""),"ASSOC ESC COM COL EST FILOMENA MOREIRA DE PAULA")</f>
        <v>ASSOC ESC COM COL EST FILOMENA MOREIRA DE PAULA</v>
      </c>
      <c r="D21" s="258" t="str">
        <f ca="1">IFERROR(__xludf.DUMMYFUNCTION("""COMPUTED_VALUE"""),"00900200000109")</f>
        <v>00900200000109</v>
      </c>
      <c r="E21" s="258" t="str">
        <f ca="1">IFERROR(__xludf.DUMMYFUNCTION("""COMPUTED_VALUE"""),"001")</f>
        <v>001</v>
      </c>
      <c r="F21" s="258" t="str">
        <f ca="1">IFERROR(__xludf.DUMMYFUNCTION("""COMPUTED_VALUE"""),"0862")</f>
        <v>0862</v>
      </c>
      <c r="G21" s="258" t="str">
        <f ca="1">IFERROR(__xludf.DUMMYFUNCTION("""COMPUTED_VALUE"""),"97527")</f>
        <v>97527</v>
      </c>
      <c r="H21" s="153">
        <f ca="1">IFERROR(__xludf.DUMMYFUNCTION("""COMPUTED_VALUE"""),9349.59999999999)</f>
        <v>9349.5999999999894</v>
      </c>
      <c r="I21" s="153">
        <f ca="1">IFERROR(__xludf.DUMMYFUNCTION("""COMPUTED_VALUE"""),964.8)</f>
        <v>964.8</v>
      </c>
      <c r="J21" s="153">
        <f t="shared" ca="1" si="1"/>
        <v>10314.399999999989</v>
      </c>
    </row>
    <row r="22" spans="1:11" ht="12.75">
      <c r="A22" s="144" t="str">
        <f ca="1">IFERROR(__xludf.DUMMYFUNCTION("""COMPUTED_VALUE"""),"Miracema")</f>
        <v>Miracema</v>
      </c>
      <c r="B22" s="144" t="str">
        <f ca="1">IFERROR(__xludf.DUMMYFUNCTION("""COMPUTED_VALUE"""),"Tocantinia")</f>
        <v>Tocantinia</v>
      </c>
      <c r="C22" s="145" t="str">
        <f ca="1">IFERROR(__xludf.DUMMYFUNCTION("""COMPUTED_VALUE"""),"ASS. APOIO AO CEM XERENTE WARA")</f>
        <v>ASS. APOIO AO CEM XERENTE WARA</v>
      </c>
      <c r="D22" s="257" t="str">
        <f ca="1">IFERROR(__xludf.DUMMYFUNCTION("""COMPUTED_VALUE"""),"07674098000101")</f>
        <v>07674098000101</v>
      </c>
      <c r="E22" s="257" t="str">
        <f ca="1">IFERROR(__xludf.DUMMYFUNCTION("""COMPUTED_VALUE"""),"001")</f>
        <v>001</v>
      </c>
      <c r="F22" s="257" t="str">
        <f ca="1">IFERROR(__xludf.DUMMYFUNCTION("""COMPUTED_VALUE"""),"0862")</f>
        <v>0862</v>
      </c>
      <c r="G22" s="257" t="str">
        <f ca="1">IFERROR(__xludf.DUMMYFUNCTION("""COMPUTED_VALUE"""),"183407")</f>
        <v>183407</v>
      </c>
      <c r="H22" s="148">
        <f ca="1">IFERROR(__xludf.DUMMYFUNCTION("""COMPUTED_VALUE"""),14346.8)</f>
        <v>14346.8</v>
      </c>
      <c r="I22" s="148">
        <f ca="1">IFERROR(__xludf.DUMMYFUNCTION("""COMPUTED_VALUE"""),1447.19999999999)</f>
        <v>1447.19999999999</v>
      </c>
      <c r="J22" s="148">
        <f t="shared" ca="1" si="1"/>
        <v>15793.999999999989</v>
      </c>
    </row>
    <row r="23" spans="1:11" ht="12.75">
      <c r="A23" s="149" t="str">
        <f ca="1">IFERROR(__xludf.DUMMYFUNCTION("""COMPUTED_VALUE"""),"Palmas")</f>
        <v>Palmas</v>
      </c>
      <c r="B23" s="149" t="str">
        <f ca="1">IFERROR(__xludf.DUMMYFUNCTION("""COMPUTED_VALUE"""),"Palmas")</f>
        <v>Palmas</v>
      </c>
      <c r="C23" s="150" t="str">
        <f ca="1">IFERROR(__xludf.DUMMYFUNCTION("""COMPUTED_VALUE"""),"A.AP. DO COL. EST. SANTA RITA DE CASSIA")</f>
        <v>A.AP. DO COL. EST. SANTA RITA DE CASSIA</v>
      </c>
      <c r="D23" s="258" t="str">
        <f ca="1">IFERROR(__xludf.DUMMYFUNCTION("""COMPUTED_VALUE"""),"01955414000137")</f>
        <v>01955414000137</v>
      </c>
      <c r="E23" s="258" t="str">
        <f ca="1">IFERROR(__xludf.DUMMYFUNCTION("""COMPUTED_VALUE"""),"001")</f>
        <v>001</v>
      </c>
      <c r="F23" s="258" t="str">
        <f ca="1">IFERROR(__xludf.DUMMYFUNCTION("""COMPUTED_VALUE"""),"1505")</f>
        <v>1505</v>
      </c>
      <c r="G23" s="258" t="str">
        <f ca="1">IFERROR(__xludf.DUMMYFUNCTION("""COMPUTED_VALUE"""),"256579")</f>
        <v>256579</v>
      </c>
      <c r="H23" s="153">
        <f ca="1">IFERROR(__xludf.DUMMYFUNCTION("""COMPUTED_VALUE"""),19102.1999999999)</f>
        <v>19102.199999999899</v>
      </c>
      <c r="I23" s="153">
        <f ca="1">IFERROR(__xludf.DUMMYFUNCTION("""COMPUTED_VALUE"""),1929.6)</f>
        <v>1929.6</v>
      </c>
      <c r="J23" s="153">
        <f t="shared" ca="1" si="1"/>
        <v>21031.799999999897</v>
      </c>
    </row>
    <row r="24" spans="1:11" ht="12.75">
      <c r="A24" s="144" t="str">
        <f ca="1">IFERROR(__xludf.DUMMYFUNCTION("""COMPUTED_VALUE"""),"Palmas")</f>
        <v>Palmas</v>
      </c>
      <c r="B24" s="144" t="str">
        <f ca="1">IFERROR(__xludf.DUMMYFUNCTION("""COMPUTED_VALUE"""),"Palmas")</f>
        <v>Palmas</v>
      </c>
      <c r="C24" s="145" t="str">
        <f ca="1">IFERROR(__xludf.DUMMYFUNCTION("""COMPUTED_VALUE"""),"ASSOC. DE APOIO COL. DA POLICIA MILITAR DO TOCANTINS")</f>
        <v>ASSOC. DE APOIO COL. DA POLICIA MILITAR DO TOCANTINS</v>
      </c>
      <c r="D24" s="257" t="str">
        <f ca="1">IFERROR(__xludf.DUMMYFUNCTION("""COMPUTED_VALUE"""),"02050257000183")</f>
        <v>02050257000183</v>
      </c>
      <c r="E24" s="257" t="str">
        <f ca="1">IFERROR(__xludf.DUMMYFUNCTION("""COMPUTED_VALUE"""),"001")</f>
        <v>001</v>
      </c>
      <c r="F24" s="257" t="str">
        <f ca="1">IFERROR(__xludf.DUMMYFUNCTION("""COMPUTED_VALUE"""),"1505")</f>
        <v>1505</v>
      </c>
      <c r="G24" s="257" t="str">
        <f ca="1">IFERROR(__xludf.DUMMYFUNCTION("""COMPUTED_VALUE"""),"455466")</f>
        <v>455466</v>
      </c>
      <c r="H24" s="148">
        <f ca="1">IFERROR(__xludf.DUMMYFUNCTION("""COMPUTED_VALUE"""),67542.7999999999)</f>
        <v>67542.799999999901</v>
      </c>
      <c r="I24" s="148">
        <f ca="1">IFERROR(__xludf.DUMMYFUNCTION("""COMPUTED_VALUE"""),6753.59999999999)</f>
        <v>6753.5999999999904</v>
      </c>
      <c r="J24" s="148">
        <f t="shared" ca="1" si="1"/>
        <v>74296.399999999892</v>
      </c>
    </row>
    <row r="25" spans="1:11" ht="12.75">
      <c r="A25" s="149" t="str">
        <f ca="1">IFERROR(__xludf.DUMMYFUNCTION("""COMPUTED_VALUE"""),"Palmas")</f>
        <v>Palmas</v>
      </c>
      <c r="B25" s="149" t="str">
        <f ca="1">IFERROR(__xludf.DUMMYFUNCTION("""COMPUTED_VALUE"""),"Palmas")</f>
        <v>Palmas</v>
      </c>
      <c r="C25" s="150" t="str">
        <f ca="1">IFERROR(__xludf.DUMMYFUNCTION("""COMPUTED_VALUE"""),"A.A. AO COLEGIO ESTADUAL SAO JOSE")</f>
        <v>A.A. AO COLEGIO ESTADUAL SAO JOSE</v>
      </c>
      <c r="D25" s="258" t="str">
        <f ca="1">IFERROR(__xludf.DUMMYFUNCTION("""COMPUTED_VALUE"""),"01913809000177")</f>
        <v>01913809000177</v>
      </c>
      <c r="E25" s="258" t="str">
        <f ca="1">IFERROR(__xludf.DUMMYFUNCTION("""COMPUTED_VALUE"""),"001")</f>
        <v>001</v>
      </c>
      <c r="F25" s="258" t="str">
        <f ca="1">IFERROR(__xludf.DUMMYFUNCTION("""COMPUTED_VALUE"""),"1886")</f>
        <v>1886</v>
      </c>
      <c r="G25" s="258" t="str">
        <f ca="1">IFERROR(__xludf.DUMMYFUNCTION("""COMPUTED_VALUE"""),"325252")</f>
        <v>325252</v>
      </c>
      <c r="H25" s="153">
        <f ca="1">IFERROR(__xludf.DUMMYFUNCTION("""COMPUTED_VALUE"""),18135)</f>
        <v>18135</v>
      </c>
      <c r="I25" s="153">
        <f ca="1">IFERROR(__xludf.DUMMYFUNCTION("""COMPUTED_VALUE"""),1809)</f>
        <v>1809</v>
      </c>
      <c r="J25" s="153">
        <f t="shared" ca="1" si="1"/>
        <v>19944</v>
      </c>
    </row>
    <row r="26" spans="1:11" ht="12.75">
      <c r="A26" s="144" t="str">
        <f ca="1">IFERROR(__xludf.DUMMYFUNCTION("""COMPUTED_VALUE"""),"Palmas")</f>
        <v>Palmas</v>
      </c>
      <c r="B26" s="144" t="str">
        <f ca="1">IFERROR(__xludf.DUMMYFUNCTION("""COMPUTED_VALUE"""),"Palmas")</f>
        <v>Palmas</v>
      </c>
      <c r="C26" s="145" t="str">
        <f ca="1">IFERROR(__xludf.DUMMYFUNCTION("""COMPUTED_VALUE"""),"A.P.E M. DA ESC. EST. MADRE BELEM")</f>
        <v>A.P.E M. DA ESC. EST. MADRE BELEM</v>
      </c>
      <c r="D26" s="257" t="str">
        <f ca="1">IFERROR(__xludf.DUMMYFUNCTION("""COMPUTED_VALUE"""),"01034134000196")</f>
        <v>01034134000196</v>
      </c>
      <c r="E26" s="257" t="str">
        <f ca="1">IFERROR(__xludf.DUMMYFUNCTION("""COMPUTED_VALUE"""),"001")</f>
        <v>001</v>
      </c>
      <c r="F26" s="257" t="str">
        <f ca="1">IFERROR(__xludf.DUMMYFUNCTION("""COMPUTED_VALUE"""),"1886")</f>
        <v>1886</v>
      </c>
      <c r="G26" s="257" t="str">
        <f ca="1">IFERROR(__xludf.DUMMYFUNCTION("""COMPUTED_VALUE"""),"519855")</f>
        <v>519855</v>
      </c>
      <c r="H26" s="148">
        <f ca="1">IFERROR(__xludf.DUMMYFUNCTION("""COMPUTED_VALUE"""),62384.3999999999)</f>
        <v>62384.3999999999</v>
      </c>
      <c r="I26" s="148">
        <f ca="1">IFERROR(__xludf.DUMMYFUNCTION("""COMPUTED_VALUE"""),6271.2)</f>
        <v>6271.2</v>
      </c>
      <c r="J26" s="148">
        <f t="shared" ca="1" si="1"/>
        <v>68655.599999999904</v>
      </c>
    </row>
    <row r="27" spans="1:11" ht="12.75">
      <c r="A27" s="149" t="str">
        <f ca="1">IFERROR(__xludf.DUMMYFUNCTION("""COMPUTED_VALUE"""),"Paraíso")</f>
        <v>Paraíso</v>
      </c>
      <c r="B27" s="149" t="str">
        <f ca="1">IFERROR(__xludf.DUMMYFUNCTION("""COMPUTED_VALUE"""),"Barrolandia")</f>
        <v>Barrolandia</v>
      </c>
      <c r="C27" s="150" t="str">
        <f ca="1">IFERROR(__xludf.DUMMYFUNCTION("""COMPUTED_VALUE"""),"ASSOC. DE A. DO COL. EST. PRES. TANCREDO NEVES")</f>
        <v>ASSOC. DE A. DO COL. EST. PRES. TANCREDO NEVES</v>
      </c>
      <c r="D27" s="258" t="str">
        <f ca="1">IFERROR(__xludf.DUMMYFUNCTION("""COMPUTED_VALUE"""),"01086975000147")</f>
        <v>01086975000147</v>
      </c>
      <c r="E27" s="258" t="str">
        <f ca="1">IFERROR(__xludf.DUMMYFUNCTION("""COMPUTED_VALUE"""),"001")</f>
        <v>001</v>
      </c>
      <c r="F27" s="258" t="str">
        <f ca="1">IFERROR(__xludf.DUMMYFUNCTION("""COMPUTED_VALUE"""),"0862")</f>
        <v>0862</v>
      </c>
      <c r="G27" s="258" t="str">
        <f ca="1">IFERROR(__xludf.DUMMYFUNCTION("""COMPUTED_VALUE"""),"244155")</f>
        <v>244155</v>
      </c>
      <c r="H27" s="153">
        <f ca="1">IFERROR(__xludf.DUMMYFUNCTION("""COMPUTED_VALUE"""),9269)</f>
        <v>9269</v>
      </c>
      <c r="I27" s="153">
        <f ca="1">IFERROR(__xludf.DUMMYFUNCTION("""COMPUTED_VALUE"""),964.8)</f>
        <v>964.8</v>
      </c>
      <c r="J27" s="153">
        <f t="shared" ca="1" si="1"/>
        <v>10233.799999999999</v>
      </c>
    </row>
    <row r="28" spans="1:11" ht="12.75">
      <c r="A28" s="144" t="str">
        <f ca="1">IFERROR(__xludf.DUMMYFUNCTION("""COMPUTED_VALUE"""),"Porto Nacional")</f>
        <v>Porto Nacional</v>
      </c>
      <c r="B28" s="144" t="str">
        <f ca="1">IFERROR(__xludf.DUMMYFUNCTION("""COMPUTED_VALUE"""),"Brejinho de Nazare")</f>
        <v>Brejinho de Nazare</v>
      </c>
      <c r="C28" s="145" t="str">
        <f ca="1">IFERROR(__xludf.DUMMYFUNCTION("""COMPUTED_VALUE"""),"A.A. DO COLEGIO ESTADUAL PADRAO")</f>
        <v>A.A. DO COLEGIO ESTADUAL PADRAO</v>
      </c>
      <c r="D28" s="257" t="str">
        <f ca="1">IFERROR(__xludf.DUMMYFUNCTION("""COMPUTED_VALUE"""),"01181175000105")</f>
        <v>01181175000105</v>
      </c>
      <c r="E28" s="257" t="str">
        <f ca="1">IFERROR(__xludf.DUMMYFUNCTION("""COMPUTED_VALUE"""),"001")</f>
        <v>001</v>
      </c>
      <c r="F28" s="257" t="str">
        <f ca="1">IFERROR(__xludf.DUMMYFUNCTION("""COMPUTED_VALUE"""),"3976")</f>
        <v>3976</v>
      </c>
      <c r="G28" s="257" t="str">
        <f ca="1">IFERROR(__xludf.DUMMYFUNCTION("""COMPUTED_VALUE"""),"51047")</f>
        <v>51047</v>
      </c>
      <c r="H28" s="148">
        <f ca="1">IFERROR(__xludf.DUMMYFUNCTION("""COMPUTED_VALUE"""),14830.4)</f>
        <v>14830.4</v>
      </c>
      <c r="I28" s="148">
        <f ca="1">IFERROR(__xludf.DUMMYFUNCTION("""COMPUTED_VALUE"""),1447.19999999999)</f>
        <v>1447.19999999999</v>
      </c>
      <c r="J28" s="148">
        <f t="shared" ca="1" si="1"/>
        <v>16277.599999999989</v>
      </c>
    </row>
    <row r="29" spans="1:11" ht="12.75">
      <c r="A29" s="149" t="str">
        <f ca="1">IFERROR(__xludf.DUMMYFUNCTION("""COMPUTED_VALUE"""),"Porto Nacional")</f>
        <v>Porto Nacional</v>
      </c>
      <c r="B29" s="149" t="str">
        <f ca="1">IFERROR(__xludf.DUMMYFUNCTION("""COMPUTED_VALUE"""),"Natividade")</f>
        <v>Natividade</v>
      </c>
      <c r="C29" s="150" t="str">
        <f ca="1">IFERROR(__xludf.DUMMYFUNCTION("""COMPUTED_VALUE"""),"ASSOC. NOSSA SENHORA NATIVIDADE COL. AGRÍCOLA")</f>
        <v>ASSOC. NOSSA SENHORA NATIVIDADE COL. AGRÍCOLA</v>
      </c>
      <c r="D29" s="258" t="str">
        <f ca="1">IFERROR(__xludf.DUMMYFUNCTION("""COMPUTED_VALUE"""),"03758716000140")</f>
        <v>03758716000140</v>
      </c>
      <c r="E29" s="258" t="str">
        <f ca="1">IFERROR(__xludf.DUMMYFUNCTION("""COMPUTED_VALUE"""),"001")</f>
        <v>001</v>
      </c>
      <c r="F29" s="258" t="str">
        <f ca="1">IFERROR(__xludf.DUMMYFUNCTION("""COMPUTED_VALUE"""),"3980")</f>
        <v>3980</v>
      </c>
      <c r="G29" s="258" t="str">
        <f ca="1">IFERROR(__xludf.DUMMYFUNCTION("""COMPUTED_VALUE"""),"282782")</f>
        <v>282782</v>
      </c>
      <c r="H29" s="153">
        <f ca="1">IFERROR(__xludf.DUMMYFUNCTION("""COMPUTED_VALUE"""),17973.8)</f>
        <v>17973.8</v>
      </c>
      <c r="I29" s="153">
        <f ca="1">IFERROR(__xludf.DUMMYFUNCTION("""COMPUTED_VALUE"""),0)</f>
        <v>0</v>
      </c>
      <c r="J29" s="153">
        <f t="shared" ca="1" si="1"/>
        <v>17973.8</v>
      </c>
    </row>
    <row r="30" spans="1:11" ht="12.75">
      <c r="A30" s="144" t="str">
        <f ca="1">IFERROR(__xludf.DUMMYFUNCTION("""COMPUTED_VALUE"""),"Porto Nacional")</f>
        <v>Porto Nacional</v>
      </c>
      <c r="B30" s="144" t="str">
        <f ca="1">IFERROR(__xludf.DUMMYFUNCTION("""COMPUTED_VALUE"""),"Pindorama do Tocantins")</f>
        <v>Pindorama do Tocantins</v>
      </c>
      <c r="C30" s="145" t="str">
        <f ca="1">IFERROR(__xludf.DUMMYFUNCTION("""COMPUTED_VALUE"""),"A.A. DO COL. EST. MANOEL DOS SANTOS ROSAL")</f>
        <v>A.A. DO COL. EST. MANOEL DOS SANTOS ROSAL</v>
      </c>
      <c r="D30" s="257" t="str">
        <f ca="1">IFERROR(__xludf.DUMMYFUNCTION("""COMPUTED_VALUE"""),"01034136000185")</f>
        <v>01034136000185</v>
      </c>
      <c r="E30" s="257" t="str">
        <f ca="1">IFERROR(__xludf.DUMMYFUNCTION("""COMPUTED_VALUE"""),"001")</f>
        <v>001</v>
      </c>
      <c r="F30" s="257" t="str">
        <f ca="1">IFERROR(__xludf.DUMMYFUNCTION("""COMPUTED_VALUE"""),"1117")</f>
        <v>1117</v>
      </c>
      <c r="G30" s="257" t="str">
        <f ca="1">IFERROR(__xludf.DUMMYFUNCTION("""COMPUTED_VALUE"""),"312991")</f>
        <v>312991</v>
      </c>
      <c r="H30" s="148">
        <f ca="1">IFERROR(__xludf.DUMMYFUNCTION("""COMPUTED_VALUE"""),14830.4)</f>
        <v>14830.4</v>
      </c>
      <c r="I30" s="148">
        <f ca="1">IFERROR(__xludf.DUMMYFUNCTION("""COMPUTED_VALUE"""),1447.19999999999)</f>
        <v>1447.19999999999</v>
      </c>
      <c r="J30" s="148">
        <f t="shared" ca="1" si="1"/>
        <v>16277.599999999989</v>
      </c>
    </row>
    <row r="31" spans="1:11" ht="12.75">
      <c r="A31" s="149" t="str">
        <f ca="1">IFERROR(__xludf.DUMMYFUNCTION("""COMPUTED_VALUE"""),"Porto Nacional")</f>
        <v>Porto Nacional</v>
      </c>
      <c r="B31" s="149" t="str">
        <f ca="1">IFERROR(__xludf.DUMMYFUNCTION("""COMPUTED_VALUE"""),"Porto Nacional")</f>
        <v>Porto Nacional</v>
      </c>
      <c r="C31" s="150" t="str">
        <f ca="1">IFERROR(__xludf.DUMMYFUNCTION("""COMPUTED_VALUE"""),"ASSOC. DE APOIO AO CEM FELIX CAMOA I")</f>
        <v>ASSOC. DE APOIO AO CEM FELIX CAMOA I</v>
      </c>
      <c r="D31" s="258" t="str">
        <f ca="1">IFERROR(__xludf.DUMMYFUNCTION("""COMPUTED_VALUE"""),"01112476000187")</f>
        <v>01112476000187</v>
      </c>
      <c r="E31" s="258" t="str">
        <f ca="1">IFERROR(__xludf.DUMMYFUNCTION("""COMPUTED_VALUE"""),"104")</f>
        <v>104</v>
      </c>
      <c r="F31" s="258" t="str">
        <f ca="1">IFERROR(__xludf.DUMMYFUNCTION("""COMPUTED_VALUE"""),"1829")</f>
        <v>1829</v>
      </c>
      <c r="G31" s="258" t="str">
        <f ca="1">IFERROR(__xludf.DUMMYFUNCTION("""COMPUTED_VALUE"""),"3050011")</f>
        <v>3050011</v>
      </c>
      <c r="H31" s="153">
        <f ca="1">IFERROR(__xludf.DUMMYFUNCTION("""COMPUTED_VALUE"""),13057.1999999999)</f>
        <v>13057.199999999901</v>
      </c>
      <c r="I31" s="153">
        <f ca="1">IFERROR(__xludf.DUMMYFUNCTION("""COMPUTED_VALUE"""),1326.6)</f>
        <v>1326.6</v>
      </c>
      <c r="J31" s="153">
        <f t="shared" ca="1" si="1"/>
        <v>14383.799999999901</v>
      </c>
    </row>
    <row r="32" spans="1:11" ht="12.75">
      <c r="A32" s="302" t="str">
        <f ca="1">IFERROR(__xludf.DUMMYFUNCTION("""COMPUTED_VALUE"""),"Tocantinópolis")</f>
        <v>Tocantinópolis</v>
      </c>
      <c r="B32" s="144" t="str">
        <f ca="1">IFERROR(__xludf.DUMMYFUNCTION("""COMPUTED_VALUE"""),"Aguiarnopolis")</f>
        <v>Aguiarnopolis</v>
      </c>
      <c r="C32" s="303" t="str">
        <f ca="1">IFERROR(__xludf.DUMMYFUNCTION("""COMPUTED_VALUE"""),"A.A. DA ESC. EST. NAZARÉ NUNES DA SILVA (AGUIARNOPOLIS)")</f>
        <v>A.A. DA ESC. EST. NAZARÉ NUNES DA SILVA (AGUIARNOPOLIS)</v>
      </c>
      <c r="D32" s="257" t="str">
        <f ca="1">IFERROR(__xludf.DUMMYFUNCTION("""COMPUTED_VALUE"""),"01213519000110")</f>
        <v>01213519000110</v>
      </c>
      <c r="E32" s="304" t="str">
        <f ca="1">IFERROR(__xludf.DUMMYFUNCTION("""COMPUTED_VALUE"""),"001")</f>
        <v>001</v>
      </c>
      <c r="F32" s="257" t="str">
        <f ca="1">IFERROR(__xludf.DUMMYFUNCTION("""COMPUTED_VALUE"""),"0810")</f>
        <v>0810</v>
      </c>
      <c r="G32" s="304" t="str">
        <f ca="1">IFERROR(__xludf.DUMMYFUNCTION("""COMPUTED_VALUE"""),"217727")</f>
        <v>217727</v>
      </c>
      <c r="H32" s="148">
        <f ca="1">IFERROR(__xludf.DUMMYFUNCTION("""COMPUTED_VALUE"""),17651.3999999999)</f>
        <v>17651.3999999999</v>
      </c>
      <c r="I32" s="305">
        <f ca="1">IFERROR(__xludf.DUMMYFUNCTION("""COMPUTED_VALUE"""),1809)</f>
        <v>1809</v>
      </c>
      <c r="J32" s="306">
        <f t="shared" ca="1" si="1"/>
        <v>19460.3999999999</v>
      </c>
    </row>
    <row r="33" spans="1:10" ht="12.75">
      <c r="A33" s="149" t="str">
        <f ca="1">IFERROR(__xludf.DUMMYFUNCTION("""COMPUTED_VALUE"""),"Tocantinópolis")</f>
        <v>Tocantinópolis</v>
      </c>
      <c r="B33" s="149" t="str">
        <f ca="1">IFERROR(__xludf.DUMMYFUNCTION("""COMPUTED_VALUE"""),"Tocantinopolis")</f>
        <v>Tocantinopolis</v>
      </c>
      <c r="C33" s="149" t="str">
        <f ca="1">IFERROR(__xludf.DUMMYFUNCTION("""COMPUTED_VALUE"""),"ASSOC.PAIS E MESTRES COL. EST. DEP.DARCY MARINHO")</f>
        <v>ASSOC.PAIS E MESTRES COL. EST. DEP.DARCY MARINHO</v>
      </c>
      <c r="D33" s="258" t="str">
        <f ca="1">IFERROR(__xludf.DUMMYFUNCTION("""COMPUTED_VALUE"""),"01230236000187")</f>
        <v>01230236000187</v>
      </c>
      <c r="E33" s="258" t="str">
        <f ca="1">IFERROR(__xludf.DUMMYFUNCTION("""COMPUTED_VALUE"""),"001")</f>
        <v>001</v>
      </c>
      <c r="F33" s="258" t="str">
        <f ca="1">IFERROR(__xludf.DUMMYFUNCTION("""COMPUTED_VALUE"""),"0810")</f>
        <v>0810</v>
      </c>
      <c r="G33" s="258" t="str">
        <f ca="1">IFERROR(__xludf.DUMMYFUNCTION("""COMPUTED_VALUE"""),"297410")</f>
        <v>297410</v>
      </c>
      <c r="H33" s="153">
        <f ca="1">IFERROR(__xludf.DUMMYFUNCTION("""COMPUTED_VALUE"""),13943.8)</f>
        <v>13943.8</v>
      </c>
      <c r="I33" s="153">
        <f ca="1">IFERROR(__xludf.DUMMYFUNCTION("""COMPUTED_VALUE"""),1447.19999999999)</f>
        <v>1447.19999999999</v>
      </c>
      <c r="J33" s="153">
        <f t="shared" ca="1" si="1"/>
        <v>15390.999999999989</v>
      </c>
    </row>
    <row r="34" spans="1:10" ht="12.75">
      <c r="A34" s="144"/>
      <c r="B34" s="144"/>
      <c r="C34" s="144"/>
      <c r="D34" s="257"/>
      <c r="E34" s="257"/>
      <c r="F34" s="257"/>
      <c r="G34" s="257"/>
      <c r="H34" s="148"/>
      <c r="I34" s="148"/>
      <c r="J34" s="148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73" t="str">
        <f ca="1">IFERROR(__xludf.DUMMYFUNCTION("QUERY(REP_EST_PJA!A5:Z1000,""SELECT A,B,C,D,E,F,G,H WHERE H&gt;0 label H 'ENS MEDIO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IFERROR(__xludf.DUMMYFUNCTION("""COMPUTED_VALUE"""),"ENS MEDIO JOVEM AÇÃO")</f>
        <v>ENS MEDIO JOVEM AÇÃO</v>
      </c>
      <c r="I1" s="271" t="str">
        <f t="array" ref="I1:I1000">IF(ROW(A1:A1000)=1,"ETAPA",IF(A1:A1000&lt;&gt;"","ENS MEDIO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s="3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IFERROR(__xludf.DUMMYFUNCTION("""COMPUTED_VALUE"""),8624.19999999999)</f>
        <v>8624.1999999999898</v>
      </c>
      <c r="I9" t="str">
        <v>ENS MEDIO JOVEM AÇÃO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s="3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IFERROR(__xludf.DUMMYFUNCTION("""COMPUTED_VALUE"""),16281.1999999999)</f>
        <v>16281.199999999901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IFERROR(__xludf.DUMMYFUNCTION("""COMPUTED_VALUE"""),"Natividade")</f>
        <v>Natividade</v>
      </c>
      <c r="C25" t="str">
        <f ca="1">IFERROR(__xludf.DUMMYFUNCTION("""COMPUTED_VALUE"""),"ASSOC. NOSSA SENHORA NATIVIDADE COL. AGRÍCOLA")</f>
        <v>ASSOC. NOSSA SENHORA NATIVIDADE COL. AGRÍCOLA</v>
      </c>
      <c r="D25" s="3" t="str">
        <f ca="1">IFERROR(__xludf.DUMMYFUNCTION("""COMPUTED_VALUE"""),"03758716000140")</f>
        <v>03758716000140</v>
      </c>
      <c r="E25" t="str">
        <f ca="1">IFERROR(__xludf.DUMMYFUNCTION("""COMPUTED_VALUE"""),"001")</f>
        <v>001</v>
      </c>
      <c r="F25" t="str">
        <f ca="1">IFERROR(__xludf.DUMMYFUNCTION("""COMPUTED_VALUE"""),"3980")</f>
        <v>3980</v>
      </c>
      <c r="G25" t="str">
        <f ca="1">IFERROR(__xludf.DUMMYFUNCTION("""COMPUTED_VALUE"""),"282782")</f>
        <v>282782</v>
      </c>
      <c r="H25" s="8">
        <f ca="1">IFERROR(__xludf.DUMMYFUNCTION("""COMPUTED_VALUE"""),17973.8)</f>
        <v>17973.8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IFERROR(__xludf.DUMMYFUNCTION("""COMPUTED_VALUE"""),"Pindorama do Tocantins")</f>
        <v>Pindorama do Tocantins</v>
      </c>
      <c r="C26" t="str">
        <f ca="1">IFERROR(__xludf.DUMMYFUNCTION("""COMPUTED_VALUE"""),"A.A. DO COL. EST. MANOEL DOS SANTOS ROSAL")</f>
        <v>A.A. DO COL. EST. MANOEL DOS SANTOS ROSAL</v>
      </c>
      <c r="D26" s="3" t="str">
        <f ca="1">IFERROR(__xludf.DUMMYFUNCTION("""COMPUTED_VALUE"""),"01034136000185")</f>
        <v>01034136000185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IFERROR(__xludf.DUMMYFUNCTION("""COMPUTED_VALUE"""),"312991")</f>
        <v>312991</v>
      </c>
      <c r="H26" s="8">
        <f ca="1">IFERROR(__xludf.DUMMYFUNCTION("""COMPUTED_VALUE"""),14830.4)</f>
        <v>14830.4</v>
      </c>
      <c r="I26" t="str">
        <v>ENS MEDIO 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IFERROR(__xludf.DUMMYFUNCTION("""COMPUTED_VALUE"""),"ASSOC. DE APOIO AO CEM FELIX CAMOA I")</f>
        <v>ASSOC. DE APOIO AO CEM FELIX CAMOA I</v>
      </c>
      <c r="D27" s="3" t="str">
        <f ca="1">IFERROR(__xludf.DUMMYFUNCTION("""COMPUTED_VALUE"""),"01112476000187")</f>
        <v>01112476000187</v>
      </c>
      <c r="E27" t="str">
        <f ca="1">IFERROR(__xludf.DUMMYFUNCTION("""COMPUTED_VALUE"""),"104")</f>
        <v>104</v>
      </c>
      <c r="F27" t="str">
        <f ca="1">IFERROR(__xludf.DUMMYFUNCTION("""COMPUTED_VALUE"""),"1829")</f>
        <v>1829</v>
      </c>
      <c r="G27" t="str">
        <f ca="1">IFERROR(__xludf.DUMMYFUNCTION("""COMPUTED_VALUE"""),"3050011")</f>
        <v>3050011</v>
      </c>
      <c r="H27" s="8">
        <f ca="1">IFERROR(__xludf.DUMMYFUNCTION("""COMPUTED_VALUE"""),13057.1999999999)</f>
        <v>13057.199999999901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IFERROR(__xludf.DUMMYFUNCTION("""COMPUTED_VALUE"""),"Aguiarnopolis")</f>
        <v>Aguiarnopolis</v>
      </c>
      <c r="C28" t="str">
        <f ca="1">IFERROR(__xludf.DUMMYFUNCTION("""COMPUTED_VALUE"""),"A.A. DA ESC. EST. NAZARÉ NUNES DA SILVA (AGUIARNOPOLIS)")</f>
        <v>A.A. DA ESC. EST. NAZARÉ NUNES DA SILVA (AGUIARNOPOLIS)</v>
      </c>
      <c r="D28" s="3" t="str">
        <f ca="1">IFERROR(__xludf.DUMMYFUNCTION("""COMPUTED_VALUE"""),"01213519000110")</f>
        <v>01213519000110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IFERROR(__xludf.DUMMYFUNCTION("""COMPUTED_VALUE"""),"217727")</f>
        <v>217727</v>
      </c>
      <c r="H28" s="8">
        <f ca="1">IFERROR(__xludf.DUMMYFUNCTION("""COMPUTED_VALUE"""),17651.3999999999)</f>
        <v>17651.3999999999</v>
      </c>
      <c r="I28" t="str">
        <v>ENS MEDIO 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IFERROR(__xludf.DUMMYFUNCTION("""COMPUTED_VALUE"""),"ASSOC.PAIS E MESTRES COL. EST. DEP.DARCY MARINHO")</f>
        <v>ASSOC.PAIS E MESTRES COL. EST. DEP.DARCY MARINHO</v>
      </c>
      <c r="D29" s="3" t="str">
        <f ca="1">IFERROR(__xludf.DUMMYFUNCTION("""COMPUTED_VALUE"""),"01230236000187")</f>
        <v>01230236000187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IFERROR(__xludf.DUMMYFUNCTION("""COMPUTED_VALUE"""),"297410")</f>
        <v>297410</v>
      </c>
      <c r="H29" s="8">
        <f ca="1">IFERROR(__xludf.DUMMYFUNCTION("""COMPUTED_VALUE"""),13943.8)</f>
        <v>13943.8</v>
      </c>
      <c r="I29" t="str">
        <v>ENS MEDIO JOVEM AÇÃO</v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73" t="str">
        <f ca="1">IFERROR(__xludf.DUMMYFUNCTION("QUERY(REP_EST_PJA!A5:Z1000,""SELECT A,B,C,D,E,F,G,I WHERE I&gt;0 label I 'SERVIDORES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JOVEM AÇÃO")</f>
        <v>SERVIDORES JOVEM AÇÃO</v>
      </c>
      <c r="I1" s="271" t="str">
        <f t="array" ref="I1:I1000">IF(ROW(A1:A1000)=1,"ETAPA",IF(A1:A1000&lt;&gt;"","SERVIDORES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s="3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8">
        <f ca="1">IFERROR(__xludf.DUMMYFUNCTION("""COMPUTED_VALUE"""),844.199999999999)</f>
        <v>844.19999999999902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s="3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8">
        <f ca="1">IFERROR(__xludf.DUMMYFUNCTION("""COMPUTED_VALUE"""),1085.39999999999)</f>
        <v>1085.3999999999901</v>
      </c>
      <c r="I11" t="str">
        <v>SERVIDORES JOVEM AÇÃO</v>
      </c>
    </row>
    <row r="12" spans="1:26" ht="12.75">
      <c r="A12" t="str">
        <f ca="1">IFERROR(__xludf.DUMMYFUNCTION("""COMPUTED_VALUE"""),"Guaraí")</f>
        <v>Guaraí</v>
      </c>
      <c r="B12" t="str">
        <f ca="1">IFERROR(__xludf.DUMMYFUNCTION("""COMPUTED_VALUE"""),"Fortaleza do Tabocao")</f>
        <v>Fortaleza do Tabocao</v>
      </c>
      <c r="C12" t="str">
        <f ca="1">IFERROR(__xludf.DUMMYFUNCTION("""COMPUTED_VALUE"""),"A.A. DA ESC. EST. MAJOR JUVENAL P.DE SOUZA")</f>
        <v>A.A. DA ESC. EST. MAJOR JUVENAL P.DE SOUZA</v>
      </c>
      <c r="D12" s="3" t="str">
        <f ca="1">IFERROR(__xludf.DUMMYFUNCTION("""COMPUTED_VALUE"""),"01408714000104")</f>
        <v>01408714000104</v>
      </c>
      <c r="E12" t="str">
        <f ca="1">IFERROR(__xludf.DUMMYFUNCTION("""COMPUTED_VALUE"""),"001")</f>
        <v>001</v>
      </c>
      <c r="F12" t="str">
        <f ca="1">IFERROR(__xludf.DUMMYFUNCTION("""COMPUTED_VALUE"""),"2094")</f>
        <v>2094</v>
      </c>
      <c r="G12" t="str">
        <f ca="1">IFERROR(__xludf.DUMMYFUNCTION("""COMPUTED_VALUE"""),"46743X")</f>
        <v>46743X</v>
      </c>
      <c r="H12" s="8">
        <f ca="1">IFERROR(__xludf.DUMMYFUNCTION("""COMPUTED_VALUE"""),1206)</f>
        <v>1206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IFERROR(__xludf.DUMMYFUNCTION("""COMPUTED_VALUE"""),"Guarai")</f>
        <v>Guarai</v>
      </c>
      <c r="C13" t="str">
        <f ca="1">IFERROR(__xludf.DUMMYFUNCTION("""COMPUTED_VALUE"""),"ASSOC. DE APOIO ESC. EST. OQUERLINA TORRES")</f>
        <v>ASSOC. DE APOIO ESC. EST. OQUERLINA TORRES</v>
      </c>
      <c r="D13" s="3" t="str">
        <f ca="1">IFERROR(__xludf.DUMMYFUNCTION("""COMPUTED_VALUE"""),"01421201000125")</f>
        <v>01421201000125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IFERROR(__xludf.DUMMYFUNCTION("""COMPUTED_VALUE"""),"19266X")</f>
        <v>19266X</v>
      </c>
      <c r="H13" s="8">
        <f ca="1">IFERROR(__xludf.DUMMYFUNCTION("""COMPUTED_VALUE"""),2050.2)</f>
        <v>2050.1999999999998</v>
      </c>
      <c r="I13" t="str">
        <v>SERVIDORES JOVEM AÇÃO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IFERROR(__xludf.DUMMYFUNCTION("""COMPUTED_VALUE"""),"ASSOC. DE APOIO ESC. EST. BOM JESUS")</f>
        <v>ASSOC. DE APOIO ESC. EST. BOM JESUS</v>
      </c>
      <c r="D14" s="3" t="str">
        <f ca="1">IFERROR(__xludf.DUMMYFUNCTION("""COMPUTED_VALUE"""),"01865430000139")</f>
        <v>01865430000139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IFERROR(__xludf.DUMMYFUNCTION("""COMPUTED_VALUE"""),"420603")</f>
        <v>420603</v>
      </c>
      <c r="H14" s="8">
        <f ca="1">IFERROR(__xludf.DUMMYFUNCTION("""COMPUTED_VALUE"""),2532.6)</f>
        <v>2532.6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COL. EST. DE GURUPI")</f>
        <v>ASSOC. DE APOIO COL. EST. DE GURUPI</v>
      </c>
      <c r="D15" s="3" t="str">
        <f ca="1">IFERROR(__xludf.DUMMYFUNCTION("""COMPUTED_VALUE"""),"01887135000183")</f>
        <v>01887135000183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IFERROR(__xludf.DUMMYFUNCTION("""COMPUTED_VALUE"""),"420700")</f>
        <v>420700</v>
      </c>
      <c r="H15" s="8">
        <f ca="1">IFERROR(__xludf.DUMMYFUNCTION("""COMPUTED_VALUE"""),723.599999999999)</f>
        <v>723.599999999999</v>
      </c>
      <c r="I15" t="str">
        <v>SERVIDORES JOVEM AÇÃO</v>
      </c>
    </row>
    <row r="16" spans="1:26" ht="12.75">
      <c r="A16" t="str">
        <f ca="1">IFERROR(__xludf.DUMMYFUNCTION("""COMPUTED_VALUE"""),"Miracema")</f>
        <v>Miracema</v>
      </c>
      <c r="B16" t="str">
        <f ca="1">IFERROR(__xludf.DUMMYFUNCTION("""COMPUTED_VALUE"""),"Miracema do Tocantins")</f>
        <v>Miracema do Tocantins</v>
      </c>
      <c r="C16" t="str">
        <f ca="1">IFERROR(__xludf.DUMMYFUNCTION("""COMPUTED_VALUE"""),"ASSOC ESC COM COL EST FILOMENA MOREIRA DE PAULA")</f>
        <v>ASSOC ESC COM COL EST FILOMENA MOREIRA DE PAULA</v>
      </c>
      <c r="D16" s="3" t="str">
        <f ca="1">IFERROR(__xludf.DUMMYFUNCTION("""COMPUTED_VALUE"""),"00900200000109")</f>
        <v>00900200000109</v>
      </c>
      <c r="E16" t="str">
        <f ca="1">IFERROR(__xludf.DUMMYFUNCTION("""COMPUTED_VALUE"""),"001")</f>
        <v>001</v>
      </c>
      <c r="F16" t="str">
        <f ca="1">IFERROR(__xludf.DUMMYFUNCTION("""COMPUTED_VALUE"""),"0862")</f>
        <v>0862</v>
      </c>
      <c r="G16" t="str">
        <f ca="1">IFERROR(__xludf.DUMMYFUNCTION("""COMPUTED_VALUE"""),"97527")</f>
        <v>97527</v>
      </c>
      <c r="H16" s="8">
        <f ca="1">IFERROR(__xludf.DUMMYFUNCTION("""COMPUTED_VALUE"""),964.8)</f>
        <v>964.8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IFERROR(__xludf.DUMMYFUNCTION("""COMPUTED_VALUE"""),"Tocantinia")</f>
        <v>Tocantinia</v>
      </c>
      <c r="C17" t="str">
        <f ca="1">IFERROR(__xludf.DUMMYFUNCTION("""COMPUTED_VALUE"""),"ASS. APOIO AO CEM XERENTE WARA")</f>
        <v>ASS. APOIO AO CEM XERENTE WARA</v>
      </c>
      <c r="D17" s="3" t="str">
        <f ca="1">IFERROR(__xludf.DUMMYFUNCTION("""COMPUTED_VALUE"""),"07674098000101")</f>
        <v>07674098000101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IFERROR(__xludf.DUMMYFUNCTION("""COMPUTED_VALUE"""),"183407")</f>
        <v>183407</v>
      </c>
      <c r="H17" s="8">
        <f ca="1">IFERROR(__xludf.DUMMYFUNCTION("""COMPUTED_VALUE"""),1447.19999999999)</f>
        <v>1447.19999999999</v>
      </c>
      <c r="I17" t="str">
        <v>SERVIDORES JOVEM AÇÃO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IFERROR(__xludf.DUMMYFUNCTION("""COMPUTED_VALUE"""),"A.AP. DO COL. EST. SANTA RITA DE CASSIA")</f>
        <v>A.AP. DO COL. EST. SANTA RITA DE CASSIA</v>
      </c>
      <c r="D18" s="3" t="str">
        <f ca="1">IFERROR(__xludf.DUMMYFUNCTION("""COMPUTED_VALUE"""),"01955414000137")</f>
        <v>01955414000137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IFERROR(__xludf.DUMMYFUNCTION("""COMPUTED_VALUE"""),"256579")</f>
        <v>256579</v>
      </c>
      <c r="H18" s="8">
        <f ca="1">IFERROR(__xludf.DUMMYFUNCTION("""COMPUTED_VALUE"""),1929.6)</f>
        <v>1929.6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 DE APOIO COL. DA POLICIA MILITAR DO TOCANTINS")</f>
        <v>ASSOC. DE APOIO COL. DA POLICIA MILITAR DO TOCANTINS</v>
      </c>
      <c r="D19" s="3" t="str">
        <f ca="1">IFERROR(__xludf.DUMMYFUNCTION("""COMPUTED_VALUE"""),"02050257000183")</f>
        <v>02050257000183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IFERROR(__xludf.DUMMYFUNCTION("""COMPUTED_VALUE"""),"455466")</f>
        <v>455466</v>
      </c>
      <c r="H19" s="8">
        <f ca="1">IFERROR(__xludf.DUMMYFUNCTION("""COMPUTED_VALUE"""),6753.59999999999)</f>
        <v>6753.5999999999904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IFERROR(__xludf.DUMMYFUNCTION("""COMPUTED_VALUE"""),"A.A. AO COLEGIO ESTADUAL SAO JOSE")</f>
        <v>A.A. AO COLEGIO ESTADUAL SAO JOSE</v>
      </c>
      <c r="D20" s="3" t="str">
        <f ca="1">IFERROR(__xludf.DUMMYFUNCTION("""COMPUTED_VALUE"""),"01913809000177")</f>
        <v>01913809000177</v>
      </c>
      <c r="E20" t="str">
        <f ca="1">IFERROR(__xludf.DUMMYFUNCTION("""COMPUTED_VALUE"""),"001")</f>
        <v>001</v>
      </c>
      <c r="F20" t="str">
        <f ca="1">IFERROR(__xludf.DUMMYFUNCTION("""COMPUTED_VALUE"""),"1886")</f>
        <v>1886</v>
      </c>
      <c r="G20" t="str">
        <f ca="1">IFERROR(__xludf.DUMMYFUNCTION("""COMPUTED_VALUE"""),"325252")</f>
        <v>325252</v>
      </c>
      <c r="H20" s="8">
        <f ca="1">IFERROR(__xludf.DUMMYFUNCTION("""COMPUTED_VALUE"""),1809)</f>
        <v>1809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IFERROR(__xludf.DUMMYFUNCTION("""COMPUTED_VALUE"""),"A.P.E M. DA ESC. EST. MADRE BELEM")</f>
        <v>A.P.E M. DA ESC. EST. MADRE BELEM</v>
      </c>
      <c r="D21" s="3" t="str">
        <f ca="1">IFERROR(__xludf.DUMMYFUNCTION("""COMPUTED_VALUE"""),"01034134000196")</f>
        <v>01034134000196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IFERROR(__xludf.DUMMYFUNCTION("""COMPUTED_VALUE"""),"519855")</f>
        <v>519855</v>
      </c>
      <c r="H21" s="8">
        <f ca="1">IFERROR(__xludf.DUMMYFUNCTION("""COMPUTED_VALUE"""),6271.2)</f>
        <v>6271.2</v>
      </c>
      <c r="I21" t="str">
        <v>SERVIDORES JOVEM AÇÃO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IFERROR(__xludf.DUMMYFUNCTION("""COMPUTED_VALUE"""),"Barrolandia")</f>
        <v>Barrolandia</v>
      </c>
      <c r="C22" t="str">
        <f ca="1">IFERROR(__xludf.DUMMYFUNCTION("""COMPUTED_VALUE"""),"ASSOC. DE A. DO COL. EST. PRES. TANCREDO NEVES")</f>
        <v>ASSOC. DE A. DO COL. EST. PRES. TANCREDO NEVES</v>
      </c>
      <c r="D22" s="3" t="str">
        <f ca="1">IFERROR(__xludf.DUMMYFUNCTION("""COMPUTED_VALUE"""),"01086975000147")</f>
        <v>01086975000147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IFERROR(__xludf.DUMMYFUNCTION("""COMPUTED_VALUE"""),"244155")</f>
        <v>244155</v>
      </c>
      <c r="H22" s="8">
        <f ca="1">IFERROR(__xludf.DUMMYFUNCTION("""COMPUTED_VALUE"""),964.8)</f>
        <v>964.8</v>
      </c>
      <c r="I22" t="str">
        <v>SERVIDORES JOVEM AÇÃO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IFERROR(__xludf.DUMMYFUNCTION("""COMPUTED_VALUE"""),"A.A. DO COLEGIO ESTADUAL PADRAO")</f>
        <v>A.A. DO COLEGIO ESTADUAL PADRAO</v>
      </c>
      <c r="D23" s="3" t="str">
        <f ca="1">IFERROR(__xludf.DUMMYFUNCTION("""COMPUTED_VALUE"""),"01181175000105")</f>
        <v>01181175000105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IFERROR(__xludf.DUMMYFUNCTION("""COMPUTED_VALUE"""),"51047")</f>
        <v>51047</v>
      </c>
      <c r="H23" s="8">
        <f ca="1">IFERROR(__xludf.DUMMYFUNCTION("""COMPUTED_VALUE"""),1447.19999999999)</f>
        <v>1447.19999999999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IFERROR(__xludf.DUMMYFUNCTION("""COMPUTED_VALUE"""),"Pindorama do Tocantins")</f>
        <v>Pindorama do Tocantins</v>
      </c>
      <c r="C24" t="str">
        <f ca="1">IFERROR(__xludf.DUMMYFUNCTION("""COMPUTED_VALUE"""),"A.A. DO COL. EST. MANOEL DOS SANTOS ROSAL")</f>
        <v>A.A. DO COL. EST. MANOEL DOS SANTOS ROSAL</v>
      </c>
      <c r="D24" s="3" t="str">
        <f ca="1">IFERROR(__xludf.DUMMYFUNCTION("""COMPUTED_VALUE"""),"01034136000185")</f>
        <v>01034136000185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IFERROR(__xludf.DUMMYFUNCTION("""COMPUTED_VALUE"""),"312991")</f>
        <v>312991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IFERROR(__xludf.DUMMYFUNCTION("""COMPUTED_VALUE"""),"ASSOC. DE APOIO AO CEM FELIX CAMOA I")</f>
        <v>ASSOC. DE APOIO AO CEM FELIX CAMOA I</v>
      </c>
      <c r="D25" s="3" t="str">
        <f ca="1">IFERROR(__xludf.DUMMYFUNCTION("""COMPUTED_VALUE"""),"01112476000187")</f>
        <v>01112476000187</v>
      </c>
      <c r="E25" t="str">
        <f ca="1">IFERROR(__xludf.DUMMYFUNCTION("""COMPUTED_VALUE"""),"104")</f>
        <v>104</v>
      </c>
      <c r="F25" t="str">
        <f ca="1">IFERROR(__xludf.DUMMYFUNCTION("""COMPUTED_VALUE"""),"1829")</f>
        <v>1829</v>
      </c>
      <c r="G25" t="str">
        <f ca="1">IFERROR(__xludf.DUMMYFUNCTION("""COMPUTED_VALUE"""),"3050011")</f>
        <v>3050011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IFERROR(__xludf.DUMMYFUNCTION("""COMPUTED_VALUE"""),"Tocantinópolis")</f>
        <v>Tocantinópolis</v>
      </c>
      <c r="B26" t="str">
        <f ca="1">IFERROR(__xludf.DUMMYFUNCTION("""COMPUTED_VALUE"""),"Aguiarnopolis")</f>
        <v>Aguiarnopolis</v>
      </c>
      <c r="C26" t="str">
        <f ca="1">IFERROR(__xludf.DUMMYFUNCTION("""COMPUTED_VALUE"""),"A.A. DA ESC. EST. NAZARÉ NUNES DA SILVA (AGUIARNOPOLIS)")</f>
        <v>A.A. DA ESC. EST. NAZARÉ NUNES DA SILVA (AGUIARNOPOLIS)</v>
      </c>
      <c r="D26" s="3" t="str">
        <f ca="1">IFERROR(__xludf.DUMMYFUNCTION("""COMPUTED_VALUE"""),"01213519000110")</f>
        <v>01213519000110</v>
      </c>
      <c r="E26" t="str">
        <f ca="1">IFERROR(__xludf.DUMMYFUNCTION("""COMPUTED_VALUE"""),"001")</f>
        <v>001</v>
      </c>
      <c r="F26" t="str">
        <f ca="1">IFERROR(__xludf.DUMMYFUNCTION("""COMPUTED_VALUE"""),"0810")</f>
        <v>0810</v>
      </c>
      <c r="G26" t="str">
        <f ca="1">IFERROR(__xludf.DUMMYFUNCTION("""COMPUTED_VALUE"""),"217727")</f>
        <v>217727</v>
      </c>
      <c r="H26" s="8">
        <f ca="1">IFERROR(__xludf.DUMMYFUNCTION("""COMPUTED_VALUE"""),1809)</f>
        <v>1809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IFERROR(__xludf.DUMMYFUNCTION("""COMPUTED_VALUE"""),"ASSOC.PAIS E MESTRES COL. EST. DEP.DARCY MARINHO")</f>
        <v>ASSOC.PAIS E MESTRES COL. EST. DEP.DARCY MARINHO</v>
      </c>
      <c r="D27" s="3" t="str">
        <f ca="1">IFERROR(__xludf.DUMMYFUNCTION("""COMPUTED_VALUE"""),"01230236000187")</f>
        <v>01230236000187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IFERROR(__xludf.DUMMYFUNCTION("""COMPUTED_VALUE"""),"297410")</f>
        <v>297410</v>
      </c>
      <c r="H27" s="8">
        <f ca="1">IFERROR(__xludf.DUMMYFUNCTION("""COMPUTED_VALUE"""),1447.19999999999)</f>
        <v>1447.19999999999</v>
      </c>
      <c r="I27" t="str">
        <v>SERVIDORES JOVEM AÇÃO</v>
      </c>
    </row>
    <row r="28" spans="1:9" ht="12.75">
      <c r="D28" s="3"/>
      <c r="I28" t="str">
        <v/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08"/>
      <c r="B1" s="308"/>
      <c r="C1" s="276" t="s">
        <v>145</v>
      </c>
      <c r="D1" s="277"/>
      <c r="E1" s="278"/>
      <c r="F1" s="278"/>
      <c r="G1" s="279"/>
      <c r="H1" s="309" t="s">
        <v>146</v>
      </c>
      <c r="I1" s="174">
        <f ca="1">SUBTOTAL(9,I3:I740)</f>
        <v>566173.19999999891</v>
      </c>
    </row>
    <row r="2" spans="1:26" ht="61.5" customHeight="1">
      <c r="A2" s="175" t="s">
        <v>4</v>
      </c>
      <c r="B2" s="175" t="s">
        <v>5</v>
      </c>
      <c r="C2" s="175" t="str">
        <f ca="1">"UNIDADES EXECUTORAS = " &amp; COUNTA(C5:C410)</f>
        <v>UNIDADES EXECUTORAS = 53</v>
      </c>
      <c r="D2" s="175" t="s">
        <v>8</v>
      </c>
      <c r="E2" s="283" t="s">
        <v>0</v>
      </c>
      <c r="F2" s="283" t="s">
        <v>1</v>
      </c>
      <c r="G2" s="283" t="s">
        <v>2</v>
      </c>
      <c r="H2" s="310" t="s">
        <v>128</v>
      </c>
      <c r="I2" s="310" t="s">
        <v>129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311" t="str">
        <f ca="1">IFERROR(__xludf.DUMMYFUNCTION("QUERY({BASET_PJA1!A1:I1000;BASET_PJA2!A2:I1000}, ""SELECT Col1,Col2,Col3,Col4,Col5,Col6,Col7,Col9,Col8 WHERE Col8&gt;0 ORDER BY Col1,Col2,Col4"")"),"Araguaina")</f>
        <v>Araguaina</v>
      </c>
      <c r="B3" s="311" t="str">
        <f ca="1">IFERROR(__xludf.DUMMYFUNCTION("""COMPUTED_VALUE"""),"Ananas")</f>
        <v>Ananas</v>
      </c>
      <c r="C3" s="311" t="str">
        <f ca="1">IFERROR(__xludf.DUMMYFUNCTION("""COMPUTED_VALUE"""),"ASSOC. DE APOIO DO CENTRO DE ENSINO MÉDIO CABO APARICIO ARAÚJO PAZ")</f>
        <v>ASSOC. DE APOIO DO CENTRO DE ENSINO MÉDIO CABO APARICIO ARAÚJO PAZ</v>
      </c>
      <c r="D3" s="312" t="str">
        <f ca="1">IFERROR(__xludf.DUMMYFUNCTION("""COMPUTED_VALUE"""),"05537116000188")</f>
        <v>05537116000188</v>
      </c>
      <c r="E3" s="312" t="str">
        <f ca="1">IFERROR(__xludf.DUMMYFUNCTION("""COMPUTED_VALUE"""),"001")</f>
        <v>001</v>
      </c>
      <c r="F3" s="312" t="str">
        <f ca="1">IFERROR(__xludf.DUMMYFUNCTION("""COMPUTED_VALUE"""),"3973")</f>
        <v>3973</v>
      </c>
      <c r="G3" s="311" t="str">
        <f ca="1">IFERROR(__xludf.DUMMYFUNCTION("""COMPUTED_VALUE"""),"114510")</f>
        <v>114510</v>
      </c>
      <c r="H3" s="311" t="str">
        <f ca="1">IFERROR(__xludf.DUMMYFUNCTION("""COMPUTED_VALUE"""),"ETAPA")</f>
        <v>ETAPA</v>
      </c>
      <c r="I3" s="311" t="str">
        <f ca="1">IFERROR(__xludf.DUMMYFUNCTION("""COMPUTED_VALUE"""),"ENS MEDIO JOVEM AÇÃO")</f>
        <v>ENS MEDIO JOVEM AÇÃO</v>
      </c>
    </row>
    <row r="4" spans="1:26" ht="22.5" customHeight="1">
      <c r="A4" s="313" t="str">
        <f ca="1">IFERROR(__xludf.DUMMYFUNCTION("""COMPUTED_VALUE"""),"Araguaina")</f>
        <v>Araguaina</v>
      </c>
      <c r="B4" s="313" t="str">
        <f ca="1">IFERROR(__xludf.DUMMYFUNCTION("""COMPUTED_VALUE"""),"Araguaina")</f>
        <v>Araguaina</v>
      </c>
      <c r="C4" s="314" t="str">
        <f ca="1">IFERROR(__xludf.DUMMYFUNCTION("""COMPUTED_VALUE"""),"ASSOC. DE PAIS, ALUNOS E MESTRES COL. EST. POLIVALENTE CASTELO BRANCO")</f>
        <v>ASSOC. DE PAIS, ALUNOS E MESTRES COL. EST. POLIVALENTE CASTELO BRANCO</v>
      </c>
      <c r="D4" s="315" t="str">
        <f ca="1">IFERROR(__xludf.DUMMYFUNCTION("""COMPUTED_VALUE"""),"00918900000112")</f>
        <v>00918900000112</v>
      </c>
      <c r="E4" s="315" t="str">
        <f ca="1">IFERROR(__xludf.DUMMYFUNCTION("""COMPUTED_VALUE"""),"001")</f>
        <v>001</v>
      </c>
      <c r="F4" s="315" t="str">
        <f ca="1">IFERROR(__xludf.DUMMYFUNCTION("""COMPUTED_VALUE"""),"0638")</f>
        <v>0638</v>
      </c>
      <c r="G4" s="313" t="str">
        <f ca="1">IFERROR(__xludf.DUMMYFUNCTION("""COMPUTED_VALUE"""),"12599")</f>
        <v>12599</v>
      </c>
      <c r="H4" s="314" t="str">
        <f ca="1">IFERROR(__xludf.DUMMYFUNCTION("""COMPUTED_VALUE"""),"ENS MEDIO JOVEM AÇÃO")</f>
        <v>ENS MEDIO JOVEM AÇÃO</v>
      </c>
      <c r="I4" s="316">
        <f ca="1">IFERROR(__xludf.DUMMYFUNCTION("""COMPUTED_VALUE"""),11767.5999999999)</f>
        <v>11767.5999999999</v>
      </c>
    </row>
    <row r="5" spans="1:26" ht="22.5" customHeight="1">
      <c r="A5" s="313" t="str">
        <f ca="1">IFERROR(__xludf.DUMMYFUNCTION("""COMPUTED_VALUE"""),"Araguaina")</f>
        <v>Araguaina</v>
      </c>
      <c r="B5" s="313" t="str">
        <f ca="1">IFERROR(__xludf.DUMMYFUNCTION("""COMPUTED_VALUE"""),"Araguaina")</f>
        <v>Araguaina</v>
      </c>
      <c r="C5" s="314" t="str">
        <f ca="1">IFERROR(__xludf.DUMMYFUNCTION("""COMPUTED_VALUE"""),"ASSOC. DE PAIS, ALUNOS E MESTRES COL. EST. POLIVALENTE CASTELO BRANCO")</f>
        <v>ASSOC. DE PAIS, ALUNOS E MESTRES COL. EST. POLIVALENTE CASTELO BRANCO</v>
      </c>
      <c r="D5" s="315" t="str">
        <f ca="1">IFERROR(__xludf.DUMMYFUNCTION("""COMPUTED_VALUE"""),"00918900000112")</f>
        <v>00918900000112</v>
      </c>
      <c r="E5" s="315" t="str">
        <f ca="1">IFERROR(__xludf.DUMMYFUNCTION("""COMPUTED_VALUE"""),"001")</f>
        <v>001</v>
      </c>
      <c r="F5" s="315" t="str">
        <f ca="1">IFERROR(__xludf.DUMMYFUNCTION("""COMPUTED_VALUE"""),"0638")</f>
        <v>0638</v>
      </c>
      <c r="G5" s="313" t="str">
        <f ca="1">IFERROR(__xludf.DUMMYFUNCTION("""COMPUTED_VALUE"""),"12599")</f>
        <v>12599</v>
      </c>
      <c r="H5" s="314" t="str">
        <f ca="1">IFERROR(__xludf.DUMMYFUNCTION("""COMPUTED_VALUE"""),"SERVIDORES JOVEM AÇÃO")</f>
        <v>SERVIDORES JOVEM AÇÃO</v>
      </c>
      <c r="I5" s="316">
        <f ca="1">IFERROR(__xludf.DUMMYFUNCTION("""COMPUTED_VALUE"""),1206)</f>
        <v>1206</v>
      </c>
    </row>
    <row r="6" spans="1:26" ht="22.5" customHeight="1">
      <c r="A6" s="313" t="str">
        <f ca="1">IFERROR(__xludf.DUMMYFUNCTION("""COMPUTED_VALUE"""),"Araguaina")</f>
        <v>Araguaina</v>
      </c>
      <c r="B6" s="313" t="str">
        <f ca="1">IFERROR(__xludf.DUMMYFUNCTION("""COMPUTED_VALUE"""),"Araguaina")</f>
        <v>Araguaina</v>
      </c>
      <c r="C6" s="314" t="str">
        <f ca="1">IFERROR(__xludf.DUMMYFUNCTION("""COMPUTED_VALUE"""),"A.A. COLEGIO ESTADUAL RUI BARBOSA")</f>
        <v>A.A. COLEGIO ESTADUAL RUI BARBOSA</v>
      </c>
      <c r="D6" s="315" t="str">
        <f ca="1">IFERROR(__xludf.DUMMYFUNCTION("""COMPUTED_VALUE"""),"01071440000100")</f>
        <v>01071440000100</v>
      </c>
      <c r="E6" s="315" t="str">
        <f ca="1">IFERROR(__xludf.DUMMYFUNCTION("""COMPUTED_VALUE"""),"001")</f>
        <v>001</v>
      </c>
      <c r="F6" s="315" t="str">
        <f ca="1">IFERROR(__xludf.DUMMYFUNCTION("""COMPUTED_VALUE"""),"0638")</f>
        <v>0638</v>
      </c>
      <c r="G6" s="313" t="str">
        <f ca="1">IFERROR(__xludf.DUMMYFUNCTION("""COMPUTED_VALUE"""),"0463787")</f>
        <v>0463787</v>
      </c>
      <c r="H6" s="314" t="str">
        <f ca="1">IFERROR(__xludf.DUMMYFUNCTION("""COMPUTED_VALUE"""),"ENS MEDIO JOVEM AÇÃO")</f>
        <v>ENS MEDIO JOVEM AÇÃO</v>
      </c>
      <c r="I6" s="316">
        <f ca="1">IFERROR(__xludf.DUMMYFUNCTION("""COMPUTED_VALUE"""),12654.1999999999)</f>
        <v>12654.199999999901</v>
      </c>
    </row>
    <row r="7" spans="1:26" ht="22.5" customHeight="1">
      <c r="A7" s="313" t="str">
        <f ca="1">IFERROR(__xludf.DUMMYFUNCTION("""COMPUTED_VALUE"""),"Araguaina")</f>
        <v>Araguaina</v>
      </c>
      <c r="B7" s="313" t="str">
        <f ca="1">IFERROR(__xludf.DUMMYFUNCTION("""COMPUTED_VALUE"""),"Araguaina")</f>
        <v>Araguaina</v>
      </c>
      <c r="C7" s="314" t="str">
        <f ca="1">IFERROR(__xludf.DUMMYFUNCTION("""COMPUTED_VALUE"""),"A.A. COLEGIO ESTADUAL RUI BARBOSA")</f>
        <v>A.A. COLEGIO ESTADUAL RUI BARBOSA</v>
      </c>
      <c r="D7" s="315" t="str">
        <f ca="1">IFERROR(__xludf.DUMMYFUNCTION("""COMPUTED_VALUE"""),"01071440000100")</f>
        <v>01071440000100</v>
      </c>
      <c r="E7" s="315" t="str">
        <f ca="1">IFERROR(__xludf.DUMMYFUNCTION("""COMPUTED_VALUE"""),"001")</f>
        <v>001</v>
      </c>
      <c r="F7" s="315" t="str">
        <f ca="1">IFERROR(__xludf.DUMMYFUNCTION("""COMPUTED_VALUE"""),"0638")</f>
        <v>0638</v>
      </c>
      <c r="G7" s="313" t="str">
        <f ca="1">IFERROR(__xludf.DUMMYFUNCTION("""COMPUTED_VALUE"""),"0463787")</f>
        <v>0463787</v>
      </c>
      <c r="H7" s="314" t="str">
        <f ca="1">IFERROR(__xludf.DUMMYFUNCTION("""COMPUTED_VALUE"""),"SERVIDORES JOVEM AÇÃO")</f>
        <v>SERVIDORES JOVEM AÇÃO</v>
      </c>
      <c r="I7" s="316">
        <f ca="1">IFERROR(__xludf.DUMMYFUNCTION("""COMPUTED_VALUE"""),1206)</f>
        <v>1206</v>
      </c>
    </row>
    <row r="8" spans="1:26" ht="22.5" customHeight="1">
      <c r="A8" s="313" t="str">
        <f ca="1">IFERROR(__xludf.DUMMYFUNCTION("""COMPUTED_VALUE"""),"Araguaina")</f>
        <v>Araguaina</v>
      </c>
      <c r="B8" s="313" t="str">
        <f ca="1">IFERROR(__xludf.DUMMYFUNCTION("""COMPUTED_VALUE"""),"Araguaina")</f>
        <v>Araguaina</v>
      </c>
      <c r="C8" s="314" t="str">
        <f ca="1">IFERROR(__xludf.DUMMYFUNCTION("""COMPUTED_VALUE"""),"ASSOC. A. COL. EST. BENJAMIM JOSÉ DE ALMEIDA")</f>
        <v>ASSOC. A. COL. EST. BENJAMIM JOSÉ DE ALMEIDA</v>
      </c>
      <c r="D8" s="315" t="str">
        <f ca="1">IFERROR(__xludf.DUMMYFUNCTION("""COMPUTED_VALUE"""),"01136023000190")</f>
        <v>01136023000190</v>
      </c>
      <c r="E8" s="315" t="str">
        <f ca="1">IFERROR(__xludf.DUMMYFUNCTION("""COMPUTED_VALUE"""),"001")</f>
        <v>001</v>
      </c>
      <c r="F8" s="315" t="str">
        <f ca="1">IFERROR(__xludf.DUMMYFUNCTION("""COMPUTED_VALUE"""),"0638")</f>
        <v>0638</v>
      </c>
      <c r="G8" s="313" t="str">
        <f ca="1">IFERROR(__xludf.DUMMYFUNCTION("""COMPUTED_VALUE"""),"55149X")</f>
        <v>55149X</v>
      </c>
      <c r="H8" s="314" t="str">
        <f ca="1">IFERROR(__xludf.DUMMYFUNCTION("""COMPUTED_VALUE"""),"ENS MEDIO JOVEM AÇÃO")</f>
        <v>ENS MEDIO JOVEM AÇÃO</v>
      </c>
      <c r="I8" s="316">
        <f ca="1">IFERROR(__xludf.DUMMYFUNCTION("""COMPUTED_VALUE"""),22487.3999999999)</f>
        <v>22487.3999999999</v>
      </c>
    </row>
    <row r="9" spans="1:26" ht="22.5" customHeight="1">
      <c r="A9" s="313" t="str">
        <f ca="1">IFERROR(__xludf.DUMMYFUNCTION("""COMPUTED_VALUE"""),"Araguaina")</f>
        <v>Araguaina</v>
      </c>
      <c r="B9" s="313" t="str">
        <f ca="1">IFERROR(__xludf.DUMMYFUNCTION("""COMPUTED_VALUE"""),"Araguaina")</f>
        <v>Araguaina</v>
      </c>
      <c r="C9" s="314" t="str">
        <f ca="1">IFERROR(__xludf.DUMMYFUNCTION("""COMPUTED_VALUE"""),"ASSOC. A. COL. EST. BENJAMIM JOSÉ DE ALMEIDA")</f>
        <v>ASSOC. A. COL. EST. BENJAMIM JOSÉ DE ALMEIDA</v>
      </c>
      <c r="D9" s="315" t="str">
        <f ca="1">IFERROR(__xludf.DUMMYFUNCTION("""COMPUTED_VALUE"""),"01136023000190")</f>
        <v>01136023000190</v>
      </c>
      <c r="E9" s="315" t="str">
        <f ca="1">IFERROR(__xludf.DUMMYFUNCTION("""COMPUTED_VALUE"""),"001")</f>
        <v>001</v>
      </c>
      <c r="F9" s="315" t="str">
        <f ca="1">IFERROR(__xludf.DUMMYFUNCTION("""COMPUTED_VALUE"""),"0638")</f>
        <v>0638</v>
      </c>
      <c r="G9" s="313" t="str">
        <f ca="1">IFERROR(__xludf.DUMMYFUNCTION("""COMPUTED_VALUE"""),"55149X")</f>
        <v>55149X</v>
      </c>
      <c r="H9" s="314" t="str">
        <f ca="1">IFERROR(__xludf.DUMMYFUNCTION("""COMPUTED_VALUE"""),"SERVIDORES JOVEM AÇÃO")</f>
        <v>SERVIDORES JOVEM AÇÃO</v>
      </c>
      <c r="I9" s="316">
        <f ca="1">IFERROR(__xludf.DUMMYFUNCTION("""COMPUTED_VALUE"""),2291.4)</f>
        <v>2291.4</v>
      </c>
    </row>
    <row r="10" spans="1:26" ht="22.5" customHeight="1">
      <c r="A10" s="313" t="str">
        <f ca="1">IFERROR(__xludf.DUMMYFUNCTION("""COMPUTED_VALUE"""),"Araguaina")</f>
        <v>Araguaina</v>
      </c>
      <c r="B10" s="313" t="str">
        <f ca="1">IFERROR(__xludf.DUMMYFUNCTION("""COMPUTED_VALUE"""),"Araguaina")</f>
        <v>Araguaina</v>
      </c>
      <c r="C10" s="314" t="str">
        <f ca="1">IFERROR(__xludf.DUMMYFUNCTION("""COMPUTED_VALUE"""),"ASSOC. APOIO COL. EST. CEM PAULO FREIRE")</f>
        <v>ASSOC. APOIO COL. EST. CEM PAULO FREIRE</v>
      </c>
      <c r="D10" s="315" t="str">
        <f ca="1">IFERROR(__xludf.DUMMYFUNCTION("""COMPUTED_VALUE"""),"01738420000132")</f>
        <v>01738420000132</v>
      </c>
      <c r="E10" s="315" t="str">
        <f ca="1">IFERROR(__xludf.DUMMYFUNCTION("""COMPUTED_VALUE"""),"001")</f>
        <v>001</v>
      </c>
      <c r="F10" s="315" t="str">
        <f ca="1">IFERROR(__xludf.DUMMYFUNCTION("""COMPUTED_VALUE"""),"0638")</f>
        <v>0638</v>
      </c>
      <c r="G10" s="313" t="str">
        <f ca="1">IFERROR(__xludf.DUMMYFUNCTION("""COMPUTED_VALUE"""),"551589")</f>
        <v>551589</v>
      </c>
      <c r="H10" s="314" t="str">
        <f ca="1">IFERROR(__xludf.DUMMYFUNCTION("""COMPUTED_VALUE"""),"ENS MEDIO JOVEM AÇÃO")</f>
        <v>ENS MEDIO JOVEM AÇÃO</v>
      </c>
      <c r="I10" s="316">
        <f ca="1">IFERROR(__xludf.DUMMYFUNCTION("""COMPUTED_VALUE"""),18779.8)</f>
        <v>18779.8</v>
      </c>
    </row>
    <row r="11" spans="1:26" ht="22.5" customHeight="1">
      <c r="A11" s="313" t="str">
        <f ca="1">IFERROR(__xludf.DUMMYFUNCTION("""COMPUTED_VALUE"""),"Araguaina")</f>
        <v>Araguaina</v>
      </c>
      <c r="B11" s="313" t="str">
        <f ca="1">IFERROR(__xludf.DUMMYFUNCTION("""COMPUTED_VALUE"""),"Araguaina")</f>
        <v>Araguaina</v>
      </c>
      <c r="C11" s="314" t="str">
        <f ca="1">IFERROR(__xludf.DUMMYFUNCTION("""COMPUTED_VALUE"""),"ASSOC. APOIO COL. EST. CEM PAULO FREIRE")</f>
        <v>ASSOC. APOIO COL. EST. CEM PAULO FREIRE</v>
      </c>
      <c r="D11" s="315" t="str">
        <f ca="1">IFERROR(__xludf.DUMMYFUNCTION("""COMPUTED_VALUE"""),"01738420000132")</f>
        <v>01738420000132</v>
      </c>
      <c r="E11" s="315" t="str">
        <f ca="1">IFERROR(__xludf.DUMMYFUNCTION("""COMPUTED_VALUE"""),"001")</f>
        <v>001</v>
      </c>
      <c r="F11" s="315" t="str">
        <f ca="1">IFERROR(__xludf.DUMMYFUNCTION("""COMPUTED_VALUE"""),"0638")</f>
        <v>0638</v>
      </c>
      <c r="G11" s="313" t="str">
        <f ca="1">IFERROR(__xludf.DUMMYFUNCTION("""COMPUTED_VALUE"""),"551589")</f>
        <v>551589</v>
      </c>
      <c r="H11" s="314" t="str">
        <f ca="1">IFERROR(__xludf.DUMMYFUNCTION("""COMPUTED_VALUE"""),"SERVIDORES JOVEM AÇÃO")</f>
        <v>SERVIDORES JOVEM AÇÃO</v>
      </c>
      <c r="I11" s="316">
        <f ca="1">IFERROR(__xludf.DUMMYFUNCTION("""COMPUTED_VALUE"""),1929.6)</f>
        <v>1929.6</v>
      </c>
    </row>
    <row r="12" spans="1:26" ht="22.5" customHeight="1">
      <c r="A12" s="313" t="str">
        <f ca="1">IFERROR(__xludf.DUMMYFUNCTION("""COMPUTED_VALUE"""),"Araguatins")</f>
        <v>Araguatins</v>
      </c>
      <c r="B12" s="313" t="str">
        <f ca="1">IFERROR(__xludf.DUMMYFUNCTION("""COMPUTED_VALUE"""),"Augustinopolis")</f>
        <v>Augustinopolis</v>
      </c>
      <c r="C12" s="314" t="str">
        <f ca="1">IFERROR(__xludf.DUMMYFUNCTION("""COMPUTED_VALUE"""),"ASSOC. DE APOIO COL. EST. MANOEL VICENTE SOUZA")</f>
        <v>ASSOC. DE APOIO COL. EST. MANOEL VICENTE SOUZA</v>
      </c>
      <c r="D12" s="315" t="str">
        <f ca="1">IFERROR(__xludf.DUMMYFUNCTION("""COMPUTED_VALUE"""),"01223642000112")</f>
        <v>01223642000112</v>
      </c>
      <c r="E12" s="315" t="str">
        <f ca="1">IFERROR(__xludf.DUMMYFUNCTION("""COMPUTED_VALUE"""),"001")</f>
        <v>001</v>
      </c>
      <c r="F12" s="315" t="str">
        <f ca="1">IFERROR(__xludf.DUMMYFUNCTION("""COMPUTED_VALUE"""),"3975")</f>
        <v>3975</v>
      </c>
      <c r="G12" s="313" t="str">
        <f ca="1">IFERROR(__xludf.DUMMYFUNCTION("""COMPUTED_VALUE"""),"139297")</f>
        <v>139297</v>
      </c>
      <c r="H12" s="314" t="str">
        <f ca="1">IFERROR(__xludf.DUMMYFUNCTION("""COMPUTED_VALUE"""),"ENS MEDIO JOVEM AÇÃO")</f>
        <v>ENS MEDIO JOVEM AÇÃO</v>
      </c>
      <c r="I12" s="316">
        <f ca="1">IFERROR(__xludf.DUMMYFUNCTION("""COMPUTED_VALUE"""),30386.1999999999)</f>
        <v>30386.199999999899</v>
      </c>
    </row>
    <row r="13" spans="1:26" ht="22.5" customHeight="1">
      <c r="A13" s="313" t="str">
        <f ca="1">IFERROR(__xludf.DUMMYFUNCTION("""COMPUTED_VALUE"""),"Araguatins")</f>
        <v>Araguatins</v>
      </c>
      <c r="B13" s="313" t="str">
        <f ca="1">IFERROR(__xludf.DUMMYFUNCTION("""COMPUTED_VALUE"""),"Augustinopolis")</f>
        <v>Augustinopolis</v>
      </c>
      <c r="C13" s="314" t="str">
        <f ca="1">IFERROR(__xludf.DUMMYFUNCTION("""COMPUTED_VALUE"""),"ASSOC. DE APOIO COL. EST. MANOEL VICENTE SOUZA")</f>
        <v>ASSOC. DE APOIO COL. EST. MANOEL VICENTE SOUZA</v>
      </c>
      <c r="D13" s="315" t="str">
        <f ca="1">IFERROR(__xludf.DUMMYFUNCTION("""COMPUTED_VALUE"""),"01223642000112")</f>
        <v>01223642000112</v>
      </c>
      <c r="E13" s="315" t="str">
        <f ca="1">IFERROR(__xludf.DUMMYFUNCTION("""COMPUTED_VALUE"""),"001")</f>
        <v>001</v>
      </c>
      <c r="F13" s="315" t="str">
        <f ca="1">IFERROR(__xludf.DUMMYFUNCTION("""COMPUTED_VALUE"""),"3975")</f>
        <v>3975</v>
      </c>
      <c r="G13" s="313" t="str">
        <f ca="1">IFERROR(__xludf.DUMMYFUNCTION("""COMPUTED_VALUE"""),"139297")</f>
        <v>139297</v>
      </c>
      <c r="H13" s="314" t="str">
        <f ca="1">IFERROR(__xludf.DUMMYFUNCTION("""COMPUTED_VALUE"""),"SERVIDORES JOVEM AÇÃO")</f>
        <v>SERVIDORES JOVEM AÇÃO</v>
      </c>
      <c r="I13" s="316">
        <f ca="1">IFERROR(__xludf.DUMMYFUNCTION("""COMPUTED_VALUE"""),3015)</f>
        <v>3015</v>
      </c>
    </row>
    <row r="14" spans="1:26" ht="22.5" customHeight="1">
      <c r="A14" s="313" t="str">
        <f ca="1">IFERROR(__xludf.DUMMYFUNCTION("""COMPUTED_VALUE"""),"Araguatins")</f>
        <v>Araguatins</v>
      </c>
      <c r="B14" s="313" t="str">
        <f ca="1">IFERROR(__xludf.DUMMYFUNCTION("""COMPUTED_VALUE"""),"Buriti do Tocantins")</f>
        <v>Buriti do Tocantins</v>
      </c>
      <c r="C14" s="314" t="str">
        <f ca="1">IFERROR(__xludf.DUMMYFUNCTION("""COMPUTED_VALUE"""),"A. DE APOIO DO COLEGIO EST. BURITI")</f>
        <v>A. DE APOIO DO COLEGIO EST. BURITI</v>
      </c>
      <c r="D14" s="315" t="str">
        <f ca="1">IFERROR(__xludf.DUMMYFUNCTION("""COMPUTED_VALUE"""),"01206217000115")</f>
        <v>01206217000115</v>
      </c>
      <c r="E14" s="315" t="str">
        <f ca="1">IFERROR(__xludf.DUMMYFUNCTION("""COMPUTED_VALUE"""),"001")</f>
        <v>001</v>
      </c>
      <c r="F14" s="315" t="str">
        <f ca="1">IFERROR(__xludf.DUMMYFUNCTION("""COMPUTED_VALUE"""),"1305")</f>
        <v>1305</v>
      </c>
      <c r="G14" s="313" t="str">
        <f ca="1">IFERROR(__xludf.DUMMYFUNCTION("""COMPUTED_VALUE"""),"209406")</f>
        <v>209406</v>
      </c>
      <c r="H14" s="314" t="str">
        <f ca="1">IFERROR(__xludf.DUMMYFUNCTION("""COMPUTED_VALUE"""),"ENS MEDIO JOVEM AÇÃO")</f>
        <v>ENS MEDIO JOVEM AÇÃO</v>
      </c>
      <c r="I14" s="316">
        <f ca="1">IFERROR(__xludf.DUMMYFUNCTION("""COMPUTED_VALUE"""),14830.4)</f>
        <v>14830.4</v>
      </c>
    </row>
    <row r="15" spans="1:26" ht="22.5" customHeight="1">
      <c r="A15" s="313" t="str">
        <f ca="1">IFERROR(__xludf.DUMMYFUNCTION("""COMPUTED_VALUE"""),"Araguatins")</f>
        <v>Araguatins</v>
      </c>
      <c r="B15" s="313" t="str">
        <f ca="1">IFERROR(__xludf.DUMMYFUNCTION("""COMPUTED_VALUE"""),"Buriti do Tocantins")</f>
        <v>Buriti do Tocantins</v>
      </c>
      <c r="C15" s="314" t="str">
        <f ca="1">IFERROR(__xludf.DUMMYFUNCTION("""COMPUTED_VALUE"""),"A. DE APOIO DO COLEGIO EST. BURITI")</f>
        <v>A. DE APOIO DO COLEGIO EST. BURITI</v>
      </c>
      <c r="D15" s="315" t="str">
        <f ca="1">IFERROR(__xludf.DUMMYFUNCTION("""COMPUTED_VALUE"""),"01206217000115")</f>
        <v>01206217000115</v>
      </c>
      <c r="E15" s="315" t="str">
        <f ca="1">IFERROR(__xludf.DUMMYFUNCTION("""COMPUTED_VALUE"""),"001")</f>
        <v>001</v>
      </c>
      <c r="F15" s="315" t="str">
        <f ca="1">IFERROR(__xludf.DUMMYFUNCTION("""COMPUTED_VALUE"""),"1305")</f>
        <v>1305</v>
      </c>
      <c r="G15" s="313" t="str">
        <f ca="1">IFERROR(__xludf.DUMMYFUNCTION("""COMPUTED_VALUE"""),"209406")</f>
        <v>209406</v>
      </c>
      <c r="H15" s="314" t="str">
        <f ca="1">IFERROR(__xludf.DUMMYFUNCTION("""COMPUTED_VALUE"""),"SERVIDORES JOVEM AÇÃO")</f>
        <v>SERVIDORES JOVEM AÇÃO</v>
      </c>
      <c r="I15" s="316">
        <f ca="1">IFERROR(__xludf.DUMMYFUNCTION("""COMPUTED_VALUE"""),1447.19999999999)</f>
        <v>1447.19999999999</v>
      </c>
    </row>
    <row r="16" spans="1:26" ht="22.5" customHeight="1">
      <c r="A16" s="313" t="str">
        <f ca="1">IFERROR(__xludf.DUMMYFUNCTION("""COMPUTED_VALUE"""),"Arraias")</f>
        <v>Arraias</v>
      </c>
      <c r="B16" s="313" t="str">
        <f ca="1">IFERROR(__xludf.DUMMYFUNCTION("""COMPUTED_VALUE"""),"Arraias")</f>
        <v>Arraias</v>
      </c>
      <c r="C16" s="314" t="str">
        <f ca="1">IFERROR(__xludf.DUMMYFUNCTION("""COMPUTED_VALUE"""),"A. E. COM.COL EST PROFA. JOANA B. CORDEIRO")</f>
        <v>A. E. COM.COL EST PROFA. JOANA B. CORDEIRO</v>
      </c>
      <c r="D16" s="315" t="str">
        <f ca="1">IFERROR(__xludf.DUMMYFUNCTION("""COMPUTED_VALUE"""),"00922190000102")</f>
        <v>00922190000102</v>
      </c>
      <c r="E16" s="315" t="str">
        <f ca="1">IFERROR(__xludf.DUMMYFUNCTION("""COMPUTED_VALUE"""),"001")</f>
        <v>001</v>
      </c>
      <c r="F16" s="315" t="str">
        <f ca="1">IFERROR(__xludf.DUMMYFUNCTION("""COMPUTED_VALUE"""),"0541")</f>
        <v>0541</v>
      </c>
      <c r="G16" s="313" t="str">
        <f ca="1">IFERROR(__xludf.DUMMYFUNCTION("""COMPUTED_VALUE"""),"231770")</f>
        <v>231770</v>
      </c>
      <c r="H16" s="314" t="str">
        <f ca="1">IFERROR(__xludf.DUMMYFUNCTION("""COMPUTED_VALUE"""),"ENS MEDIO JOVEM AÇÃO")</f>
        <v>ENS MEDIO JOVEM AÇÃO</v>
      </c>
      <c r="I16" s="316">
        <f ca="1">IFERROR(__xludf.DUMMYFUNCTION("""COMPUTED_VALUE"""),4271.79999999999)</f>
        <v>4271.7999999999902</v>
      </c>
    </row>
    <row r="17" spans="1:9" ht="22.5" customHeight="1">
      <c r="A17" s="313" t="str">
        <f ca="1">IFERROR(__xludf.DUMMYFUNCTION("""COMPUTED_VALUE"""),"Arraias")</f>
        <v>Arraias</v>
      </c>
      <c r="B17" s="313" t="str">
        <f ca="1">IFERROR(__xludf.DUMMYFUNCTION("""COMPUTED_VALUE"""),"Arraias")</f>
        <v>Arraias</v>
      </c>
      <c r="C17" s="314" t="str">
        <f ca="1">IFERROR(__xludf.DUMMYFUNCTION("""COMPUTED_VALUE"""),"A. E. COM.COL EST PROFA. JOANA B. CORDEIRO")</f>
        <v>A. E. COM.COL EST PROFA. JOANA B. CORDEIRO</v>
      </c>
      <c r="D17" s="315" t="str">
        <f ca="1">IFERROR(__xludf.DUMMYFUNCTION("""COMPUTED_VALUE"""),"00922190000102")</f>
        <v>00922190000102</v>
      </c>
      <c r="E17" s="315" t="str">
        <f ca="1">IFERROR(__xludf.DUMMYFUNCTION("""COMPUTED_VALUE"""),"001")</f>
        <v>001</v>
      </c>
      <c r="F17" s="315" t="str">
        <f ca="1">IFERROR(__xludf.DUMMYFUNCTION("""COMPUTED_VALUE"""),"0541")</f>
        <v>0541</v>
      </c>
      <c r="G17" s="313" t="str">
        <f ca="1">IFERROR(__xludf.DUMMYFUNCTION("""COMPUTED_VALUE"""),"231770")</f>
        <v>231770</v>
      </c>
      <c r="H17" s="314" t="str">
        <f ca="1">IFERROR(__xludf.DUMMYFUNCTION("""COMPUTED_VALUE"""),"SERVIDORES JOVEM AÇÃO")</f>
        <v>SERVIDORES JOVEM AÇÃO</v>
      </c>
      <c r="I17" s="316">
        <f ca="1">IFERROR(__xludf.DUMMYFUNCTION("""COMPUTED_VALUE"""),482.4)</f>
        <v>482.4</v>
      </c>
    </row>
    <row r="18" spans="1:9" ht="22.5" customHeight="1">
      <c r="A18" s="313" t="str">
        <f ca="1">IFERROR(__xludf.DUMMYFUNCTION("""COMPUTED_VALUE"""),"Arraias")</f>
        <v>Arraias</v>
      </c>
      <c r="B18" s="313" t="str">
        <f ca="1">IFERROR(__xludf.DUMMYFUNCTION("""COMPUTED_VALUE"""),"Arraias")</f>
        <v>Arraias</v>
      </c>
      <c r="C18" s="314" t="str">
        <f ca="1">IFERROR(__xludf.DUMMYFUNCTION("""COMPUTED_VALUE"""),"A.A. ESC. AGRÍCOLA DAVID AIRES FRANÇA")</f>
        <v>A.A. ESC. AGRÍCOLA DAVID AIRES FRANÇA</v>
      </c>
      <c r="D18" s="315" t="str">
        <f ca="1">IFERROR(__xludf.DUMMYFUNCTION("""COMPUTED_VALUE"""),"04302970000100")</f>
        <v>04302970000100</v>
      </c>
      <c r="E18" s="315" t="str">
        <f ca="1">IFERROR(__xludf.DUMMYFUNCTION("""COMPUTED_VALUE"""),"001")</f>
        <v>001</v>
      </c>
      <c r="F18" s="315" t="str">
        <f ca="1">IFERROR(__xludf.DUMMYFUNCTION("""COMPUTED_VALUE"""),"0541")</f>
        <v>0541</v>
      </c>
      <c r="G18" s="313" t="str">
        <f ca="1">IFERROR(__xludf.DUMMYFUNCTION("""COMPUTED_VALUE"""),"94811")</f>
        <v>94811</v>
      </c>
      <c r="H18" s="314" t="str">
        <f ca="1">IFERROR(__xludf.DUMMYFUNCTION("""COMPUTED_VALUE"""),"ENS MEDIO JOVEM AÇÃO")</f>
        <v>ENS MEDIO JOVEM AÇÃO</v>
      </c>
      <c r="I18" s="316">
        <f ca="1">IFERROR(__xludf.DUMMYFUNCTION("""COMPUTED_VALUE"""),8624.19999999999)</f>
        <v>8624.1999999999898</v>
      </c>
    </row>
    <row r="19" spans="1:9" ht="22.5" customHeight="1">
      <c r="A19" s="313" t="str">
        <f ca="1">IFERROR(__xludf.DUMMYFUNCTION("""COMPUTED_VALUE"""),"Colinas")</f>
        <v>Colinas</v>
      </c>
      <c r="B19" s="313" t="str">
        <f ca="1">IFERROR(__xludf.DUMMYFUNCTION("""COMPUTED_VALUE"""),"Colinas do Tocantins")</f>
        <v>Colinas do Tocantins</v>
      </c>
      <c r="C19" s="314" t="str">
        <f ca="1">IFERROR(__xludf.DUMMYFUNCTION("""COMPUTED_VALUE"""),"ASSOC. DE APOIO DO COL. EST. CASTELO BRANCO")</f>
        <v>ASSOC. DE APOIO DO COL. EST. CASTELO BRANCO</v>
      </c>
      <c r="D19" s="315" t="str">
        <f ca="1">IFERROR(__xludf.DUMMYFUNCTION("""COMPUTED_VALUE"""),"01071413000120")</f>
        <v>01071413000120</v>
      </c>
      <c r="E19" s="315" t="str">
        <f ca="1">IFERROR(__xludf.DUMMYFUNCTION("""COMPUTED_VALUE"""),"001")</f>
        <v>001</v>
      </c>
      <c r="F19" s="315" t="str">
        <f ca="1">IFERROR(__xludf.DUMMYFUNCTION("""COMPUTED_VALUE"""),"0911")</f>
        <v>0911</v>
      </c>
      <c r="G19" s="313" t="str">
        <f ca="1">IFERROR(__xludf.DUMMYFUNCTION("""COMPUTED_VALUE"""),"187275")</f>
        <v>187275</v>
      </c>
      <c r="H19" s="314" t="str">
        <f ca="1">IFERROR(__xludf.DUMMYFUNCTION("""COMPUTED_VALUE"""),"ENS MEDIO JOVEM AÇÃO")</f>
        <v>ENS MEDIO JOVEM AÇÃO</v>
      </c>
      <c r="I19" s="316">
        <f ca="1">IFERROR(__xludf.DUMMYFUNCTION("""COMPUTED_VALUE"""),16281.1999999999)</f>
        <v>16281.199999999901</v>
      </c>
    </row>
    <row r="20" spans="1:9" ht="22.5" customHeight="1">
      <c r="A20" s="313" t="str">
        <f ca="1">IFERROR(__xludf.DUMMYFUNCTION("""COMPUTED_VALUE"""),"Colinas")</f>
        <v>Colinas</v>
      </c>
      <c r="B20" s="313" t="str">
        <f ca="1">IFERROR(__xludf.DUMMYFUNCTION("""COMPUTED_VALUE"""),"Colinas do Tocantins")</f>
        <v>Colinas do Tocantins</v>
      </c>
      <c r="C20" s="314" t="str">
        <f ca="1">IFERROR(__xludf.DUMMYFUNCTION("""COMPUTED_VALUE"""),"ASSOC. DE APOIO DO COL. EST. CASTELO BRANCO")</f>
        <v>ASSOC. DE APOIO DO COL. EST. CASTELO BRANCO</v>
      </c>
      <c r="D20" s="315" t="str">
        <f ca="1">IFERROR(__xludf.DUMMYFUNCTION("""COMPUTED_VALUE"""),"01071413000120")</f>
        <v>01071413000120</v>
      </c>
      <c r="E20" s="315" t="str">
        <f ca="1">IFERROR(__xludf.DUMMYFUNCTION("""COMPUTED_VALUE"""),"001")</f>
        <v>001</v>
      </c>
      <c r="F20" s="315" t="str">
        <f ca="1">IFERROR(__xludf.DUMMYFUNCTION("""COMPUTED_VALUE"""),"0911")</f>
        <v>0911</v>
      </c>
      <c r="G20" s="313" t="str">
        <f ca="1">IFERROR(__xludf.DUMMYFUNCTION("""COMPUTED_VALUE"""),"187275")</f>
        <v>187275</v>
      </c>
      <c r="H20" s="314" t="str">
        <f ca="1">IFERROR(__xludf.DUMMYFUNCTION("""COMPUTED_VALUE"""),"SERVIDORES JOVEM AÇÃO")</f>
        <v>SERVIDORES JOVEM AÇÃO</v>
      </c>
      <c r="I20" s="316">
        <f ca="1">IFERROR(__xludf.DUMMYFUNCTION("""COMPUTED_VALUE"""),1567.8)</f>
        <v>1567.8</v>
      </c>
    </row>
    <row r="21" spans="1:9" ht="22.5" customHeight="1">
      <c r="A21" s="313" t="str">
        <f ca="1">IFERROR(__xludf.DUMMYFUNCTION("""COMPUTED_VALUE"""),"Dianópolis")</f>
        <v>Dianópolis</v>
      </c>
      <c r="B21" s="313" t="str">
        <f ca="1">IFERROR(__xludf.DUMMYFUNCTION("""COMPUTED_VALUE"""),"Dianopolis")</f>
        <v>Dianopolis</v>
      </c>
      <c r="C21" s="314" t="str">
        <f ca="1">IFERROR(__xludf.DUMMYFUNCTION("""COMPUTED_VALUE"""),"A. ESC. COMUN.DA E. EST. ANTONIO POVOA")</f>
        <v>A. ESC. COMUN.DA E. EST. ANTONIO POVOA</v>
      </c>
      <c r="D21" s="315" t="str">
        <f ca="1">IFERROR(__xludf.DUMMYFUNCTION("""COMPUTED_VALUE"""),"00895665000100")</f>
        <v>00895665000100</v>
      </c>
      <c r="E21" s="315" t="str">
        <f ca="1">IFERROR(__xludf.DUMMYFUNCTION("""COMPUTED_VALUE"""),"001")</f>
        <v>001</v>
      </c>
      <c r="F21" s="315" t="str">
        <f ca="1">IFERROR(__xludf.DUMMYFUNCTION("""COMPUTED_VALUE"""),"1307")</f>
        <v>1307</v>
      </c>
      <c r="G21" s="313" t="str">
        <f ca="1">IFERROR(__xludf.DUMMYFUNCTION("""COMPUTED_VALUE"""),"010616X")</f>
        <v>010616X</v>
      </c>
      <c r="H21" s="314" t="str">
        <f ca="1">IFERROR(__xludf.DUMMYFUNCTION("""COMPUTED_VALUE"""),"ENS MEDIO JOVEM AÇÃO")</f>
        <v>ENS MEDIO JOVEM AÇÃO</v>
      </c>
      <c r="I21" s="316">
        <f ca="1">IFERROR(__xludf.DUMMYFUNCTION("""COMPUTED_VALUE"""),8059.99999999999)</f>
        <v>8059.99999999999</v>
      </c>
    </row>
    <row r="22" spans="1:9" ht="22.5" customHeight="1">
      <c r="A22" s="313" t="str">
        <f ca="1">IFERROR(__xludf.DUMMYFUNCTION("""COMPUTED_VALUE"""),"Dianópolis")</f>
        <v>Dianópolis</v>
      </c>
      <c r="B22" s="313" t="str">
        <f ca="1">IFERROR(__xludf.DUMMYFUNCTION("""COMPUTED_VALUE"""),"Dianopolis")</f>
        <v>Dianopolis</v>
      </c>
      <c r="C22" s="314" t="str">
        <f ca="1">IFERROR(__xludf.DUMMYFUNCTION("""COMPUTED_VALUE"""),"A. ESC. COMUN.DA E. EST. ANTONIO POVOA")</f>
        <v>A. ESC. COMUN.DA E. EST. ANTONIO POVOA</v>
      </c>
      <c r="D22" s="315" t="str">
        <f ca="1">IFERROR(__xludf.DUMMYFUNCTION("""COMPUTED_VALUE"""),"00895665000100")</f>
        <v>00895665000100</v>
      </c>
      <c r="E22" s="315" t="str">
        <f ca="1">IFERROR(__xludf.DUMMYFUNCTION("""COMPUTED_VALUE"""),"001")</f>
        <v>001</v>
      </c>
      <c r="F22" s="315" t="str">
        <f ca="1">IFERROR(__xludf.DUMMYFUNCTION("""COMPUTED_VALUE"""),"1307")</f>
        <v>1307</v>
      </c>
      <c r="G22" s="313" t="str">
        <f ca="1">IFERROR(__xludf.DUMMYFUNCTION("""COMPUTED_VALUE"""),"010616X")</f>
        <v>010616X</v>
      </c>
      <c r="H22" s="314" t="str">
        <f ca="1">IFERROR(__xludf.DUMMYFUNCTION("""COMPUTED_VALUE"""),"SERVIDORES JOVEM AÇÃO")</f>
        <v>SERVIDORES JOVEM AÇÃO</v>
      </c>
      <c r="I22" s="316">
        <f ca="1">IFERROR(__xludf.DUMMYFUNCTION("""COMPUTED_VALUE"""),844.199999999999)</f>
        <v>844.19999999999902</v>
      </c>
    </row>
    <row r="23" spans="1:9" ht="22.5" customHeight="1">
      <c r="A23" s="313" t="str">
        <f ca="1">IFERROR(__xludf.DUMMYFUNCTION("""COMPUTED_VALUE"""),"Dianópolis")</f>
        <v>Dianópolis</v>
      </c>
      <c r="B23" s="313" t="str">
        <f ca="1">IFERROR(__xludf.DUMMYFUNCTION("""COMPUTED_VALUE"""),"Taguatinga")</f>
        <v>Taguatinga</v>
      </c>
      <c r="C23" s="314" t="str">
        <f ca="1">IFERROR(__xludf.DUMMYFUNCTION("""COMPUTED_VALUE"""),"A.A. COL. EST. PROFESSOR AURELIANO")</f>
        <v>A.A. COL. EST. PROFESSOR AURELIANO</v>
      </c>
      <c r="D23" s="315" t="str">
        <f ca="1">IFERROR(__xludf.DUMMYFUNCTION("""COMPUTED_VALUE"""),"01133709000128")</f>
        <v>01133709000128</v>
      </c>
      <c r="E23" s="315" t="str">
        <f ca="1">IFERROR(__xludf.DUMMYFUNCTION("""COMPUTED_VALUE"""),"001")</f>
        <v>001</v>
      </c>
      <c r="F23" s="315" t="str">
        <f ca="1">IFERROR(__xludf.DUMMYFUNCTION("""COMPUTED_VALUE"""),"2704")</f>
        <v>2704</v>
      </c>
      <c r="G23" s="313" t="str">
        <f ca="1">IFERROR(__xludf.DUMMYFUNCTION("""COMPUTED_VALUE"""),"102717")</f>
        <v>102717</v>
      </c>
      <c r="H23" s="314" t="str">
        <f ca="1">IFERROR(__xludf.DUMMYFUNCTION("""COMPUTED_VALUE"""),"ENS MEDIO JOVEM AÇÃO")</f>
        <v>ENS MEDIO JOVEM AÇÃO</v>
      </c>
      <c r="I23" s="316">
        <f ca="1">IFERROR(__xludf.DUMMYFUNCTION("""COMPUTED_VALUE"""),11203.4)</f>
        <v>11203.4</v>
      </c>
    </row>
    <row r="24" spans="1:9" ht="22.5" customHeight="1">
      <c r="A24" s="313" t="str">
        <f ca="1">IFERROR(__xludf.DUMMYFUNCTION("""COMPUTED_VALUE"""),"Dianópolis")</f>
        <v>Dianópolis</v>
      </c>
      <c r="B24" s="313" t="str">
        <f ca="1">IFERROR(__xludf.DUMMYFUNCTION("""COMPUTED_VALUE"""),"Taguatinga")</f>
        <v>Taguatinga</v>
      </c>
      <c r="C24" s="314" t="str">
        <f ca="1">IFERROR(__xludf.DUMMYFUNCTION("""COMPUTED_VALUE"""),"A.A. COL. EST. PROFESSOR AURELIANO")</f>
        <v>A.A. COL. EST. PROFESSOR AURELIANO</v>
      </c>
      <c r="D24" s="315" t="str">
        <f ca="1">IFERROR(__xludf.DUMMYFUNCTION("""COMPUTED_VALUE"""),"01133709000128")</f>
        <v>01133709000128</v>
      </c>
      <c r="E24" s="315" t="str">
        <f ca="1">IFERROR(__xludf.DUMMYFUNCTION("""COMPUTED_VALUE"""),"001")</f>
        <v>001</v>
      </c>
      <c r="F24" s="315" t="str">
        <f ca="1">IFERROR(__xludf.DUMMYFUNCTION("""COMPUTED_VALUE"""),"2704")</f>
        <v>2704</v>
      </c>
      <c r="G24" s="313" t="str">
        <f ca="1">IFERROR(__xludf.DUMMYFUNCTION("""COMPUTED_VALUE"""),"102717")</f>
        <v>102717</v>
      </c>
      <c r="H24" s="314" t="str">
        <f ca="1">IFERROR(__xludf.DUMMYFUNCTION("""COMPUTED_VALUE"""),"SERVIDORES JOVEM AÇÃO")</f>
        <v>SERVIDORES JOVEM AÇÃO</v>
      </c>
      <c r="I24" s="316">
        <f ca="1">IFERROR(__xludf.DUMMYFUNCTION("""COMPUTED_VALUE"""),1085.39999999999)</f>
        <v>1085.3999999999901</v>
      </c>
    </row>
    <row r="25" spans="1:9" ht="22.5" customHeight="1">
      <c r="A25" s="313" t="str">
        <f ca="1">IFERROR(__xludf.DUMMYFUNCTION("""COMPUTED_VALUE"""),"Guaraí")</f>
        <v>Guaraí</v>
      </c>
      <c r="B25" s="313" t="str">
        <f ca="1">IFERROR(__xludf.DUMMYFUNCTION("""COMPUTED_VALUE"""),"Fortaleza do Tabocao")</f>
        <v>Fortaleza do Tabocao</v>
      </c>
      <c r="C25" s="314" t="str">
        <f ca="1">IFERROR(__xludf.DUMMYFUNCTION("""COMPUTED_VALUE"""),"A.A. DA ESC. EST. MAJOR JUVENAL P.DE SOUZA")</f>
        <v>A.A. DA ESC. EST. MAJOR JUVENAL P.DE SOUZA</v>
      </c>
      <c r="D25" s="315" t="str">
        <f ca="1">IFERROR(__xludf.DUMMYFUNCTION("""COMPUTED_VALUE"""),"01408714000104")</f>
        <v>01408714000104</v>
      </c>
      <c r="E25" s="315" t="str">
        <f ca="1">IFERROR(__xludf.DUMMYFUNCTION("""COMPUTED_VALUE"""),"001")</f>
        <v>001</v>
      </c>
      <c r="F25" s="315" t="str">
        <f ca="1">IFERROR(__xludf.DUMMYFUNCTION("""COMPUTED_VALUE"""),"2094")</f>
        <v>2094</v>
      </c>
      <c r="G25" s="313" t="str">
        <f ca="1">IFERROR(__xludf.DUMMYFUNCTION("""COMPUTED_VALUE"""),"46743X")</f>
        <v>46743X</v>
      </c>
      <c r="H25" s="314" t="str">
        <f ca="1">IFERROR(__xludf.DUMMYFUNCTION("""COMPUTED_VALUE"""),"ENS MEDIO JOVEM AÇÃO")</f>
        <v>ENS MEDIO JOVEM AÇÃO</v>
      </c>
      <c r="I25" s="316">
        <f ca="1">IFERROR(__xludf.DUMMYFUNCTION("""COMPUTED_VALUE"""),11606.4)</f>
        <v>11606.4</v>
      </c>
    </row>
    <row r="26" spans="1:9" ht="22.5" customHeight="1">
      <c r="A26" s="313" t="str">
        <f ca="1">IFERROR(__xludf.DUMMYFUNCTION("""COMPUTED_VALUE"""),"Guaraí")</f>
        <v>Guaraí</v>
      </c>
      <c r="B26" s="313" t="str">
        <f ca="1">IFERROR(__xludf.DUMMYFUNCTION("""COMPUTED_VALUE"""),"Fortaleza do Tabocao")</f>
        <v>Fortaleza do Tabocao</v>
      </c>
      <c r="C26" s="314" t="str">
        <f ca="1">IFERROR(__xludf.DUMMYFUNCTION("""COMPUTED_VALUE"""),"A.A. DA ESC. EST. MAJOR JUVENAL P.DE SOUZA")</f>
        <v>A.A. DA ESC. EST. MAJOR JUVENAL P.DE SOUZA</v>
      </c>
      <c r="D26" s="315" t="str">
        <f ca="1">IFERROR(__xludf.DUMMYFUNCTION("""COMPUTED_VALUE"""),"01408714000104")</f>
        <v>01408714000104</v>
      </c>
      <c r="E26" s="315" t="str">
        <f ca="1">IFERROR(__xludf.DUMMYFUNCTION("""COMPUTED_VALUE"""),"001")</f>
        <v>001</v>
      </c>
      <c r="F26" s="315" t="str">
        <f ca="1">IFERROR(__xludf.DUMMYFUNCTION("""COMPUTED_VALUE"""),"2094")</f>
        <v>2094</v>
      </c>
      <c r="G26" s="313" t="str">
        <f ca="1">IFERROR(__xludf.DUMMYFUNCTION("""COMPUTED_VALUE"""),"46743X")</f>
        <v>46743X</v>
      </c>
      <c r="H26" s="314" t="str">
        <f ca="1">IFERROR(__xludf.DUMMYFUNCTION("""COMPUTED_VALUE"""),"SERVIDORES JOVEM AÇÃO")</f>
        <v>SERVIDORES JOVEM AÇÃO</v>
      </c>
      <c r="I26" s="316">
        <f ca="1">IFERROR(__xludf.DUMMYFUNCTION("""COMPUTED_VALUE"""),1206)</f>
        <v>1206</v>
      </c>
    </row>
    <row r="27" spans="1:9" ht="22.5" customHeight="1">
      <c r="A27" s="313" t="str">
        <f ca="1">IFERROR(__xludf.DUMMYFUNCTION("""COMPUTED_VALUE"""),"Guaraí")</f>
        <v>Guaraí</v>
      </c>
      <c r="B27" s="313" t="str">
        <f ca="1">IFERROR(__xludf.DUMMYFUNCTION("""COMPUTED_VALUE"""),"Guarai")</f>
        <v>Guarai</v>
      </c>
      <c r="C27" s="314" t="str">
        <f ca="1">IFERROR(__xludf.DUMMYFUNCTION("""COMPUTED_VALUE"""),"ASSOC. DE APOIO ESC. EST. OQUERLINA TORRES")</f>
        <v>ASSOC. DE APOIO ESC. EST. OQUERLINA TORRES</v>
      </c>
      <c r="D27" s="315" t="str">
        <f ca="1">IFERROR(__xludf.DUMMYFUNCTION("""COMPUTED_VALUE"""),"01421201000125")</f>
        <v>01421201000125</v>
      </c>
      <c r="E27" s="315" t="str">
        <f ca="1">IFERROR(__xludf.DUMMYFUNCTION("""COMPUTED_VALUE"""),"001")</f>
        <v>001</v>
      </c>
      <c r="F27" s="315" t="str">
        <f ca="1">IFERROR(__xludf.DUMMYFUNCTION("""COMPUTED_VALUE"""),"2094")</f>
        <v>2094</v>
      </c>
      <c r="G27" s="313" t="str">
        <f ca="1">IFERROR(__xludf.DUMMYFUNCTION("""COMPUTED_VALUE"""),"19266X")</f>
        <v>19266X</v>
      </c>
      <c r="H27" s="314" t="str">
        <f ca="1">IFERROR(__xludf.DUMMYFUNCTION("""COMPUTED_VALUE"""),"ENS MEDIO JOVEM AÇÃO")</f>
        <v>ENS MEDIO JOVEM AÇÃO</v>
      </c>
      <c r="I27" s="316">
        <f ca="1">IFERROR(__xludf.DUMMYFUNCTION("""COMPUTED_VALUE"""),20230.6)</f>
        <v>20230.599999999999</v>
      </c>
    </row>
    <row r="28" spans="1:9" ht="22.5" customHeight="1">
      <c r="A28" s="313" t="str">
        <f ca="1">IFERROR(__xludf.DUMMYFUNCTION("""COMPUTED_VALUE"""),"Guaraí")</f>
        <v>Guaraí</v>
      </c>
      <c r="B28" s="313" t="str">
        <f ca="1">IFERROR(__xludf.DUMMYFUNCTION("""COMPUTED_VALUE"""),"Guarai")</f>
        <v>Guarai</v>
      </c>
      <c r="C28" s="314" t="str">
        <f ca="1">IFERROR(__xludf.DUMMYFUNCTION("""COMPUTED_VALUE"""),"ASSOC. DE APOIO ESC. EST. OQUERLINA TORRES")</f>
        <v>ASSOC. DE APOIO ESC. EST. OQUERLINA TORRES</v>
      </c>
      <c r="D28" s="315" t="str">
        <f ca="1">IFERROR(__xludf.DUMMYFUNCTION("""COMPUTED_VALUE"""),"01421201000125")</f>
        <v>01421201000125</v>
      </c>
      <c r="E28" s="315" t="str">
        <f ca="1">IFERROR(__xludf.DUMMYFUNCTION("""COMPUTED_VALUE"""),"001")</f>
        <v>001</v>
      </c>
      <c r="F28" s="315" t="str">
        <f ca="1">IFERROR(__xludf.DUMMYFUNCTION("""COMPUTED_VALUE"""),"2094")</f>
        <v>2094</v>
      </c>
      <c r="G28" s="313" t="str">
        <f ca="1">IFERROR(__xludf.DUMMYFUNCTION("""COMPUTED_VALUE"""),"19266X")</f>
        <v>19266X</v>
      </c>
      <c r="H28" s="314" t="str">
        <f ca="1">IFERROR(__xludf.DUMMYFUNCTION("""COMPUTED_VALUE"""),"SERVIDORES JOVEM AÇÃO")</f>
        <v>SERVIDORES JOVEM AÇÃO</v>
      </c>
      <c r="I28" s="316">
        <f ca="1">IFERROR(__xludf.DUMMYFUNCTION("""COMPUTED_VALUE"""),2050.2)</f>
        <v>2050.1999999999998</v>
      </c>
    </row>
    <row r="29" spans="1:9" ht="22.5" customHeight="1">
      <c r="A29" s="313" t="str">
        <f ca="1">IFERROR(__xludf.DUMMYFUNCTION("""COMPUTED_VALUE"""),"Gurupi")</f>
        <v>Gurupi</v>
      </c>
      <c r="B29" s="313" t="str">
        <f ca="1">IFERROR(__xludf.DUMMYFUNCTION("""COMPUTED_VALUE"""),"Gurupi")</f>
        <v>Gurupi</v>
      </c>
      <c r="C29" s="314" t="str">
        <f ca="1">IFERROR(__xludf.DUMMYFUNCTION("""COMPUTED_VALUE"""),"ASSOC. DE APOIO ESC. EST. BOM JESUS")</f>
        <v>ASSOC. DE APOIO ESC. EST. BOM JESUS</v>
      </c>
      <c r="D29" s="315" t="str">
        <f ca="1">IFERROR(__xludf.DUMMYFUNCTION("""COMPUTED_VALUE"""),"01865430000139")</f>
        <v>01865430000139</v>
      </c>
      <c r="E29" s="315" t="str">
        <f ca="1">IFERROR(__xludf.DUMMYFUNCTION("""COMPUTED_VALUE"""),"001")</f>
        <v>001</v>
      </c>
      <c r="F29" s="315" t="str">
        <f ca="1">IFERROR(__xludf.DUMMYFUNCTION("""COMPUTED_VALUE"""),"0794")</f>
        <v>0794</v>
      </c>
      <c r="G29" s="313" t="str">
        <f ca="1">IFERROR(__xludf.DUMMYFUNCTION("""COMPUTED_VALUE"""),"420603")</f>
        <v>420603</v>
      </c>
      <c r="H29" s="314" t="str">
        <f ca="1">IFERROR(__xludf.DUMMYFUNCTION("""COMPUTED_VALUE"""),"ENS MEDIO JOVEM AÇÃO")</f>
        <v>ENS MEDIO JOVEM AÇÃO</v>
      </c>
      <c r="I29" s="316">
        <f ca="1">IFERROR(__xludf.DUMMYFUNCTION("""COMPUTED_VALUE"""),25953.1999999999)</f>
        <v>25953.199999999899</v>
      </c>
    </row>
    <row r="30" spans="1:9" ht="22.5" customHeight="1">
      <c r="A30" s="313" t="str">
        <f ca="1">IFERROR(__xludf.DUMMYFUNCTION("""COMPUTED_VALUE"""),"Gurupi")</f>
        <v>Gurupi</v>
      </c>
      <c r="B30" s="313" t="str">
        <f ca="1">IFERROR(__xludf.DUMMYFUNCTION("""COMPUTED_VALUE"""),"Gurupi")</f>
        <v>Gurupi</v>
      </c>
      <c r="C30" s="314" t="str">
        <f ca="1">IFERROR(__xludf.DUMMYFUNCTION("""COMPUTED_VALUE"""),"ASSOC. DE APOIO ESC. EST. BOM JESUS")</f>
        <v>ASSOC. DE APOIO ESC. EST. BOM JESUS</v>
      </c>
      <c r="D30" s="315" t="str">
        <f ca="1">IFERROR(__xludf.DUMMYFUNCTION("""COMPUTED_VALUE"""),"01865430000139")</f>
        <v>01865430000139</v>
      </c>
      <c r="E30" s="315" t="str">
        <f ca="1">IFERROR(__xludf.DUMMYFUNCTION("""COMPUTED_VALUE"""),"001")</f>
        <v>001</v>
      </c>
      <c r="F30" s="315" t="str">
        <f ca="1">IFERROR(__xludf.DUMMYFUNCTION("""COMPUTED_VALUE"""),"0794")</f>
        <v>0794</v>
      </c>
      <c r="G30" s="313" t="str">
        <f ca="1">IFERROR(__xludf.DUMMYFUNCTION("""COMPUTED_VALUE"""),"420603")</f>
        <v>420603</v>
      </c>
      <c r="H30" s="314" t="str">
        <f ca="1">IFERROR(__xludf.DUMMYFUNCTION("""COMPUTED_VALUE"""),"SERVIDORES JOVEM AÇÃO")</f>
        <v>SERVIDORES JOVEM AÇÃO</v>
      </c>
      <c r="I30" s="316">
        <f ca="1">IFERROR(__xludf.DUMMYFUNCTION("""COMPUTED_VALUE"""),2532.6)</f>
        <v>2532.6</v>
      </c>
    </row>
    <row r="31" spans="1:9" ht="22.5" customHeight="1">
      <c r="A31" s="313" t="str">
        <f ca="1">IFERROR(__xludf.DUMMYFUNCTION("""COMPUTED_VALUE"""),"Gurupi")</f>
        <v>Gurupi</v>
      </c>
      <c r="B31" s="313" t="str">
        <f ca="1">IFERROR(__xludf.DUMMYFUNCTION("""COMPUTED_VALUE"""),"Gurupi")</f>
        <v>Gurupi</v>
      </c>
      <c r="C31" s="314" t="str">
        <f ca="1">IFERROR(__xludf.DUMMYFUNCTION("""COMPUTED_VALUE"""),"ASSOC. DE APOIO COL. EST. DE GURUPI")</f>
        <v>ASSOC. DE APOIO COL. EST. DE GURUPI</v>
      </c>
      <c r="D31" s="315" t="str">
        <f ca="1">IFERROR(__xludf.DUMMYFUNCTION("""COMPUTED_VALUE"""),"01887135000183")</f>
        <v>01887135000183</v>
      </c>
      <c r="E31" s="315" t="str">
        <f ca="1">IFERROR(__xludf.DUMMYFUNCTION("""COMPUTED_VALUE"""),"001")</f>
        <v>001</v>
      </c>
      <c r="F31" s="315" t="str">
        <f ca="1">IFERROR(__xludf.DUMMYFUNCTION("""COMPUTED_VALUE"""),"0794")</f>
        <v>0794</v>
      </c>
      <c r="G31" s="313" t="str">
        <f ca="1">IFERROR(__xludf.DUMMYFUNCTION("""COMPUTED_VALUE"""),"420700")</f>
        <v>420700</v>
      </c>
      <c r="H31" s="314" t="str">
        <f ca="1">IFERROR(__xludf.DUMMYFUNCTION("""COMPUTED_VALUE"""),"ENS MEDIO JOVEM AÇÃO")</f>
        <v>ENS MEDIO JOVEM AÇÃO</v>
      </c>
      <c r="I31" s="316">
        <f ca="1">IFERROR(__xludf.DUMMYFUNCTION("""COMPUTED_VALUE"""),7415.2)</f>
        <v>7415.2</v>
      </c>
    </row>
    <row r="32" spans="1:9" ht="22.5" customHeight="1">
      <c r="A32" s="313" t="str">
        <f ca="1">IFERROR(__xludf.DUMMYFUNCTION("""COMPUTED_VALUE"""),"Gurupi")</f>
        <v>Gurupi</v>
      </c>
      <c r="B32" s="313" t="str">
        <f ca="1">IFERROR(__xludf.DUMMYFUNCTION("""COMPUTED_VALUE"""),"Gurupi")</f>
        <v>Gurupi</v>
      </c>
      <c r="C32" s="314" t="str">
        <f ca="1">IFERROR(__xludf.DUMMYFUNCTION("""COMPUTED_VALUE"""),"ASSOC. DE APOIO COL. EST. DE GURUPI")</f>
        <v>ASSOC. DE APOIO COL. EST. DE GURUPI</v>
      </c>
      <c r="D32" s="315" t="str">
        <f ca="1">IFERROR(__xludf.DUMMYFUNCTION("""COMPUTED_VALUE"""),"01887135000183")</f>
        <v>01887135000183</v>
      </c>
      <c r="E32" s="315" t="str">
        <f ca="1">IFERROR(__xludf.DUMMYFUNCTION("""COMPUTED_VALUE"""),"001")</f>
        <v>001</v>
      </c>
      <c r="F32" s="315" t="str">
        <f ca="1">IFERROR(__xludf.DUMMYFUNCTION("""COMPUTED_VALUE"""),"0794")</f>
        <v>0794</v>
      </c>
      <c r="G32" s="313" t="str">
        <f ca="1">IFERROR(__xludf.DUMMYFUNCTION("""COMPUTED_VALUE"""),"420700")</f>
        <v>420700</v>
      </c>
      <c r="H32" s="314" t="str">
        <f ca="1">IFERROR(__xludf.DUMMYFUNCTION("""COMPUTED_VALUE"""),"SERVIDORES JOVEM AÇÃO")</f>
        <v>SERVIDORES JOVEM AÇÃO</v>
      </c>
      <c r="I32" s="316">
        <f ca="1">IFERROR(__xludf.DUMMYFUNCTION("""COMPUTED_VALUE"""),723.599999999999)</f>
        <v>723.599999999999</v>
      </c>
    </row>
    <row r="33" spans="1:9" ht="22.5" customHeight="1">
      <c r="A33" s="313" t="str">
        <f ca="1">IFERROR(__xludf.DUMMYFUNCTION("""COMPUTED_VALUE"""),"Miracema")</f>
        <v>Miracema</v>
      </c>
      <c r="B33" s="313" t="str">
        <f ca="1">IFERROR(__xludf.DUMMYFUNCTION("""COMPUTED_VALUE"""),"Miracema do Tocantins")</f>
        <v>Miracema do Tocantins</v>
      </c>
      <c r="C33" s="314" t="str">
        <f ca="1">IFERROR(__xludf.DUMMYFUNCTION("""COMPUTED_VALUE"""),"ASSOC ESC COM COL EST FILOMENA MOREIRA DE PAULA")</f>
        <v>ASSOC ESC COM COL EST FILOMENA MOREIRA DE PAULA</v>
      </c>
      <c r="D33" s="315" t="str">
        <f ca="1">IFERROR(__xludf.DUMMYFUNCTION("""COMPUTED_VALUE"""),"00900200000109")</f>
        <v>00900200000109</v>
      </c>
      <c r="E33" s="315" t="str">
        <f ca="1">IFERROR(__xludf.DUMMYFUNCTION("""COMPUTED_VALUE"""),"001")</f>
        <v>001</v>
      </c>
      <c r="F33" s="315" t="str">
        <f ca="1">IFERROR(__xludf.DUMMYFUNCTION("""COMPUTED_VALUE"""),"0862")</f>
        <v>0862</v>
      </c>
      <c r="G33" s="313" t="str">
        <f ca="1">IFERROR(__xludf.DUMMYFUNCTION("""COMPUTED_VALUE"""),"97527")</f>
        <v>97527</v>
      </c>
      <c r="H33" s="314" t="str">
        <f ca="1">IFERROR(__xludf.DUMMYFUNCTION("""COMPUTED_VALUE"""),"ENS MEDIO JOVEM AÇÃO")</f>
        <v>ENS MEDIO JOVEM AÇÃO</v>
      </c>
      <c r="I33" s="316">
        <f ca="1">IFERROR(__xludf.DUMMYFUNCTION("""COMPUTED_VALUE"""),9349.59999999999)</f>
        <v>9349.5999999999894</v>
      </c>
    </row>
    <row r="34" spans="1:9" ht="22.5" customHeight="1">
      <c r="A34" s="313" t="str">
        <f ca="1">IFERROR(__xludf.DUMMYFUNCTION("""COMPUTED_VALUE"""),"Miracema")</f>
        <v>Miracema</v>
      </c>
      <c r="B34" s="313" t="str">
        <f ca="1">IFERROR(__xludf.DUMMYFUNCTION("""COMPUTED_VALUE"""),"Miracema do Tocantins")</f>
        <v>Miracema do Tocantins</v>
      </c>
      <c r="C34" s="314" t="str">
        <f ca="1">IFERROR(__xludf.DUMMYFUNCTION("""COMPUTED_VALUE"""),"ASSOC ESC COM COL EST FILOMENA MOREIRA DE PAULA")</f>
        <v>ASSOC ESC COM COL EST FILOMENA MOREIRA DE PAULA</v>
      </c>
      <c r="D34" s="315" t="str">
        <f ca="1">IFERROR(__xludf.DUMMYFUNCTION("""COMPUTED_VALUE"""),"00900200000109")</f>
        <v>00900200000109</v>
      </c>
      <c r="E34" s="315" t="str">
        <f ca="1">IFERROR(__xludf.DUMMYFUNCTION("""COMPUTED_VALUE"""),"001")</f>
        <v>001</v>
      </c>
      <c r="F34" s="315" t="str">
        <f ca="1">IFERROR(__xludf.DUMMYFUNCTION("""COMPUTED_VALUE"""),"0862")</f>
        <v>0862</v>
      </c>
      <c r="G34" s="313" t="str">
        <f ca="1">IFERROR(__xludf.DUMMYFUNCTION("""COMPUTED_VALUE"""),"97527")</f>
        <v>97527</v>
      </c>
      <c r="H34" s="314" t="str">
        <f ca="1">IFERROR(__xludf.DUMMYFUNCTION("""COMPUTED_VALUE"""),"SERVIDORES JOVEM AÇÃO")</f>
        <v>SERVIDORES JOVEM AÇÃO</v>
      </c>
      <c r="I34" s="316">
        <f ca="1">IFERROR(__xludf.DUMMYFUNCTION("""COMPUTED_VALUE"""),964.8)</f>
        <v>964.8</v>
      </c>
    </row>
    <row r="35" spans="1:9" ht="22.5" customHeight="1">
      <c r="A35" s="313" t="str">
        <f ca="1">IFERROR(__xludf.DUMMYFUNCTION("""COMPUTED_VALUE"""),"Miracema")</f>
        <v>Miracema</v>
      </c>
      <c r="B35" s="313" t="str">
        <f ca="1">IFERROR(__xludf.DUMMYFUNCTION("""COMPUTED_VALUE"""),"Tocantinia")</f>
        <v>Tocantinia</v>
      </c>
      <c r="C35" s="314" t="str">
        <f ca="1">IFERROR(__xludf.DUMMYFUNCTION("""COMPUTED_VALUE"""),"ASS. APOIO AO CEM XERENTE WARA")</f>
        <v>ASS. APOIO AO CEM XERENTE WARA</v>
      </c>
      <c r="D35" s="315" t="str">
        <f ca="1">IFERROR(__xludf.DUMMYFUNCTION("""COMPUTED_VALUE"""),"07674098000101")</f>
        <v>07674098000101</v>
      </c>
      <c r="E35" s="315" t="str">
        <f ca="1">IFERROR(__xludf.DUMMYFUNCTION("""COMPUTED_VALUE"""),"001")</f>
        <v>001</v>
      </c>
      <c r="F35" s="315" t="str">
        <f ca="1">IFERROR(__xludf.DUMMYFUNCTION("""COMPUTED_VALUE"""),"0862")</f>
        <v>0862</v>
      </c>
      <c r="G35" s="313" t="str">
        <f ca="1">IFERROR(__xludf.DUMMYFUNCTION("""COMPUTED_VALUE"""),"183407")</f>
        <v>183407</v>
      </c>
      <c r="H35" s="314" t="str">
        <f ca="1">IFERROR(__xludf.DUMMYFUNCTION("""COMPUTED_VALUE"""),"ENS MEDIO JOVEM AÇÃO")</f>
        <v>ENS MEDIO JOVEM AÇÃO</v>
      </c>
      <c r="I35" s="316">
        <f ca="1">IFERROR(__xludf.DUMMYFUNCTION("""COMPUTED_VALUE"""),14346.8)</f>
        <v>14346.8</v>
      </c>
    </row>
    <row r="36" spans="1:9" ht="22.5" customHeight="1">
      <c r="A36" s="313" t="str">
        <f ca="1">IFERROR(__xludf.DUMMYFUNCTION("""COMPUTED_VALUE"""),"Miracema")</f>
        <v>Miracema</v>
      </c>
      <c r="B36" s="313" t="str">
        <f ca="1">IFERROR(__xludf.DUMMYFUNCTION("""COMPUTED_VALUE"""),"Tocantinia")</f>
        <v>Tocantinia</v>
      </c>
      <c r="C36" s="314" t="str">
        <f ca="1">IFERROR(__xludf.DUMMYFUNCTION("""COMPUTED_VALUE"""),"ASS. APOIO AO CEM XERENTE WARA")</f>
        <v>ASS. APOIO AO CEM XERENTE WARA</v>
      </c>
      <c r="D36" s="315" t="str">
        <f ca="1">IFERROR(__xludf.DUMMYFUNCTION("""COMPUTED_VALUE"""),"07674098000101")</f>
        <v>07674098000101</v>
      </c>
      <c r="E36" s="315" t="str">
        <f ca="1">IFERROR(__xludf.DUMMYFUNCTION("""COMPUTED_VALUE"""),"001")</f>
        <v>001</v>
      </c>
      <c r="F36" s="315" t="str">
        <f ca="1">IFERROR(__xludf.DUMMYFUNCTION("""COMPUTED_VALUE"""),"0862")</f>
        <v>0862</v>
      </c>
      <c r="G36" s="313" t="str">
        <f ca="1">IFERROR(__xludf.DUMMYFUNCTION("""COMPUTED_VALUE"""),"183407")</f>
        <v>183407</v>
      </c>
      <c r="H36" s="314" t="str">
        <f ca="1">IFERROR(__xludf.DUMMYFUNCTION("""COMPUTED_VALUE"""),"SERVIDORES JOVEM AÇÃO")</f>
        <v>SERVIDORES JOVEM AÇÃO</v>
      </c>
      <c r="I36" s="316">
        <f ca="1">IFERROR(__xludf.DUMMYFUNCTION("""COMPUTED_VALUE"""),1447.19999999999)</f>
        <v>1447.19999999999</v>
      </c>
    </row>
    <row r="37" spans="1:9" ht="22.5" customHeight="1">
      <c r="A37" s="313" t="str">
        <f ca="1">IFERROR(__xludf.DUMMYFUNCTION("""COMPUTED_VALUE"""),"Palmas")</f>
        <v>Palmas</v>
      </c>
      <c r="B37" s="313" t="str">
        <f ca="1">IFERROR(__xludf.DUMMYFUNCTION("""COMPUTED_VALUE"""),"Palmas")</f>
        <v>Palmas</v>
      </c>
      <c r="C37" s="314" t="str">
        <f ca="1">IFERROR(__xludf.DUMMYFUNCTION("""COMPUTED_VALUE"""),"A.P.E M. DA ESC. EST. MADRE BELEM")</f>
        <v>A.P.E M. DA ESC. EST. MADRE BELEM</v>
      </c>
      <c r="D37" s="315" t="str">
        <f ca="1">IFERROR(__xludf.DUMMYFUNCTION("""COMPUTED_VALUE"""),"01034134000196")</f>
        <v>01034134000196</v>
      </c>
      <c r="E37" s="315" t="str">
        <f ca="1">IFERROR(__xludf.DUMMYFUNCTION("""COMPUTED_VALUE"""),"001")</f>
        <v>001</v>
      </c>
      <c r="F37" s="315" t="str">
        <f ca="1">IFERROR(__xludf.DUMMYFUNCTION("""COMPUTED_VALUE"""),"1886")</f>
        <v>1886</v>
      </c>
      <c r="G37" s="313" t="str">
        <f ca="1">IFERROR(__xludf.DUMMYFUNCTION("""COMPUTED_VALUE"""),"519855")</f>
        <v>519855</v>
      </c>
      <c r="H37" s="314" t="str">
        <f ca="1">IFERROR(__xludf.DUMMYFUNCTION("""COMPUTED_VALUE"""),"ENS MEDIO JOVEM AÇÃO")</f>
        <v>ENS MEDIO JOVEM AÇÃO</v>
      </c>
      <c r="I37" s="316">
        <f ca="1">IFERROR(__xludf.DUMMYFUNCTION("""COMPUTED_VALUE"""),62384.3999999999)</f>
        <v>62384.3999999999</v>
      </c>
    </row>
    <row r="38" spans="1:9" ht="22.5" customHeight="1">
      <c r="A38" s="313" t="str">
        <f ca="1">IFERROR(__xludf.DUMMYFUNCTION("""COMPUTED_VALUE"""),"Palmas")</f>
        <v>Palmas</v>
      </c>
      <c r="B38" s="313" t="str">
        <f ca="1">IFERROR(__xludf.DUMMYFUNCTION("""COMPUTED_VALUE"""),"Palmas")</f>
        <v>Palmas</v>
      </c>
      <c r="C38" s="314" t="str">
        <f ca="1">IFERROR(__xludf.DUMMYFUNCTION("""COMPUTED_VALUE"""),"A.P.E M. DA ESC. EST. MADRE BELEM")</f>
        <v>A.P.E M. DA ESC. EST. MADRE BELEM</v>
      </c>
      <c r="D38" s="315" t="str">
        <f ca="1">IFERROR(__xludf.DUMMYFUNCTION("""COMPUTED_VALUE"""),"01034134000196")</f>
        <v>01034134000196</v>
      </c>
      <c r="E38" s="315" t="str">
        <f ca="1">IFERROR(__xludf.DUMMYFUNCTION("""COMPUTED_VALUE"""),"001")</f>
        <v>001</v>
      </c>
      <c r="F38" s="315" t="str">
        <f ca="1">IFERROR(__xludf.DUMMYFUNCTION("""COMPUTED_VALUE"""),"1886")</f>
        <v>1886</v>
      </c>
      <c r="G38" s="313" t="str">
        <f ca="1">IFERROR(__xludf.DUMMYFUNCTION("""COMPUTED_VALUE"""),"519855")</f>
        <v>519855</v>
      </c>
      <c r="H38" s="314" t="str">
        <f ca="1">IFERROR(__xludf.DUMMYFUNCTION("""COMPUTED_VALUE"""),"SERVIDORES JOVEM AÇÃO")</f>
        <v>SERVIDORES JOVEM AÇÃO</v>
      </c>
      <c r="I38" s="316">
        <f ca="1">IFERROR(__xludf.DUMMYFUNCTION("""COMPUTED_VALUE"""),6271.2)</f>
        <v>6271.2</v>
      </c>
    </row>
    <row r="39" spans="1:9" ht="22.5" customHeight="1">
      <c r="A39" s="313" t="str">
        <f ca="1">IFERROR(__xludf.DUMMYFUNCTION("""COMPUTED_VALUE"""),"Palmas")</f>
        <v>Palmas</v>
      </c>
      <c r="B39" s="313" t="str">
        <f ca="1">IFERROR(__xludf.DUMMYFUNCTION("""COMPUTED_VALUE"""),"Palmas")</f>
        <v>Palmas</v>
      </c>
      <c r="C39" s="314" t="str">
        <f ca="1">IFERROR(__xludf.DUMMYFUNCTION("""COMPUTED_VALUE"""),"A.A. AO COLEGIO ESTADUAL SAO JOSE")</f>
        <v>A.A. AO COLEGIO ESTADUAL SAO JOSE</v>
      </c>
      <c r="D39" s="315" t="str">
        <f ca="1">IFERROR(__xludf.DUMMYFUNCTION("""COMPUTED_VALUE"""),"01913809000177")</f>
        <v>01913809000177</v>
      </c>
      <c r="E39" s="315" t="str">
        <f ca="1">IFERROR(__xludf.DUMMYFUNCTION("""COMPUTED_VALUE"""),"001")</f>
        <v>001</v>
      </c>
      <c r="F39" s="315" t="str">
        <f ca="1">IFERROR(__xludf.DUMMYFUNCTION("""COMPUTED_VALUE"""),"1886")</f>
        <v>1886</v>
      </c>
      <c r="G39" s="313" t="str">
        <f ca="1">IFERROR(__xludf.DUMMYFUNCTION("""COMPUTED_VALUE"""),"325252")</f>
        <v>325252</v>
      </c>
      <c r="H39" s="314" t="str">
        <f ca="1">IFERROR(__xludf.DUMMYFUNCTION("""COMPUTED_VALUE"""),"ENS MEDIO JOVEM AÇÃO")</f>
        <v>ENS MEDIO JOVEM AÇÃO</v>
      </c>
      <c r="I39" s="316">
        <f ca="1">IFERROR(__xludf.DUMMYFUNCTION("""COMPUTED_VALUE"""),18135)</f>
        <v>18135</v>
      </c>
    </row>
    <row r="40" spans="1:9" ht="22.5" customHeight="1">
      <c r="A40" s="313" t="str">
        <f ca="1">IFERROR(__xludf.DUMMYFUNCTION("""COMPUTED_VALUE"""),"Palmas")</f>
        <v>Palmas</v>
      </c>
      <c r="B40" s="313" t="str">
        <f ca="1">IFERROR(__xludf.DUMMYFUNCTION("""COMPUTED_VALUE"""),"Palmas")</f>
        <v>Palmas</v>
      </c>
      <c r="C40" s="314" t="str">
        <f ca="1">IFERROR(__xludf.DUMMYFUNCTION("""COMPUTED_VALUE"""),"A.A. AO COLEGIO ESTADUAL SAO JOSE")</f>
        <v>A.A. AO COLEGIO ESTADUAL SAO JOSE</v>
      </c>
      <c r="D40" s="315" t="str">
        <f ca="1">IFERROR(__xludf.DUMMYFUNCTION("""COMPUTED_VALUE"""),"01913809000177")</f>
        <v>01913809000177</v>
      </c>
      <c r="E40" s="315" t="str">
        <f ca="1">IFERROR(__xludf.DUMMYFUNCTION("""COMPUTED_VALUE"""),"001")</f>
        <v>001</v>
      </c>
      <c r="F40" s="315" t="str">
        <f ca="1">IFERROR(__xludf.DUMMYFUNCTION("""COMPUTED_VALUE"""),"1886")</f>
        <v>1886</v>
      </c>
      <c r="G40" s="313" t="str">
        <f ca="1">IFERROR(__xludf.DUMMYFUNCTION("""COMPUTED_VALUE"""),"325252")</f>
        <v>325252</v>
      </c>
      <c r="H40" s="314" t="str">
        <f ca="1">IFERROR(__xludf.DUMMYFUNCTION("""COMPUTED_VALUE"""),"SERVIDORES JOVEM AÇÃO")</f>
        <v>SERVIDORES JOVEM AÇÃO</v>
      </c>
      <c r="I40" s="316">
        <f ca="1">IFERROR(__xludf.DUMMYFUNCTION("""COMPUTED_VALUE"""),1809)</f>
        <v>1809</v>
      </c>
    </row>
    <row r="41" spans="1:9" ht="22.5" customHeight="1">
      <c r="A41" s="313" t="str">
        <f ca="1">IFERROR(__xludf.DUMMYFUNCTION("""COMPUTED_VALUE"""),"Palmas")</f>
        <v>Palmas</v>
      </c>
      <c r="B41" s="313" t="str">
        <f ca="1">IFERROR(__xludf.DUMMYFUNCTION("""COMPUTED_VALUE"""),"Palmas")</f>
        <v>Palmas</v>
      </c>
      <c r="C41" s="314" t="str">
        <f ca="1">IFERROR(__xludf.DUMMYFUNCTION("""COMPUTED_VALUE"""),"A.AP. DO COL. EST. SANTA RITA DE CASSIA")</f>
        <v>A.AP. DO COL. EST. SANTA RITA DE CASSIA</v>
      </c>
      <c r="D41" s="315" t="str">
        <f ca="1">IFERROR(__xludf.DUMMYFUNCTION("""COMPUTED_VALUE"""),"01955414000137")</f>
        <v>01955414000137</v>
      </c>
      <c r="E41" s="315" t="str">
        <f ca="1">IFERROR(__xludf.DUMMYFUNCTION("""COMPUTED_VALUE"""),"001")</f>
        <v>001</v>
      </c>
      <c r="F41" s="315" t="str">
        <f ca="1">IFERROR(__xludf.DUMMYFUNCTION("""COMPUTED_VALUE"""),"1505")</f>
        <v>1505</v>
      </c>
      <c r="G41" s="313" t="str">
        <f ca="1">IFERROR(__xludf.DUMMYFUNCTION("""COMPUTED_VALUE"""),"256579")</f>
        <v>256579</v>
      </c>
      <c r="H41" s="314" t="str">
        <f ca="1">IFERROR(__xludf.DUMMYFUNCTION("""COMPUTED_VALUE"""),"ENS MEDIO JOVEM AÇÃO")</f>
        <v>ENS MEDIO JOVEM AÇÃO</v>
      </c>
      <c r="I41" s="316">
        <f ca="1">IFERROR(__xludf.DUMMYFUNCTION("""COMPUTED_VALUE"""),19102.1999999999)</f>
        <v>19102.199999999899</v>
      </c>
    </row>
    <row r="42" spans="1:9" ht="22.5" customHeight="1">
      <c r="A42" s="313" t="str">
        <f ca="1">IFERROR(__xludf.DUMMYFUNCTION("""COMPUTED_VALUE"""),"Palmas")</f>
        <v>Palmas</v>
      </c>
      <c r="B42" s="313" t="str">
        <f ca="1">IFERROR(__xludf.DUMMYFUNCTION("""COMPUTED_VALUE"""),"Palmas")</f>
        <v>Palmas</v>
      </c>
      <c r="C42" s="314" t="str">
        <f ca="1">IFERROR(__xludf.DUMMYFUNCTION("""COMPUTED_VALUE"""),"A.AP. DO COL. EST. SANTA RITA DE CASSIA")</f>
        <v>A.AP. DO COL. EST. SANTA RITA DE CASSIA</v>
      </c>
      <c r="D42" s="315" t="str">
        <f ca="1">IFERROR(__xludf.DUMMYFUNCTION("""COMPUTED_VALUE"""),"01955414000137")</f>
        <v>01955414000137</v>
      </c>
      <c r="E42" s="315" t="str">
        <f ca="1">IFERROR(__xludf.DUMMYFUNCTION("""COMPUTED_VALUE"""),"001")</f>
        <v>001</v>
      </c>
      <c r="F42" s="315" t="str">
        <f ca="1">IFERROR(__xludf.DUMMYFUNCTION("""COMPUTED_VALUE"""),"1505")</f>
        <v>1505</v>
      </c>
      <c r="G42" s="313" t="str">
        <f ca="1">IFERROR(__xludf.DUMMYFUNCTION("""COMPUTED_VALUE"""),"256579")</f>
        <v>256579</v>
      </c>
      <c r="H42" s="314" t="str">
        <f ca="1">IFERROR(__xludf.DUMMYFUNCTION("""COMPUTED_VALUE"""),"SERVIDORES JOVEM AÇÃO")</f>
        <v>SERVIDORES JOVEM AÇÃO</v>
      </c>
      <c r="I42" s="316">
        <f ca="1">IFERROR(__xludf.DUMMYFUNCTION("""COMPUTED_VALUE"""),1929.6)</f>
        <v>1929.6</v>
      </c>
    </row>
    <row r="43" spans="1:9" ht="22.5" customHeight="1">
      <c r="A43" s="313" t="str">
        <f ca="1">IFERROR(__xludf.DUMMYFUNCTION("""COMPUTED_VALUE"""),"Palmas")</f>
        <v>Palmas</v>
      </c>
      <c r="B43" s="313" t="str">
        <f ca="1">IFERROR(__xludf.DUMMYFUNCTION("""COMPUTED_VALUE"""),"Palmas")</f>
        <v>Palmas</v>
      </c>
      <c r="C43" s="314" t="str">
        <f ca="1">IFERROR(__xludf.DUMMYFUNCTION("""COMPUTED_VALUE"""),"ASSOC. DE APOIO COL. DA POLICIA MILITAR DO TOCANTINS")</f>
        <v>ASSOC. DE APOIO COL. DA POLICIA MILITAR DO TOCANTINS</v>
      </c>
      <c r="D43" s="315" t="str">
        <f ca="1">IFERROR(__xludf.DUMMYFUNCTION("""COMPUTED_VALUE"""),"02050257000183")</f>
        <v>02050257000183</v>
      </c>
      <c r="E43" s="315" t="str">
        <f ca="1">IFERROR(__xludf.DUMMYFUNCTION("""COMPUTED_VALUE"""),"001")</f>
        <v>001</v>
      </c>
      <c r="F43" s="315" t="str">
        <f ca="1">IFERROR(__xludf.DUMMYFUNCTION("""COMPUTED_VALUE"""),"1505")</f>
        <v>1505</v>
      </c>
      <c r="G43" s="313" t="str">
        <f ca="1">IFERROR(__xludf.DUMMYFUNCTION("""COMPUTED_VALUE"""),"455466")</f>
        <v>455466</v>
      </c>
      <c r="H43" s="314" t="str">
        <f ca="1">IFERROR(__xludf.DUMMYFUNCTION("""COMPUTED_VALUE"""),"ENS MEDIO JOVEM AÇÃO")</f>
        <v>ENS MEDIO JOVEM AÇÃO</v>
      </c>
      <c r="I43" s="316">
        <f ca="1">IFERROR(__xludf.DUMMYFUNCTION("""COMPUTED_VALUE"""),67542.7999999999)</f>
        <v>67542.799999999901</v>
      </c>
    </row>
    <row r="44" spans="1:9" ht="22.5" customHeight="1">
      <c r="A44" s="313" t="str">
        <f ca="1">IFERROR(__xludf.DUMMYFUNCTION("""COMPUTED_VALUE"""),"Palmas")</f>
        <v>Palmas</v>
      </c>
      <c r="B44" s="313" t="str">
        <f ca="1">IFERROR(__xludf.DUMMYFUNCTION("""COMPUTED_VALUE"""),"Palmas")</f>
        <v>Palmas</v>
      </c>
      <c r="C44" s="314" t="str">
        <f ca="1">IFERROR(__xludf.DUMMYFUNCTION("""COMPUTED_VALUE"""),"ASSOC. DE APOIO COL. DA POLICIA MILITAR DO TOCANTINS")</f>
        <v>ASSOC. DE APOIO COL. DA POLICIA MILITAR DO TOCANTINS</v>
      </c>
      <c r="D44" s="315" t="str">
        <f ca="1">IFERROR(__xludf.DUMMYFUNCTION("""COMPUTED_VALUE"""),"02050257000183")</f>
        <v>02050257000183</v>
      </c>
      <c r="E44" s="315" t="str">
        <f ca="1">IFERROR(__xludf.DUMMYFUNCTION("""COMPUTED_VALUE"""),"001")</f>
        <v>001</v>
      </c>
      <c r="F44" s="315" t="str">
        <f ca="1">IFERROR(__xludf.DUMMYFUNCTION("""COMPUTED_VALUE"""),"1505")</f>
        <v>1505</v>
      </c>
      <c r="G44" s="313" t="str">
        <f ca="1">IFERROR(__xludf.DUMMYFUNCTION("""COMPUTED_VALUE"""),"455466")</f>
        <v>455466</v>
      </c>
      <c r="H44" s="314" t="str">
        <f ca="1">IFERROR(__xludf.DUMMYFUNCTION("""COMPUTED_VALUE"""),"SERVIDORES JOVEM AÇÃO")</f>
        <v>SERVIDORES JOVEM AÇÃO</v>
      </c>
      <c r="I44" s="316">
        <f ca="1">IFERROR(__xludf.DUMMYFUNCTION("""COMPUTED_VALUE"""),6753.59999999999)</f>
        <v>6753.5999999999904</v>
      </c>
    </row>
    <row r="45" spans="1:9" ht="22.5" customHeight="1">
      <c r="A45" s="313" t="str">
        <f ca="1">IFERROR(__xludf.DUMMYFUNCTION("""COMPUTED_VALUE"""),"Paraíso")</f>
        <v>Paraíso</v>
      </c>
      <c r="B45" s="313" t="str">
        <f ca="1">IFERROR(__xludf.DUMMYFUNCTION("""COMPUTED_VALUE"""),"Barrolandia")</f>
        <v>Barrolandia</v>
      </c>
      <c r="C45" s="314" t="str">
        <f ca="1">IFERROR(__xludf.DUMMYFUNCTION("""COMPUTED_VALUE"""),"ASSOC. DE A. DO COL. EST. PRES. TANCREDO NEVES")</f>
        <v>ASSOC. DE A. DO COL. EST. PRES. TANCREDO NEVES</v>
      </c>
      <c r="D45" s="315" t="str">
        <f ca="1">IFERROR(__xludf.DUMMYFUNCTION("""COMPUTED_VALUE"""),"01086975000147")</f>
        <v>01086975000147</v>
      </c>
      <c r="E45" s="315" t="str">
        <f ca="1">IFERROR(__xludf.DUMMYFUNCTION("""COMPUTED_VALUE"""),"001")</f>
        <v>001</v>
      </c>
      <c r="F45" s="315" t="str">
        <f ca="1">IFERROR(__xludf.DUMMYFUNCTION("""COMPUTED_VALUE"""),"0862")</f>
        <v>0862</v>
      </c>
      <c r="G45" s="313" t="str">
        <f ca="1">IFERROR(__xludf.DUMMYFUNCTION("""COMPUTED_VALUE"""),"244155")</f>
        <v>244155</v>
      </c>
      <c r="H45" s="314" t="str">
        <f ca="1">IFERROR(__xludf.DUMMYFUNCTION("""COMPUTED_VALUE"""),"ENS MEDIO JOVEM AÇÃO")</f>
        <v>ENS MEDIO JOVEM AÇÃO</v>
      </c>
      <c r="I45" s="316">
        <f ca="1">IFERROR(__xludf.DUMMYFUNCTION("""COMPUTED_VALUE"""),9269)</f>
        <v>9269</v>
      </c>
    </row>
    <row r="46" spans="1:9" ht="22.5" customHeight="1">
      <c r="A46" s="313" t="str">
        <f ca="1">IFERROR(__xludf.DUMMYFUNCTION("""COMPUTED_VALUE"""),"Paraíso")</f>
        <v>Paraíso</v>
      </c>
      <c r="B46" s="313" t="str">
        <f ca="1">IFERROR(__xludf.DUMMYFUNCTION("""COMPUTED_VALUE"""),"Barrolandia")</f>
        <v>Barrolandia</v>
      </c>
      <c r="C46" s="314" t="str">
        <f ca="1">IFERROR(__xludf.DUMMYFUNCTION("""COMPUTED_VALUE"""),"ASSOC. DE A. DO COL. EST. PRES. TANCREDO NEVES")</f>
        <v>ASSOC. DE A. DO COL. EST. PRES. TANCREDO NEVES</v>
      </c>
      <c r="D46" s="315" t="str">
        <f ca="1">IFERROR(__xludf.DUMMYFUNCTION("""COMPUTED_VALUE"""),"01086975000147")</f>
        <v>01086975000147</v>
      </c>
      <c r="E46" s="315" t="str">
        <f ca="1">IFERROR(__xludf.DUMMYFUNCTION("""COMPUTED_VALUE"""),"001")</f>
        <v>001</v>
      </c>
      <c r="F46" s="315" t="str">
        <f ca="1">IFERROR(__xludf.DUMMYFUNCTION("""COMPUTED_VALUE"""),"0862")</f>
        <v>0862</v>
      </c>
      <c r="G46" s="313" t="str">
        <f ca="1">IFERROR(__xludf.DUMMYFUNCTION("""COMPUTED_VALUE"""),"244155")</f>
        <v>244155</v>
      </c>
      <c r="H46" s="314" t="str">
        <f ca="1">IFERROR(__xludf.DUMMYFUNCTION("""COMPUTED_VALUE"""),"SERVIDORES JOVEM AÇÃO")</f>
        <v>SERVIDORES JOVEM AÇÃO</v>
      </c>
      <c r="I46" s="316">
        <f ca="1">IFERROR(__xludf.DUMMYFUNCTION("""COMPUTED_VALUE"""),964.8)</f>
        <v>964.8</v>
      </c>
    </row>
    <row r="47" spans="1:9" ht="22.5" customHeight="1">
      <c r="A47" s="313" t="str">
        <f ca="1">IFERROR(__xludf.DUMMYFUNCTION("""COMPUTED_VALUE"""),"Porto Nacional")</f>
        <v>Porto Nacional</v>
      </c>
      <c r="B47" s="313" t="str">
        <f ca="1">IFERROR(__xludf.DUMMYFUNCTION("""COMPUTED_VALUE"""),"Brejinho de Nazare")</f>
        <v>Brejinho de Nazare</v>
      </c>
      <c r="C47" s="314" t="str">
        <f ca="1">IFERROR(__xludf.DUMMYFUNCTION("""COMPUTED_VALUE"""),"A.A. DO COLEGIO ESTADUAL PADRAO")</f>
        <v>A.A. DO COLEGIO ESTADUAL PADRAO</v>
      </c>
      <c r="D47" s="315" t="str">
        <f ca="1">IFERROR(__xludf.DUMMYFUNCTION("""COMPUTED_VALUE"""),"01181175000105")</f>
        <v>01181175000105</v>
      </c>
      <c r="E47" s="315" t="str">
        <f ca="1">IFERROR(__xludf.DUMMYFUNCTION("""COMPUTED_VALUE"""),"001")</f>
        <v>001</v>
      </c>
      <c r="F47" s="315" t="str">
        <f ca="1">IFERROR(__xludf.DUMMYFUNCTION("""COMPUTED_VALUE"""),"3976")</f>
        <v>3976</v>
      </c>
      <c r="G47" s="313" t="str">
        <f ca="1">IFERROR(__xludf.DUMMYFUNCTION("""COMPUTED_VALUE"""),"51047")</f>
        <v>51047</v>
      </c>
      <c r="H47" s="314" t="str">
        <f ca="1">IFERROR(__xludf.DUMMYFUNCTION("""COMPUTED_VALUE"""),"ENS MEDIO JOVEM AÇÃO")</f>
        <v>ENS MEDIO JOVEM AÇÃO</v>
      </c>
      <c r="I47" s="316">
        <f ca="1">IFERROR(__xludf.DUMMYFUNCTION("""COMPUTED_VALUE"""),14830.4)</f>
        <v>14830.4</v>
      </c>
    </row>
    <row r="48" spans="1:9" ht="22.5" customHeight="1">
      <c r="A48" s="313" t="str">
        <f ca="1">IFERROR(__xludf.DUMMYFUNCTION("""COMPUTED_VALUE"""),"Porto Nacional")</f>
        <v>Porto Nacional</v>
      </c>
      <c r="B48" s="313" t="str">
        <f ca="1">IFERROR(__xludf.DUMMYFUNCTION("""COMPUTED_VALUE"""),"Brejinho de Nazare")</f>
        <v>Brejinho de Nazare</v>
      </c>
      <c r="C48" s="314" t="str">
        <f ca="1">IFERROR(__xludf.DUMMYFUNCTION("""COMPUTED_VALUE"""),"A.A. DO COLEGIO ESTADUAL PADRAO")</f>
        <v>A.A. DO COLEGIO ESTADUAL PADRAO</v>
      </c>
      <c r="D48" s="315" t="str">
        <f ca="1">IFERROR(__xludf.DUMMYFUNCTION("""COMPUTED_VALUE"""),"01181175000105")</f>
        <v>01181175000105</v>
      </c>
      <c r="E48" s="315" t="str">
        <f ca="1">IFERROR(__xludf.DUMMYFUNCTION("""COMPUTED_VALUE"""),"001")</f>
        <v>001</v>
      </c>
      <c r="F48" s="315" t="str">
        <f ca="1">IFERROR(__xludf.DUMMYFUNCTION("""COMPUTED_VALUE"""),"3976")</f>
        <v>3976</v>
      </c>
      <c r="G48" s="313" t="str">
        <f ca="1">IFERROR(__xludf.DUMMYFUNCTION("""COMPUTED_VALUE"""),"51047")</f>
        <v>51047</v>
      </c>
      <c r="H48" s="314" t="str">
        <f ca="1">IFERROR(__xludf.DUMMYFUNCTION("""COMPUTED_VALUE"""),"SERVIDORES JOVEM AÇÃO")</f>
        <v>SERVIDORES JOVEM AÇÃO</v>
      </c>
      <c r="I48" s="316">
        <f ca="1">IFERROR(__xludf.DUMMYFUNCTION("""COMPUTED_VALUE"""),1447.19999999999)</f>
        <v>1447.19999999999</v>
      </c>
    </row>
    <row r="49" spans="1:9" ht="22.5" customHeight="1">
      <c r="A49" s="313" t="str">
        <f ca="1">IFERROR(__xludf.DUMMYFUNCTION("""COMPUTED_VALUE"""),"Porto Nacional")</f>
        <v>Porto Nacional</v>
      </c>
      <c r="B49" s="313" t="str">
        <f ca="1">IFERROR(__xludf.DUMMYFUNCTION("""COMPUTED_VALUE"""),"Natividade")</f>
        <v>Natividade</v>
      </c>
      <c r="C49" s="314" t="str">
        <f ca="1">IFERROR(__xludf.DUMMYFUNCTION("""COMPUTED_VALUE"""),"ASSOC. NOSSA SENHORA NATIVIDADE COL. AGRÍCOLA")</f>
        <v>ASSOC. NOSSA SENHORA NATIVIDADE COL. AGRÍCOLA</v>
      </c>
      <c r="D49" s="315" t="str">
        <f ca="1">IFERROR(__xludf.DUMMYFUNCTION("""COMPUTED_VALUE"""),"03758716000140")</f>
        <v>03758716000140</v>
      </c>
      <c r="E49" s="315" t="str">
        <f ca="1">IFERROR(__xludf.DUMMYFUNCTION("""COMPUTED_VALUE"""),"001")</f>
        <v>001</v>
      </c>
      <c r="F49" s="315" t="str">
        <f ca="1">IFERROR(__xludf.DUMMYFUNCTION("""COMPUTED_VALUE"""),"3980")</f>
        <v>3980</v>
      </c>
      <c r="G49" s="313" t="str">
        <f ca="1">IFERROR(__xludf.DUMMYFUNCTION("""COMPUTED_VALUE"""),"282782")</f>
        <v>282782</v>
      </c>
      <c r="H49" s="314" t="str">
        <f ca="1">IFERROR(__xludf.DUMMYFUNCTION("""COMPUTED_VALUE"""),"ENS MEDIO JOVEM AÇÃO")</f>
        <v>ENS MEDIO JOVEM AÇÃO</v>
      </c>
      <c r="I49" s="316">
        <f ca="1">IFERROR(__xludf.DUMMYFUNCTION("""COMPUTED_VALUE"""),17973.8)</f>
        <v>17973.8</v>
      </c>
    </row>
    <row r="50" spans="1:9" ht="22.5" customHeight="1">
      <c r="A50" s="313" t="str">
        <f ca="1">IFERROR(__xludf.DUMMYFUNCTION("""COMPUTED_VALUE"""),"Porto Nacional")</f>
        <v>Porto Nacional</v>
      </c>
      <c r="B50" s="313" t="str">
        <f ca="1">IFERROR(__xludf.DUMMYFUNCTION("""COMPUTED_VALUE"""),"Pindorama do Tocantins")</f>
        <v>Pindorama do Tocantins</v>
      </c>
      <c r="C50" s="314" t="str">
        <f ca="1">IFERROR(__xludf.DUMMYFUNCTION("""COMPUTED_VALUE"""),"A.A. DO COL. EST. MANOEL DOS SANTOS ROSAL")</f>
        <v>A.A. DO COL. EST. MANOEL DOS SANTOS ROSAL</v>
      </c>
      <c r="D50" s="315" t="str">
        <f ca="1">IFERROR(__xludf.DUMMYFUNCTION("""COMPUTED_VALUE"""),"01034136000185")</f>
        <v>01034136000185</v>
      </c>
      <c r="E50" s="315" t="str">
        <f ca="1">IFERROR(__xludf.DUMMYFUNCTION("""COMPUTED_VALUE"""),"001")</f>
        <v>001</v>
      </c>
      <c r="F50" s="315" t="str">
        <f ca="1">IFERROR(__xludf.DUMMYFUNCTION("""COMPUTED_VALUE"""),"1117")</f>
        <v>1117</v>
      </c>
      <c r="G50" s="313" t="str">
        <f ca="1">IFERROR(__xludf.DUMMYFUNCTION("""COMPUTED_VALUE"""),"312991")</f>
        <v>312991</v>
      </c>
      <c r="H50" s="314" t="str">
        <f ca="1">IFERROR(__xludf.DUMMYFUNCTION("""COMPUTED_VALUE"""),"ENS MEDIO JOVEM AÇÃO")</f>
        <v>ENS MEDIO JOVEM AÇÃO</v>
      </c>
      <c r="I50" s="316">
        <f ca="1">IFERROR(__xludf.DUMMYFUNCTION("""COMPUTED_VALUE"""),14830.4)</f>
        <v>14830.4</v>
      </c>
    </row>
    <row r="51" spans="1:9" ht="22.5" customHeight="1">
      <c r="A51" s="313" t="str">
        <f ca="1">IFERROR(__xludf.DUMMYFUNCTION("""COMPUTED_VALUE"""),"Porto Nacional")</f>
        <v>Porto Nacional</v>
      </c>
      <c r="B51" s="313" t="str">
        <f ca="1">IFERROR(__xludf.DUMMYFUNCTION("""COMPUTED_VALUE"""),"Pindorama do Tocantins")</f>
        <v>Pindorama do Tocantins</v>
      </c>
      <c r="C51" s="314" t="str">
        <f ca="1">IFERROR(__xludf.DUMMYFUNCTION("""COMPUTED_VALUE"""),"A.A. DO COL. EST. MANOEL DOS SANTOS ROSAL")</f>
        <v>A.A. DO COL. EST. MANOEL DOS SANTOS ROSAL</v>
      </c>
      <c r="D51" s="315" t="str">
        <f ca="1">IFERROR(__xludf.DUMMYFUNCTION("""COMPUTED_VALUE"""),"01034136000185")</f>
        <v>01034136000185</v>
      </c>
      <c r="E51" s="315" t="str">
        <f ca="1">IFERROR(__xludf.DUMMYFUNCTION("""COMPUTED_VALUE"""),"001")</f>
        <v>001</v>
      </c>
      <c r="F51" s="315" t="str">
        <f ca="1">IFERROR(__xludf.DUMMYFUNCTION("""COMPUTED_VALUE"""),"1117")</f>
        <v>1117</v>
      </c>
      <c r="G51" s="313" t="str">
        <f ca="1">IFERROR(__xludf.DUMMYFUNCTION("""COMPUTED_VALUE"""),"312991")</f>
        <v>312991</v>
      </c>
      <c r="H51" s="314" t="str">
        <f ca="1">IFERROR(__xludf.DUMMYFUNCTION("""COMPUTED_VALUE"""),"SERVIDORES JOVEM AÇÃO")</f>
        <v>SERVIDORES JOVEM AÇÃO</v>
      </c>
      <c r="I51" s="316">
        <f ca="1">IFERROR(__xludf.DUMMYFUNCTION("""COMPUTED_VALUE"""),1447.19999999999)</f>
        <v>1447.19999999999</v>
      </c>
    </row>
    <row r="52" spans="1:9" ht="22.5" customHeight="1">
      <c r="A52" s="313" t="str">
        <f ca="1">IFERROR(__xludf.DUMMYFUNCTION("""COMPUTED_VALUE"""),"Porto Nacional")</f>
        <v>Porto Nacional</v>
      </c>
      <c r="B52" s="313" t="str">
        <f ca="1">IFERROR(__xludf.DUMMYFUNCTION("""COMPUTED_VALUE"""),"Porto Nacional")</f>
        <v>Porto Nacional</v>
      </c>
      <c r="C52" s="314" t="str">
        <f ca="1">IFERROR(__xludf.DUMMYFUNCTION("""COMPUTED_VALUE"""),"ASSOC. DE APOIO AO CEM FELIX CAMOA I")</f>
        <v>ASSOC. DE APOIO AO CEM FELIX CAMOA I</v>
      </c>
      <c r="D52" s="315" t="str">
        <f ca="1">IFERROR(__xludf.DUMMYFUNCTION("""COMPUTED_VALUE"""),"01112476000187")</f>
        <v>01112476000187</v>
      </c>
      <c r="E52" s="315" t="str">
        <f ca="1">IFERROR(__xludf.DUMMYFUNCTION("""COMPUTED_VALUE"""),"104")</f>
        <v>104</v>
      </c>
      <c r="F52" s="315" t="str">
        <f ca="1">IFERROR(__xludf.DUMMYFUNCTION("""COMPUTED_VALUE"""),"1829")</f>
        <v>1829</v>
      </c>
      <c r="G52" s="313" t="str">
        <f ca="1">IFERROR(__xludf.DUMMYFUNCTION("""COMPUTED_VALUE"""),"3050011")</f>
        <v>3050011</v>
      </c>
      <c r="H52" s="314" t="str">
        <f ca="1">IFERROR(__xludf.DUMMYFUNCTION("""COMPUTED_VALUE"""),"ENS MEDIO JOVEM AÇÃO")</f>
        <v>ENS MEDIO JOVEM AÇÃO</v>
      </c>
      <c r="I52" s="316">
        <f ca="1">IFERROR(__xludf.DUMMYFUNCTION("""COMPUTED_VALUE"""),13057.1999999999)</f>
        <v>13057.199999999901</v>
      </c>
    </row>
    <row r="53" spans="1:9" ht="22.5" customHeight="1">
      <c r="A53" s="313" t="str">
        <f ca="1">IFERROR(__xludf.DUMMYFUNCTION("""COMPUTED_VALUE"""),"Porto Nacional")</f>
        <v>Porto Nacional</v>
      </c>
      <c r="B53" s="313" t="str">
        <f ca="1">IFERROR(__xludf.DUMMYFUNCTION("""COMPUTED_VALUE"""),"Porto Nacional")</f>
        <v>Porto Nacional</v>
      </c>
      <c r="C53" s="314" t="str">
        <f ca="1">IFERROR(__xludf.DUMMYFUNCTION("""COMPUTED_VALUE"""),"ASSOC. DE APOIO AO CEM FELIX CAMOA I")</f>
        <v>ASSOC. DE APOIO AO CEM FELIX CAMOA I</v>
      </c>
      <c r="D53" s="315" t="str">
        <f ca="1">IFERROR(__xludf.DUMMYFUNCTION("""COMPUTED_VALUE"""),"01112476000187")</f>
        <v>01112476000187</v>
      </c>
      <c r="E53" s="315" t="str">
        <f ca="1">IFERROR(__xludf.DUMMYFUNCTION("""COMPUTED_VALUE"""),"104")</f>
        <v>104</v>
      </c>
      <c r="F53" s="315" t="str">
        <f ca="1">IFERROR(__xludf.DUMMYFUNCTION("""COMPUTED_VALUE"""),"1829")</f>
        <v>1829</v>
      </c>
      <c r="G53" s="313" t="str">
        <f ca="1">IFERROR(__xludf.DUMMYFUNCTION("""COMPUTED_VALUE"""),"3050011")</f>
        <v>3050011</v>
      </c>
      <c r="H53" s="314" t="str">
        <f ca="1">IFERROR(__xludf.DUMMYFUNCTION("""COMPUTED_VALUE"""),"SERVIDORES JOVEM AÇÃO")</f>
        <v>SERVIDORES JOVEM AÇÃO</v>
      </c>
      <c r="I53" s="316">
        <f ca="1">IFERROR(__xludf.DUMMYFUNCTION("""COMPUTED_VALUE"""),1326.6)</f>
        <v>1326.6</v>
      </c>
    </row>
    <row r="54" spans="1:9" ht="22.5" customHeight="1">
      <c r="A54" s="313" t="str">
        <f ca="1">IFERROR(__xludf.DUMMYFUNCTION("""COMPUTED_VALUE"""),"Tocantinópolis")</f>
        <v>Tocantinópolis</v>
      </c>
      <c r="B54" s="313" t="str">
        <f ca="1">IFERROR(__xludf.DUMMYFUNCTION("""COMPUTED_VALUE"""),"Aguiarnopolis")</f>
        <v>Aguiarnopolis</v>
      </c>
      <c r="C54" s="314" t="str">
        <f ca="1">IFERROR(__xludf.DUMMYFUNCTION("""COMPUTED_VALUE"""),"A.A. DA ESC. EST. NAZARÉ NUNES DA SILVA (AGUIARNOPOLIS)")</f>
        <v>A.A. DA ESC. EST. NAZARÉ NUNES DA SILVA (AGUIARNOPOLIS)</v>
      </c>
      <c r="D54" s="315" t="str">
        <f ca="1">IFERROR(__xludf.DUMMYFUNCTION("""COMPUTED_VALUE"""),"01213519000110")</f>
        <v>01213519000110</v>
      </c>
      <c r="E54" s="315" t="str">
        <f ca="1">IFERROR(__xludf.DUMMYFUNCTION("""COMPUTED_VALUE"""),"001")</f>
        <v>001</v>
      </c>
      <c r="F54" s="315" t="str">
        <f ca="1">IFERROR(__xludf.DUMMYFUNCTION("""COMPUTED_VALUE"""),"0810")</f>
        <v>0810</v>
      </c>
      <c r="G54" s="313" t="str">
        <f ca="1">IFERROR(__xludf.DUMMYFUNCTION("""COMPUTED_VALUE"""),"217727")</f>
        <v>217727</v>
      </c>
      <c r="H54" s="314" t="str">
        <f ca="1">IFERROR(__xludf.DUMMYFUNCTION("""COMPUTED_VALUE"""),"ENS MEDIO JOVEM AÇÃO")</f>
        <v>ENS MEDIO JOVEM AÇÃO</v>
      </c>
      <c r="I54" s="316">
        <f ca="1">IFERROR(__xludf.DUMMYFUNCTION("""COMPUTED_VALUE"""),17651.3999999999)</f>
        <v>17651.3999999999</v>
      </c>
    </row>
    <row r="55" spans="1:9" ht="22.5" customHeight="1">
      <c r="A55" s="313" t="str">
        <f ca="1">IFERROR(__xludf.DUMMYFUNCTION("""COMPUTED_VALUE"""),"Tocantinópolis")</f>
        <v>Tocantinópolis</v>
      </c>
      <c r="B55" s="313" t="str">
        <f ca="1">IFERROR(__xludf.DUMMYFUNCTION("""COMPUTED_VALUE"""),"Aguiarnopolis")</f>
        <v>Aguiarnopolis</v>
      </c>
      <c r="C55" s="314" t="str">
        <f ca="1">IFERROR(__xludf.DUMMYFUNCTION("""COMPUTED_VALUE"""),"A.A. DA ESC. EST. NAZARÉ NUNES DA SILVA (AGUIARNOPOLIS)")</f>
        <v>A.A. DA ESC. EST. NAZARÉ NUNES DA SILVA (AGUIARNOPOLIS)</v>
      </c>
      <c r="D55" s="315" t="str">
        <f ca="1">IFERROR(__xludf.DUMMYFUNCTION("""COMPUTED_VALUE"""),"01213519000110")</f>
        <v>01213519000110</v>
      </c>
      <c r="E55" s="315" t="str">
        <f ca="1">IFERROR(__xludf.DUMMYFUNCTION("""COMPUTED_VALUE"""),"001")</f>
        <v>001</v>
      </c>
      <c r="F55" s="315" t="str">
        <f ca="1">IFERROR(__xludf.DUMMYFUNCTION("""COMPUTED_VALUE"""),"0810")</f>
        <v>0810</v>
      </c>
      <c r="G55" s="313" t="str">
        <f ca="1">IFERROR(__xludf.DUMMYFUNCTION("""COMPUTED_VALUE"""),"217727")</f>
        <v>217727</v>
      </c>
      <c r="H55" s="314" t="str">
        <f ca="1">IFERROR(__xludf.DUMMYFUNCTION("""COMPUTED_VALUE"""),"SERVIDORES JOVEM AÇÃO")</f>
        <v>SERVIDORES JOVEM AÇÃO</v>
      </c>
      <c r="I55" s="316">
        <f ca="1">IFERROR(__xludf.DUMMYFUNCTION("""COMPUTED_VALUE"""),1809)</f>
        <v>1809</v>
      </c>
    </row>
    <row r="56" spans="1:9" ht="22.5" customHeight="1">
      <c r="A56" s="313" t="str">
        <f ca="1">IFERROR(__xludf.DUMMYFUNCTION("""COMPUTED_VALUE"""),"Tocantinópolis")</f>
        <v>Tocantinópolis</v>
      </c>
      <c r="B56" s="313" t="str">
        <f ca="1">IFERROR(__xludf.DUMMYFUNCTION("""COMPUTED_VALUE"""),"Tocantinopolis")</f>
        <v>Tocantinopolis</v>
      </c>
      <c r="C56" s="314" t="str">
        <f ca="1">IFERROR(__xludf.DUMMYFUNCTION("""COMPUTED_VALUE"""),"ASSOC.PAIS E MESTRES COL. EST. DEP.DARCY MARINHO")</f>
        <v>ASSOC.PAIS E MESTRES COL. EST. DEP.DARCY MARINHO</v>
      </c>
      <c r="D56" s="315" t="str">
        <f ca="1">IFERROR(__xludf.DUMMYFUNCTION("""COMPUTED_VALUE"""),"01230236000187")</f>
        <v>01230236000187</v>
      </c>
      <c r="E56" s="315" t="str">
        <f ca="1">IFERROR(__xludf.DUMMYFUNCTION("""COMPUTED_VALUE"""),"001")</f>
        <v>001</v>
      </c>
      <c r="F56" s="315" t="str">
        <f ca="1">IFERROR(__xludf.DUMMYFUNCTION("""COMPUTED_VALUE"""),"0810")</f>
        <v>0810</v>
      </c>
      <c r="G56" s="313" t="str">
        <f ca="1">IFERROR(__xludf.DUMMYFUNCTION("""COMPUTED_VALUE"""),"297410")</f>
        <v>297410</v>
      </c>
      <c r="H56" s="314" t="str">
        <f ca="1">IFERROR(__xludf.DUMMYFUNCTION("""COMPUTED_VALUE"""),"ENS MEDIO JOVEM AÇÃO")</f>
        <v>ENS MEDIO JOVEM AÇÃO</v>
      </c>
      <c r="I56" s="316">
        <f ca="1">IFERROR(__xludf.DUMMYFUNCTION("""COMPUTED_VALUE"""),13943.8)</f>
        <v>13943.8</v>
      </c>
    </row>
    <row r="57" spans="1:9" ht="22.5" customHeight="1">
      <c r="A57" s="317" t="str">
        <f ca="1">IFERROR(__xludf.DUMMYFUNCTION("""COMPUTED_VALUE"""),"Tocantinópolis")</f>
        <v>Tocantinópolis</v>
      </c>
      <c r="B57" s="317" t="str">
        <f ca="1">IFERROR(__xludf.DUMMYFUNCTION("""COMPUTED_VALUE"""),"Tocantinopolis")</f>
        <v>Tocantinopolis</v>
      </c>
      <c r="C57" s="318" t="str">
        <f ca="1">IFERROR(__xludf.DUMMYFUNCTION("""COMPUTED_VALUE"""),"ASSOC.PAIS E MESTRES COL. EST. DEP.DARCY MARINHO")</f>
        <v>ASSOC.PAIS E MESTRES COL. EST. DEP.DARCY MARINHO</v>
      </c>
      <c r="D57" s="319" t="str">
        <f ca="1">IFERROR(__xludf.DUMMYFUNCTION("""COMPUTED_VALUE"""),"01230236000187")</f>
        <v>01230236000187</v>
      </c>
      <c r="E57" s="319" t="str">
        <f ca="1">IFERROR(__xludf.DUMMYFUNCTION("""COMPUTED_VALUE"""),"001")</f>
        <v>001</v>
      </c>
      <c r="F57" s="319" t="str">
        <f ca="1">IFERROR(__xludf.DUMMYFUNCTION("""COMPUTED_VALUE"""),"0810")</f>
        <v>0810</v>
      </c>
      <c r="G57" s="317" t="str">
        <f ca="1">IFERROR(__xludf.DUMMYFUNCTION("""COMPUTED_VALUE"""),"297410")</f>
        <v>297410</v>
      </c>
      <c r="H57" s="318" t="str">
        <f ca="1">IFERROR(__xludf.DUMMYFUNCTION("""COMPUTED_VALUE"""),"SERVIDORES JOVEM AÇÃO")</f>
        <v>SERVIDORES JOVEM AÇÃO</v>
      </c>
      <c r="I57" s="320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5"/>
      <c r="B1" s="363"/>
      <c r="C1" s="363"/>
      <c r="D1" s="3" t="e">
        <f>SUBSTITUTE(H4,".",",")</f>
        <v>#REF!</v>
      </c>
      <c r="E1" s="4"/>
      <c r="F1" s="161"/>
      <c r="G1" s="161"/>
      <c r="H1" s="161" t="e">
        <f t="shared" ref="H1:T1" si="0">SUBSTITUTE(H4,".",",")</f>
        <v>#REF!</v>
      </c>
      <c r="I1" s="161" t="e">
        <f t="shared" si="0"/>
        <v>#REF!</v>
      </c>
      <c r="J1" s="161" t="e">
        <f t="shared" si="0"/>
        <v>#REF!</v>
      </c>
      <c r="K1" s="161" t="e">
        <f t="shared" si="0"/>
        <v>#REF!</v>
      </c>
      <c r="L1" s="161" t="e">
        <f t="shared" si="0"/>
        <v>#REF!</v>
      </c>
      <c r="M1" s="161" t="e">
        <f t="shared" si="0"/>
        <v>#REF!</v>
      </c>
      <c r="N1" s="161" t="e">
        <f t="shared" si="0"/>
        <v>#REF!</v>
      </c>
      <c r="O1" s="161" t="e">
        <f t="shared" si="0"/>
        <v>#REF!</v>
      </c>
      <c r="P1" s="161" t="e">
        <f t="shared" si="0"/>
        <v>#REF!</v>
      </c>
      <c r="Q1" s="161" t="e">
        <f t="shared" si="0"/>
        <v>#REF!</v>
      </c>
      <c r="R1" s="161" t="e">
        <f t="shared" si="0"/>
        <v>#REF!</v>
      </c>
      <c r="S1" s="161" t="e">
        <f t="shared" si="0"/>
        <v>#REF!</v>
      </c>
      <c r="T1" s="161" t="e">
        <f t="shared" si="0"/>
        <v>#REF!</v>
      </c>
      <c r="U1" s="62"/>
      <c r="V1" s="62"/>
      <c r="W1" s="62"/>
    </row>
    <row r="2" spans="1:25" ht="12.75">
      <c r="A2" s="363" t="e">
        <f>"select K * " &amp; H4 &amp; ", L * " &amp; I$4 &amp; ", M * " &amp; J$4 &amp; " where AA='FE'"</f>
        <v>#REF!</v>
      </c>
      <c r="B2" s="363"/>
      <c r="C2" s="363"/>
      <c r="D2" s="363"/>
      <c r="E2" s="363"/>
      <c r="F2" s="363"/>
      <c r="G2" s="363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2750.4</v>
      </c>
      <c r="J3" s="8">
        <f t="shared" ca="1" si="1"/>
        <v>602200</v>
      </c>
      <c r="K3" s="8">
        <f t="shared" ca="1" si="1"/>
        <v>263313.99999999977</v>
      </c>
      <c r="L3" s="8">
        <f t="shared" ca="1" si="1"/>
        <v>12986</v>
      </c>
      <c r="M3" s="8">
        <f t="shared" ca="1" si="1"/>
        <v>0</v>
      </c>
      <c r="N3" s="8">
        <f t="shared" ca="1" si="1"/>
        <v>0</v>
      </c>
      <c r="O3" s="8">
        <f t="shared" ca="1" si="1"/>
        <v>101307.99999999987</v>
      </c>
      <c r="P3" s="8">
        <f t="shared" ca="1" si="1"/>
        <v>68190.399999999892</v>
      </c>
      <c r="Q3" s="8">
        <f t="shared" ca="1" si="1"/>
        <v>522620</v>
      </c>
      <c r="R3" s="8">
        <f t="shared" ca="1" si="1"/>
        <v>39894.399999999965</v>
      </c>
      <c r="S3" s="8">
        <f t="shared" ca="1" si="1"/>
        <v>330444.79999999993</v>
      </c>
      <c r="T3" s="8">
        <f t="shared" ca="1" si="1"/>
        <v>63607.399999999885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e">
        <f t="shared" ref="H4:T4" si="2">VLOOKUP(H5,iParam,8,0)</f>
        <v>#REF!</v>
      </c>
      <c r="I4" s="10" t="e">
        <f t="shared" si="2"/>
        <v>#REF!</v>
      </c>
      <c r="J4" s="10" t="e">
        <f t="shared" si="2"/>
        <v>#REF!</v>
      </c>
      <c r="K4" s="10" t="e">
        <f t="shared" si="2"/>
        <v>#REF!</v>
      </c>
      <c r="L4" s="10" t="e">
        <f t="shared" si="2"/>
        <v>#REF!</v>
      </c>
      <c r="M4" s="10" t="e">
        <f t="shared" si="2"/>
        <v>#REF!</v>
      </c>
      <c r="N4" s="10" t="e">
        <f t="shared" si="2"/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0" t="e">
        <f t="shared" si="2"/>
        <v>#REF!</v>
      </c>
      <c r="S4" s="10" t="e">
        <f t="shared" si="2"/>
        <v>#REF!</v>
      </c>
      <c r="T4" s="10" t="e">
        <f t="shared" si="2"/>
        <v>#REF!</v>
      </c>
      <c r="U4" s="162"/>
      <c r="V4" s="163"/>
      <c r="W4" s="62"/>
    </row>
    <row r="5" spans="1:25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127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B,C"",1)"),"")</f>
        <v/>
      </c>
      <c r="B6" s="31" t="str">
        <f ca="1">IFERROR(__xludf.DUMMYFUNCTION("""COMPUTED_VALUE"""),"")</f>
        <v/>
      </c>
      <c r="C6" s="31" t="str">
        <f ca="1">IFERROR(__xludf.DUMMYFUNCTION("""COMPUTED_VALUE"""),"")</f>
        <v/>
      </c>
      <c r="D6" s="32" t="str">
        <f ca="1">IFERROR(__xludf.DUMMYFUNCTION("""COMPUTED_VALUE"""),"")</f>
        <v/>
      </c>
      <c r="E6" s="32" t="str">
        <f ca="1">IFERROR(__xludf.DUMMYFUNCTION("""COMPUTED_VALUE"""),"")</f>
        <v/>
      </c>
      <c r="F6" s="31" t="str">
        <f ca="1">IFERROR(__xludf.DUMMYFUNCTION("""COMPUTED_VALUE"""),"")</f>
        <v/>
      </c>
      <c r="G6" s="31" t="str">
        <f ca="1">IFERROR(__xludf.DUMMYFUNCTION("""COMPUTED_VALUE"""),"")</f>
        <v/>
      </c>
      <c r="H6" s="31" t="str">
        <f ca="1">IFERROR(__xludf.DUMMYFUNCTION("""COMPUTED_VALUE"""),"product(27.4())")</f>
        <v>product(27.4())</v>
      </c>
      <c r="I6" s="31" t="str">
        <f ca="1">IFERROR(__xludf.DUMMYFUNCTION("""COMPUTED_VALUE"""),"product(14.4())")</f>
        <v>product(14.4())</v>
      </c>
      <c r="J6" s="31" t="str">
        <f ca="1">IFERROR(__xludf.DUMMYFUNCTION("""COMPUTED_VALUE"""),"product(10())")</f>
        <v>product(10())</v>
      </c>
      <c r="K6" s="31" t="str">
        <f ca="1">IFERROR(__xludf.DUMMYFUNCTION("""COMPUTED_VALUE"""),"product(27.4())")</f>
        <v>product(27.4())</v>
      </c>
      <c r="L6" s="31" t="str">
        <f ca="1">IFERROR(__xludf.DUMMYFUNCTION("""COMPUTED_VALUE"""),"product(17.2())")</f>
        <v>product(17.2())</v>
      </c>
      <c r="M6" s="31" t="str">
        <f ca="1">IFERROR(__xludf.DUMMYFUNCTION("""COMPUTED_VALUE"""),"product(27.4())")</f>
        <v>product(27.4())</v>
      </c>
      <c r="N6" s="31" t="str">
        <f ca="1">IFERROR(__xludf.DUMMYFUNCTION("""COMPUTED_VALUE"""),"product(27.4())")</f>
        <v>product(27.4())</v>
      </c>
      <c r="O6" s="31" t="str">
        <f ca="1">IFERROR(__xludf.DUMMYFUNCTION("""COMPUTED_VALUE"""),"product(17.2())")</f>
        <v>product(17.2())</v>
      </c>
      <c r="P6" s="31" t="str">
        <f ca="1">IFERROR(__xludf.DUMMYFUNCTION("""COMPUTED_VALUE"""),"product(13.6())")</f>
        <v>product(13.6())</v>
      </c>
      <c r="Q6" s="31" t="str">
        <f ca="1">IFERROR(__xludf.DUMMYFUNCTION("""COMPUTED_VALUE"""),"product(10())")</f>
        <v>product(10())</v>
      </c>
      <c r="R6" s="31" t="str">
        <f ca="1">IFERROR(__xludf.DUMMYFUNCTION("""COMPUTED_VALUE"""),"product(27.4())")</f>
        <v>product(27.4())</v>
      </c>
      <c r="S6" s="31" t="str">
        <f ca="1">IFERROR(__xludf.DUMMYFUNCTION("""COMPUTED_VALUE"""),"product(51.2())")</f>
        <v>product(51.2())</v>
      </c>
      <c r="T6" s="31" t="str">
        <f ca="1">IFERROR(__xludf.DUMMYFUNCTION("""COMPUTED_VALUE"""),"product(8.2())")</f>
        <v>product(8.2())</v>
      </c>
      <c r="U6" s="164"/>
      <c r="V6" s="164"/>
      <c r="W6" s="164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65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65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IFERROR(__xludf.DUMMYFUNCTION("""COMPUTED_VALUE"""),3370)</f>
        <v>3370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IFERROR(__xludf.DUMMYFUNCTION("""COMPUTED_VALUE"""),204.999999999999)</f>
        <v>204.99999999999901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65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IFERROR(__xludf.DUMMYFUNCTION("""COMPUTED_VALUE"""),510)</f>
        <v>510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IFERROR(__xludf.DUMMYFUNCTION("""COMPUTED_VALUE"""),350)</f>
        <v>350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65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IFERROR(__xludf.DUMMYFUNCTION("""COMPUTED_VALUE"""),3350)</f>
        <v>3350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IFERROR(__xludf.DUMMYFUNCTION("""COMPUTED_VALUE"""),272)</f>
        <v>272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1" t="str">
        <f ca="1">IFERROR(__xludf.DUMMYFUNCTION("""COMPUTED_VALUE"""),"AS. DE A. A ESC.PAROQUIAL SAO MIGUEL")</f>
        <v>AS. DE A. A ESC.PAROQUIAL SAO MIGUEL</v>
      </c>
      <c r="D11" s="165" t="str">
        <f ca="1">IFERROR(__xludf.DUMMYFUNCTION("""COMPUTED_VALUE"""),"01133698000186")</f>
        <v>01133698000186</v>
      </c>
      <c r="E11" s="7" t="str">
        <f ca="1">IFERROR(__xludf.DUMMYFUNCTION("""COMPUTED_VALUE"""),"001")</f>
        <v>001</v>
      </c>
      <c r="F11" s="8" t="str">
        <f ca="1">IFERROR(__xludf.DUMMYFUNCTION("""COMPUTED_VALUE"""),"3773")</f>
        <v>3773</v>
      </c>
      <c r="G11" s="8" t="str">
        <f ca="1">IFERROR(__xludf.DUMMYFUNCTION("""COMPUTED_VALUE"""),"330035")</f>
        <v>330035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IFERROR(__xludf.DUMMYFUNCTION("""COMPUTED_VALUE"""),2570)</f>
        <v>2570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IFERROR(__xludf.DUMMYFUNCTION("""COMPUTED_VALUE"""),149.6)</f>
        <v>149.6</v>
      </c>
      <c r="Q11" s="8">
        <f ca="1">IFERROR(__xludf.DUMMYFUNCTION("""COMPUTED_VALUE"""),0)</f>
        <v>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IFERROR(__xludf.DUMMYFUNCTION("""COMPUTED_VALUE"""),"ASSOCIAÇÃO DE APOIO DO COL. EST.GETULIO VARGAS")</f>
        <v>ASSOCIAÇÃO DE APOIO DO COL. EST.GETULIO VARGAS</v>
      </c>
      <c r="D12" s="165" t="str">
        <f ca="1">IFERROR(__xludf.DUMMYFUNCTION("""COMPUTED_VALUE"""),"01918914000107")</f>
        <v>01918914000107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IFERROR(__xludf.DUMMYFUNCTION("""COMPUTED_VALUE"""),"83224")</f>
        <v>83224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IFERROR(__xludf.DUMMYFUNCTION("""COMPUTED_VALUE"""),1560)</f>
        <v>1560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IFERROR(__xludf.DUMMYFUNCTION("""COMPUTED_VALUE"""),149.6)</f>
        <v>149.6</v>
      </c>
      <c r="Q12" s="8">
        <f ca="1">IFERROR(__xludf.DUMMYFUNCTION("""COMPUTED_VALUE"""),1100)</f>
        <v>1100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1" t="str">
        <f ca="1">IFERROR(__xludf.DUMMYFUNCTION("""COMPUTED_VALUE"""),"A.A.DA ESCOLA EST. JOSÉ DOMINGOS CARVALHO BARBOSA")</f>
        <v>A.A.DA ESCOLA EST. JOSÉ DOMINGOS CARVALHO BARBOSA</v>
      </c>
      <c r="D13" s="165" t="str">
        <f ca="1">IFERROR(__xludf.DUMMYFUNCTION("""COMPUTED_VALUE"""),"43927472000105")</f>
        <v>43927472000105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IFERROR(__xludf.DUMMYFUNCTION("""COMPUTED_VALUE"""),"1098985")</f>
        <v>1098985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IFERROR(__xludf.DUMMYFUNCTION("""COMPUTED_VALUE"""),0)</f>
        <v>0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DAS ESCOLAS ISOLADAS E REUNIDAS DA DRE ARAGUAINA")</f>
        <v>A.A. DAS ESCOLAS ISOLADAS E REUNIDAS DA DRE ARAGUAINA</v>
      </c>
      <c r="D14" s="165" t="str">
        <f ca="1">IFERROR(__xludf.DUMMYFUNCTION("""COMPUTED_VALUE"""),"02629601000193")</f>
        <v>02629601000193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IFERROR(__xludf.DUMMYFUNCTION("""COMPUTED_VALUE"""),"352403")</f>
        <v>352403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IFERROR(__xludf.DUMMYFUNCTION("""COMPUTED_VALUE"""),0)</f>
        <v>0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IFERROR(__xludf.DUMMYFUNCTION("""COMPUTED_VALUE"""),8565.6)</f>
        <v>8565.6</v>
      </c>
      <c r="P14" s="8">
        <f ca="1">IFERROR(__xludf.DUMMYFUNCTION("""COMPUTED_VALUE"""),0)</f>
        <v>0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/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IFERROR(__xludf.DUMMYFUNCTION("""COMPUTED_VALUE"""),"A.A. DO CAIC JORGE HUMBERTO CAMARGO")</f>
        <v>A.A. DO CAIC JORGE HUMBERTO CAMARGO</v>
      </c>
      <c r="D15" s="165" t="str">
        <f ca="1">IFERROR(__xludf.DUMMYFUNCTION("""COMPUTED_VALUE"""),"01071395000186")</f>
        <v>01071395000186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IFERROR(__xludf.DUMMYFUNCTION("""COMPUTED_VALUE"""),"55099X")</f>
        <v>55099X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IFERROR(__xludf.DUMMYFUNCTION("""COMPUTED_VALUE"""),19317)</f>
        <v>19317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IFERROR(__xludf.DUMMYFUNCTION("""COMPUTED_VALUE"""),285.599999999999)</f>
        <v>285.599999999999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IFERROR(__xludf.DUMMYFUNCTION("""COMPUTED_VALUE"""),0)</f>
        <v>0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A. COL. EST. BENJAMIM JOSÉ DE ALMEIDA")</f>
        <v>ASSOC. A. COL. EST. BENJAMIM JOSÉ DE ALMEIDA</v>
      </c>
      <c r="D16" s="165" t="str">
        <f ca="1">IFERROR(__xludf.DUMMYFUNCTION("""COMPUTED_VALUE"""),"01136023000190")</f>
        <v>01136023000190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IFERROR(__xludf.DUMMYFUNCTION("""COMPUTED_VALUE"""),"55149X")</f>
        <v>55149X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IFERROR(__xludf.DUMMYFUNCTION("""COMPUTED_VALUE"""),163.2)</f>
        <v>163.19999999999999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IFERROR(__xludf.DUMMYFUNCTION("""COMPUTED_VALUE"""),14284.8)</f>
        <v>14284.8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DE PAIS, ALUNOS E MESTRES COL. EST. POLIVALENTE CASTELO BRANCO")</f>
        <v>ASSOC. DE PAIS, ALUNOS E MESTRES COL. EST. POLIVALENTE CASTELO BRANCO</v>
      </c>
      <c r="D17" s="165" t="str">
        <f ca="1">IFERROR(__xludf.DUMMYFUNCTION("""COMPUTED_VALUE"""),"00918900000112")</f>
        <v>00918900000112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IFERROR(__xludf.DUMMYFUNCTION("""COMPUTED_VALUE"""),"12599")</f>
        <v>12599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IFERROR(__xludf.DUMMYFUNCTION("""COMPUTED_VALUE"""),176.799999999999)</f>
        <v>176.79999999999899</v>
      </c>
      <c r="Q17" s="8">
        <f ca="1">IFERROR(__xludf.DUMMYFUNCTION("""COMPUTED_VALUE"""),0)</f>
        <v>0</v>
      </c>
      <c r="R17" s="8">
        <f ca="1">IFERROR(__xludf.DUMMYFUNCTION("""COMPUTED_VALUE"""),0)</f>
        <v>0</v>
      </c>
      <c r="S17" s="8">
        <f ca="1">IFERROR(__xludf.DUMMYFUNCTION("""COMPUTED_VALUE"""),7475.2)</f>
        <v>7475.2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A.  DO COLÉGIO DA POLICIA MILITAR - UNIDADE III")</f>
        <v>ASSOC. A.  DO COLÉGIO DA POLICIA MILITAR - UNIDADE III</v>
      </c>
      <c r="D18" s="165" t="str">
        <f ca="1">IFERROR(__xludf.DUMMYFUNCTION("""COMPUTED_VALUE"""),"02480178000102")</f>
        <v>02480178000102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IFERROR(__xludf.DUMMYFUNCTION("""COMPUTED_VALUE"""),"552291")</f>
        <v>552291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IFERROR(__xludf.DUMMYFUNCTION("""COMPUTED_VALUE"""),0)</f>
        <v>0</v>
      </c>
      <c r="Q18" s="8">
        <f ca="1">IFERROR(__xludf.DUMMYFUNCTION("""COMPUTED_VALUE"""),8530)</f>
        <v>8530</v>
      </c>
      <c r="R18" s="8">
        <f ca="1">IFERROR(__xludf.DUMMYFUNCTION("""COMPUTED_VALUE"""),0)</f>
        <v>0</v>
      </c>
      <c r="S18" s="8">
        <f ca="1">IFERROR(__xludf.DUMMYFUNCTION("""COMPUTED_VALUE"""),0)</f>
        <v>0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IFERROR(__xludf.DUMMYFUNCTION("""COMPUTED_VALUE"""),"ASSOC. APOIO COL. EST. CEM PAULO FREIRE")</f>
        <v>ASSOC. APOIO COL. EST. CEM PAULO FREIRE</v>
      </c>
      <c r="D19" s="165" t="str">
        <f ca="1">IFERROR(__xludf.DUMMYFUNCTION("""COMPUTED_VALUE"""),"01738420000132")</f>
        <v>01738420000132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IFERROR(__xludf.DUMMYFUNCTION("""COMPUTED_VALUE"""),"551589")</f>
        <v>551589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IFERROR(__xludf.DUMMYFUNCTION("""COMPUTED_VALUE"""),0)</f>
        <v>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IFERROR(__xludf.DUMMYFUNCTION("""COMPUTED_VALUE"""),122.399999999999)</f>
        <v>122.399999999999</v>
      </c>
      <c r="Q19" s="8">
        <f ca="1">IFERROR(__xludf.DUMMYFUNCTION("""COMPUTED_VALUE"""),0)</f>
        <v>0</v>
      </c>
      <c r="R19" s="8">
        <f ca="1">IFERROR(__xludf.DUMMYFUNCTION("""COMPUTED_VALUE"""),0)</f>
        <v>0</v>
      </c>
      <c r="S19" s="8">
        <f ca="1">IFERROR(__xludf.DUMMYFUNCTION("""COMPUTED_VALUE"""),11929.6)</f>
        <v>11929.6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 APOIO DO COLEGIO DE APLICACAO")</f>
        <v>A. APOIO DO COLEGIO DE APLICACAO</v>
      </c>
      <c r="D20" s="165" t="str">
        <f ca="1">IFERROR(__xludf.DUMMYFUNCTION("""COMPUTED_VALUE"""),"01086986000127")</f>
        <v>01086986000127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IFERROR(__xludf.DUMMYFUNCTION("""COMPUTED_VALUE"""),"0465275")</f>
        <v>0465275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IFERROR(__xludf.DUMMYFUNCTION("""COMPUTED_VALUE"""),2690)</f>
        <v>2690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IFERROR(__xludf.DUMMYFUNCTION("""COMPUTED_VALUE"""),163.2)</f>
        <v>163.19999999999999</v>
      </c>
      <c r="Q20" s="8">
        <f ca="1">IFERROR(__xludf.DUMMYFUNCTION("""COMPUTED_VALUE"""),2670)</f>
        <v>2670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ADEMAR V. FERREIRA SOBRINHO")</f>
        <v>A.A. C.E. ADEMAR V. FERREIRA SOBRINHO</v>
      </c>
      <c r="D21" s="165" t="str">
        <f ca="1">IFERROR(__xludf.DUMMYFUNCTION("""COMPUTED_VALUE"""),"01143808000190")</f>
        <v>01143808000190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IFERROR(__xludf.DUMMYFUNCTION("""COMPUTED_VALUE"""),"0464244")</f>
        <v>0464244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IFERROR(__xludf.DUMMYFUNCTION("""COMPUTED_VALUE"""),4270)</f>
        <v>4270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IFERROR(__xludf.DUMMYFUNCTION("""COMPUTED_VALUE"""),272)</f>
        <v>272</v>
      </c>
      <c r="Q21" s="8">
        <f ca="1">IFERROR(__xludf.DUMMYFUNCTION("""COMPUTED_VALUE"""),0)</f>
        <v>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IFERROR(__xludf.DUMMYFUNCTION("""COMPUTED_VALUE"""),0)</f>
        <v>0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IFERROR(__xludf.DUMMYFUNCTION("""COMPUTED_VALUE"""),"A.A. C.E.  ADOLFO BEZERRA DE MENEZES")</f>
        <v>A.A. C.E.  ADOLFO BEZERRA DE MENEZES</v>
      </c>
      <c r="D22" s="165" t="str">
        <f ca="1">IFERROR(__xludf.DUMMYFUNCTION("""COMPUTED_VALUE"""),"01071435000190")</f>
        <v>01071435000190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IFERROR(__xludf.DUMMYFUNCTION("""COMPUTED_VALUE"""),"463426")</f>
        <v>463426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IFERROR(__xludf.DUMMYFUNCTION("""COMPUTED_VALUE"""),5320)</f>
        <v>5320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IFERROR(__xludf.DUMMYFUNCTION("""COMPUTED_VALUE"""),0)</f>
        <v>0</v>
      </c>
      <c r="Q22" s="8">
        <f ca="1">IFERROR(__xludf.DUMMYFUNCTION("""COMPUTED_VALUE"""),5020)</f>
        <v>5020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IFERROR(__xludf.DUMMYFUNCTION("""COMPUTED_VALUE"""),1623.6)</f>
        <v>1623.6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 APOIO ESCOLA EST. CAMPOS BRASIL")</f>
        <v>A. APOIO ESCOLA EST. CAMPOS BRASIL</v>
      </c>
      <c r="D23" s="165" t="str">
        <f ca="1">IFERROR(__xludf.DUMMYFUNCTION("""COMPUTED_VALUE"""),"01291177000157")</f>
        <v>01291177000157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IFERROR(__xludf.DUMMYFUNCTION("""COMPUTED_VALUE"""),"466093")</f>
        <v>466093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IFERROR(__xludf.DUMMYFUNCTION("""COMPUTED_VALUE"""),5510)</f>
        <v>5510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IFERROR(__xludf.DUMMYFUNCTION("""COMPUTED_VALUE"""),462.4)</f>
        <v>462.4</v>
      </c>
      <c r="Q23" s="8">
        <f ca="1">IFERROR(__xludf.DUMMYFUNCTION("""COMPUTED_VALUE"""),6090)</f>
        <v>6090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IFERROR(__xludf.DUMMYFUNCTION("""COMPUTED_VALUE"""),"A.A. COL. ESTADUAL GUILHERME DOURADO")</f>
        <v>A.A. COL. ESTADUAL GUILHERME DOURADO</v>
      </c>
      <c r="D24" s="165" t="str">
        <f ca="1">IFERROR(__xludf.DUMMYFUNCTION("""COMPUTED_VALUE"""),"01257074000170")</f>
        <v>01257074000170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IFERROR(__xludf.DUMMYFUNCTION("""COMPUTED_VALUE"""),"0068659")</f>
        <v>0068659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IFERROR(__xludf.DUMMYFUNCTION("""COMPUTED_VALUE"""),0)</f>
        <v>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IFERROR(__xludf.DUMMYFUNCTION("""COMPUTED_VALUE"""),136)</f>
        <v>136</v>
      </c>
      <c r="Q24" s="8">
        <f ca="1">IFERROR(__xludf.DUMMYFUNCTION("""COMPUTED_VALUE"""),15170)</f>
        <v>15170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IFERROR(__xludf.DUMMYFUNCTION("""COMPUTED_VALUE"""),"ASS. APOIO COL. EST. JARDIM PAULISTA")</f>
        <v>ASS. APOIO COL. EST. JARDIM PAULISTA</v>
      </c>
      <c r="D25" s="165" t="str">
        <f ca="1">IFERROR(__xludf.DUMMYFUNCTION("""COMPUTED_VALUE"""),"05502542000186")</f>
        <v>05502542000186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IFERROR(__xludf.DUMMYFUNCTION("""COMPUTED_VALUE"""),"243876")</f>
        <v>243876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IFERROR(__xludf.DUMMYFUNCTION("""COMPUTED_VALUE"""),4340)</f>
        <v>4340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IFERROR(__xludf.DUMMYFUNCTION("""COMPUTED_VALUE"""),204)</f>
        <v>204</v>
      </c>
      <c r="Q25" s="8">
        <f ca="1">IFERROR(__xludf.DUMMYFUNCTION("""COMPUTED_VALUE"""),4770)</f>
        <v>4770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IFERROR(__xludf.DUMMYFUNCTION("""COMPUTED_VALUE"""),"A.APOIO COL. ESTADUAL JORGE AMADO")</f>
        <v>A.APOIO COL. ESTADUAL JORGE AMADO</v>
      </c>
      <c r="D26" s="165" t="str">
        <f ca="1">IFERROR(__xludf.DUMMYFUNCTION("""COMPUTED_VALUE"""),"01291218000105")</f>
        <v>01291218000105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IFERROR(__xludf.DUMMYFUNCTION("""COMPUTED_VALUE"""),"0467006")</f>
        <v>0467006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IFERROR(__xludf.DUMMYFUNCTION("""COMPUTED_VALUE"""),2210)</f>
        <v>2210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IFERROR(__xludf.DUMMYFUNCTION("""COMPUTED_VALUE"""),231.2)</f>
        <v>231.2</v>
      </c>
      <c r="Q26" s="8">
        <f ca="1">IFERROR(__xludf.DUMMYFUNCTION("""COMPUTED_VALUE"""),2990)</f>
        <v>2990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C.E.  PROF. SILVANDIRA SOUSA LIMA")</f>
        <v>A.A. C.E.  PROF. SILVANDIRA SOUSA LIMA</v>
      </c>
      <c r="D27" s="165" t="str">
        <f ca="1">IFERROR(__xludf.DUMMYFUNCTION("""COMPUTED_VALUE"""),"01071403000194")</f>
        <v>01071403000194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IFERROR(__xludf.DUMMYFUNCTION("""COMPUTED_VALUE"""),"0463922")</f>
        <v>0463922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IFERROR(__xludf.DUMMYFUNCTION("""COMPUTED_VALUE"""),2800)</f>
        <v>2800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IFERROR(__xludf.DUMMYFUNCTION("""COMPUTED_VALUE"""),68)</f>
        <v>68</v>
      </c>
      <c r="Q27" s="8">
        <f ca="1">IFERROR(__xludf.DUMMYFUNCTION("""COMPUTED_VALUE"""),4360)</f>
        <v>4360</v>
      </c>
      <c r="R27" s="8">
        <f ca="1">IFERROR(__xludf.DUMMYFUNCTION("""COMPUTED_VALUE"""),0)</f>
        <v>0</v>
      </c>
      <c r="S27" s="8">
        <f ca="1">IFERROR(__xludf.DUMMYFUNCTION("""COMPUTED_VALUE"""),0)</f>
        <v>0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 COLEGIO ESTADUAL RUI BARBOSA")</f>
        <v>A.A. COLEGIO ESTADUAL RUI BARBOSA</v>
      </c>
      <c r="D28" s="165" t="str">
        <f ca="1">IFERROR(__xludf.DUMMYFUNCTION("""COMPUTED_VALUE"""),"01071440000100")</f>
        <v>01071440000100</v>
      </c>
      <c r="E28" s="7" t="str">
        <f ca="1">IFERROR(__xludf.DUMMYFUNCTION("""COMPUTED_VALUE"""),"001")</f>
        <v>001</v>
      </c>
      <c r="F28" s="8" t="str">
        <f ca="1">IFERROR(__xludf.DUMMYFUNCTION("""COMPUTED_VALUE"""),"0638")</f>
        <v>0638</v>
      </c>
      <c r="G28" s="8" t="str">
        <f ca="1">IFERROR(__xludf.DUMMYFUNCTION("""COMPUTED_VALUE"""),"0463787")</f>
        <v>0463787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IFERROR(__xludf.DUMMYFUNCTION("""COMPUTED_VALUE"""),0)</f>
        <v>0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IFERROR(__xludf.DUMMYFUNCTION("""COMPUTED_VALUE"""),190.4)</f>
        <v>190.4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IFERROR(__xludf.DUMMYFUNCTION("""COMPUTED_VALUE"""),8038.4)</f>
        <v>8038.4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IFERROR(__xludf.DUMMYFUNCTION("""COMPUTED_VALUE"""),"A.A.ESCOLA TEMPO INTEGRAL JARDENIR JORGE FREDERICO")</f>
        <v>A.A.ESCOLA TEMPO INTEGRAL JARDENIR JORGE FREDERICO</v>
      </c>
      <c r="D29" s="165" t="str">
        <f ca="1">IFERROR(__xludf.DUMMYFUNCTION("""COMPUTED_VALUE"""),"43361835000180")</f>
        <v>43361835000180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IFERROR(__xludf.DUMMYFUNCTION("""COMPUTED_VALUE"""),"434795")</f>
        <v>434795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IFERROR(__xludf.DUMMYFUNCTION("""COMPUTED_VALUE"""),21947.3999999999)</f>
        <v>21947.3999999999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IFERROR(__xludf.DUMMYFUNCTION("""COMPUTED_VALUE"""),190.4)</f>
        <v>190.4</v>
      </c>
      <c r="Q29" s="8">
        <f ca="1">IFERROR(__xludf.DUMMYFUNCTION("""COMPUTED_VALUE"""),0)</f>
        <v>0</v>
      </c>
      <c r="R29" s="8">
        <f ca="1">IFERROR(__xludf.DUMMYFUNCTION("""COMPUTED_VALUE"""),0)</f>
        <v>0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ESCOLA TEMPO INTEGRAL DOMINGOS DA CRUZ MACHADO")</f>
        <v>A.A. ESCOLA TEMPO INTEGRAL DOMINGOS DA CRUZ MACHADO</v>
      </c>
      <c r="D30" s="165" t="str">
        <f ca="1">IFERROR(__xludf.DUMMYFUNCTION("""COMPUTED_VALUE"""),"49868761000159")</f>
        <v>49868761000159</v>
      </c>
      <c r="E30" s="7" t="str">
        <f ca="1">IFERROR(__xludf.DUMMYFUNCTION("""COMPUTED_VALUE"""),"001")</f>
        <v>001</v>
      </c>
      <c r="F30" s="8" t="str">
        <f ca="1">IFERROR(__xludf.DUMMYFUNCTION("""COMPUTED_VALUE"""),"4348")</f>
        <v>4348</v>
      </c>
      <c r="G30" s="8" t="str">
        <f ca="1">IFERROR(__xludf.DUMMYFUNCTION("""COMPUTED_VALUE"""),"460192")</f>
        <v>460192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IFERROR(__xludf.DUMMYFUNCTION("""COMPUTED_VALUE"""),0)</f>
        <v>0</v>
      </c>
      <c r="K30" s="8">
        <f ca="1">IFERROR(__xludf.DUMMYFUNCTION("""COMPUTED_VALUE"""),11371)</f>
        <v>11371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IFERROR(__xludf.DUMMYFUNCTION("""COMPUTED_VALUE"""),0)</f>
        <v>0</v>
      </c>
      <c r="Q30" s="8">
        <f ca="1">IFERROR(__xludf.DUMMYFUNCTION("""COMPUTED_VALUE"""),0)</f>
        <v>0</v>
      </c>
      <c r="R30" s="8">
        <f ca="1">IFERROR(__xludf.DUMMYFUNCTION("""COMPUTED_VALUE"""),1123.39999999999)</f>
        <v>1123.3999999999901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IFERROR(__xludf.DUMMYFUNCTION("""COMPUTED_VALUE"""),"A.A. ESC. EST. DEP.FED.JOSE A. DE ASSIS")</f>
        <v>A.A. ESC. EST. DEP.FED.JOSE A. DE ASSIS</v>
      </c>
      <c r="D31" s="165" t="str">
        <f ca="1">IFERROR(__xludf.DUMMYFUNCTION("""COMPUTED_VALUE"""),"01186464000105")</f>
        <v>01186464000105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IFERROR(__xludf.DUMMYFUNCTION("""COMPUTED_VALUE"""),"465089")</f>
        <v>465089</v>
      </c>
      <c r="H31" s="8">
        <f ca="1">IFERROR(__xludf.DUMMYFUNCTION("""COMPUTED_VALUE"""),0)</f>
        <v>0</v>
      </c>
      <c r="I31" s="8">
        <f ca="1">IFERROR(__xludf.DUMMYFUNCTION("""COMPUTED_VALUE"""),0)</f>
        <v>0</v>
      </c>
      <c r="J31" s="8">
        <f ca="1">IFERROR(__xludf.DUMMYFUNCTION("""COMPUTED_VALUE"""),1780)</f>
        <v>1780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IFERROR(__xludf.DUMMYFUNCTION("""COMPUTED_VALUE"""),204)</f>
        <v>204</v>
      </c>
      <c r="Q31" s="8">
        <f ca="1">IFERROR(__xludf.DUMMYFUNCTION("""COMPUTED_VALUE"""),4380)</f>
        <v>4380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IFERROR(__xludf.DUMMYFUNCTION("""COMPUTED_VALUE"""),0)</f>
        <v>0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IFERROR(__xludf.DUMMYFUNCTION("""COMPUTED_VALUE"""),"ASSOCIAÇÃO DE APOIO DA ESCOLA ESPECIAL RAIO DE LUZ APAE ARAGUAÍNA")</f>
        <v>ASSOCIAÇÃO DE APOIO DA ESCOLA ESPECIAL RAIO DE LUZ APAE ARAGUAÍNA</v>
      </c>
      <c r="D32" s="165" t="str">
        <f ca="1">IFERROR(__xludf.DUMMYFUNCTION("""COMPUTED_VALUE"""),"07953043000130")</f>
        <v>07953043000130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IFERROR(__xludf.DUMMYFUNCTION("""COMPUTED_VALUE"""),"379921")</f>
        <v>379921</v>
      </c>
      <c r="H32" s="8">
        <f ca="1">IFERROR(__xludf.DUMMYFUNCTION("""COMPUTED_VALUE"""),0)</f>
        <v>0</v>
      </c>
      <c r="I32" s="8">
        <f ca="1">IFERROR(__xludf.DUMMYFUNCTION("""COMPUTED_VALUE"""),259.2)</f>
        <v>259.2</v>
      </c>
      <c r="J32" s="8">
        <f ca="1">IFERROR(__xludf.DUMMYFUNCTION("""COMPUTED_VALUE"""),230)</f>
        <v>230</v>
      </c>
      <c r="K32" s="8">
        <f ca="1">IFERROR(__xludf.DUMMYFUNCTION("""COMPUTED_VALUE"""),0)</f>
        <v>0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IFERROR(__xludf.DUMMYFUNCTION("""COMPUTED_VALUE"""),2924)</f>
        <v>2924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IFERROR(__xludf.DUMMYFUNCTION("""COMPUTED_VALUE"""),1426.8)</f>
        <v>1426.8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 ESCOLA ESPIRITA ANDRE LUIZ")</f>
        <v>A.A.  ESCOLA ESPIRITA ANDRE LUIZ</v>
      </c>
      <c r="D33" s="165" t="str">
        <f ca="1">IFERROR(__xludf.DUMMYFUNCTION("""COMPUTED_VALUE"""),"01066416000175")</f>
        <v>01066416000175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IFERROR(__xludf.DUMMYFUNCTION("""COMPUTED_VALUE"""),"463582")</f>
        <v>463582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IFERROR(__xludf.DUMMYFUNCTION("""COMPUTED_VALUE"""),0)</f>
        <v>0</v>
      </c>
      <c r="K33" s="8">
        <f ca="1">IFERROR(__xludf.DUMMYFUNCTION("""COMPUTED_VALUE"""),6028)</f>
        <v>6028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IFERROR(__xludf.DUMMYFUNCTION("""COMPUTED_VALUE"""),244.799999999999)</f>
        <v>244.79999999999899</v>
      </c>
      <c r="Q33" s="8">
        <f ca="1">IFERROR(__xludf.DUMMYFUNCTION("""COMPUTED_VALUE"""),0)</f>
        <v>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IFERROR(__xludf.DUMMYFUNCTION("""COMPUTED_VALUE"""),0)</f>
        <v>0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IFERROR(__xludf.DUMMYFUNCTION("""COMPUTED_VALUE"""),"A.A. ESC. E.FRANCISCO MAXIMO DE SOUZA")</f>
        <v>A.A. ESC. E.FRANCISCO MAXIMO DE SOUZA</v>
      </c>
      <c r="D34" s="165" t="str">
        <f ca="1">IFERROR(__xludf.DUMMYFUNCTION("""COMPUTED_VALUE"""),"01345127000105")</f>
        <v>01345127000105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IFERROR(__xludf.DUMMYFUNCTION("""COMPUTED_VALUE"""),"0463167")</f>
        <v>0463167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IFERROR(__xludf.DUMMYFUNCTION("""COMPUTED_VALUE"""),3450)</f>
        <v>3450</v>
      </c>
      <c r="K34" s="8">
        <f ca="1">IFERROR(__xludf.DUMMYFUNCTION("""COMPUTED_VALUE"""),0)</f>
        <v>0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IFERROR(__xludf.DUMMYFUNCTION("""COMPUTED_VALUE"""),666.4)</f>
        <v>666.4</v>
      </c>
      <c r="Q34" s="8">
        <f ca="1">IFERROR(__xludf.DUMMYFUNCTION("""COMPUTED_VALUE"""),3170)</f>
        <v>3170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IFERROR(__xludf.DUMMYFUNCTION("""COMPUTED_VALUE"""),1689.19999999999)</f>
        <v>1689.19999999999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IFERROR(__xludf.DUMMYFUNCTION("""COMPUTED_VALUE"""),"ASS. COM. COL EST. SANCHA FERREIRA")</f>
        <v>ASS. COM. COL EST. SANCHA FERREIRA</v>
      </c>
      <c r="D35" s="165" t="str">
        <f ca="1">IFERROR(__xludf.DUMMYFUNCTION("""COMPUTED_VALUE"""),"01338702000142")</f>
        <v>01338702000142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IFERROR(__xludf.DUMMYFUNCTION("""COMPUTED_VALUE"""),"0466913")</f>
        <v>0466913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IFERROR(__xludf.DUMMYFUNCTION("""COMPUTED_VALUE"""),0)</f>
        <v>0</v>
      </c>
      <c r="K35" s="8">
        <f ca="1">IFERROR(__xludf.DUMMYFUNCTION("""COMPUTED_VALUE"""),5480)</f>
        <v>5480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IFERROR(__xludf.DUMMYFUNCTION("""COMPUTED_VALUE"""),122.399999999999)</f>
        <v>122.399999999999</v>
      </c>
      <c r="Q35" s="8">
        <f ca="1">IFERROR(__xludf.DUMMYFUNCTION("""COMPUTED_VALUE"""),0)</f>
        <v>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HENRIQUE CIRQUEIRA AMORIM")</f>
        <v>A.A. ESC. HENRIQUE CIRQUEIRA AMORIM</v>
      </c>
      <c r="D36" s="165" t="str">
        <f ca="1">IFERROR(__xludf.DUMMYFUNCTION("""COMPUTED_VALUE"""),"01088234000103")</f>
        <v>01088234000103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IFERROR(__xludf.DUMMYFUNCTION("""COMPUTED_VALUE"""),"0465194")</f>
        <v>0465194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IFERROR(__xludf.DUMMYFUNCTION("""COMPUTED_VALUE"""),3090)</f>
        <v>3090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IFERROR(__xludf.DUMMYFUNCTION("""COMPUTED_VALUE"""),0)</f>
        <v>0</v>
      </c>
      <c r="Q36" s="8">
        <f ca="1">IFERROR(__xludf.DUMMYFUNCTION("""COMPUTED_VALUE"""),2330)</f>
        <v>2330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JOAO GUILHERME L. KUNZE")</f>
        <v>A.A. ESC. EST. JOAO GUILHERME L. KUNZE</v>
      </c>
      <c r="D37" s="165" t="str">
        <f ca="1">IFERROR(__xludf.DUMMYFUNCTION("""COMPUTED_VALUE"""),"01071400000150")</f>
        <v>01071400000150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IFERROR(__xludf.DUMMYFUNCTION("""COMPUTED_VALUE"""),"0463639")</f>
        <v>0463639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IFERROR(__xludf.DUMMYFUNCTION("""COMPUTED_VALUE"""),3010)</f>
        <v>3010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IFERROR(__xludf.DUMMYFUNCTION("""COMPUTED_VALUE"""),163.2)</f>
        <v>163.19999999999999</v>
      </c>
      <c r="Q37" s="8">
        <f ca="1">IFERROR(__xludf.DUMMYFUNCTION("""COMPUTED_VALUE"""),0)</f>
        <v>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ESC. EST. MANOEL GOMES DA CUNHA")</f>
        <v>A.A. ESC. EST. MANOEL GOMES DA CUNHA</v>
      </c>
      <c r="D38" s="165" t="str">
        <f ca="1">IFERROR(__xludf.DUMMYFUNCTION("""COMPUTED_VALUE"""),"01443216000194")</f>
        <v>01443216000194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IFERROR(__xludf.DUMMYFUNCTION("""COMPUTED_VALUE"""),"0468355")</f>
        <v>0468355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IFERROR(__xludf.DUMMYFUNCTION("""COMPUTED_VALUE"""),1900)</f>
        <v>1900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IFERROR(__xludf.DUMMYFUNCTION("""COMPUTED_VALUE"""),163.2)</f>
        <v>163.19999999999999</v>
      </c>
      <c r="Q38" s="8">
        <f ca="1">IFERROR(__xludf.DUMMYFUNCTION("""COMPUTED_VALUE"""),1670)</f>
        <v>1670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IFERROR(__xludf.DUMMYFUNCTION("""COMPUTED_VALUE"""),0)</f>
        <v>0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IFERROR(__xludf.DUMMYFUNCTION("""COMPUTED_VALUE"""),"A.A. ESCOLA ESTADUAL MAL. RONDON")</f>
        <v>A.A. ESCOLA ESTADUAL MAL. RONDON</v>
      </c>
      <c r="D39" s="165" t="str">
        <f ca="1">IFERROR(__xludf.DUMMYFUNCTION("""COMPUTED_VALUE"""),"01068349000128")</f>
        <v>01068349000128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IFERROR(__xludf.DUMMYFUNCTION("""COMPUTED_VALUE"""),"046368X")</f>
        <v>046368X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IFERROR(__xludf.DUMMYFUNCTION("""COMPUTED_VALUE"""),5010)</f>
        <v>5010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IFERROR(__xludf.DUMMYFUNCTION("""COMPUTED_VALUE"""),217.6)</f>
        <v>217.6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IFERROR(__xludf.DUMMYFUNCTION("""COMPUTED_VALUE"""),1459.6)</f>
        <v>1459.6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 DE A.DA ESCOLA ESTADUAL MODELO")</f>
        <v>A. DE A.DA ESCOLA ESTADUAL MODELO</v>
      </c>
      <c r="D40" s="165" t="str">
        <f ca="1">IFERROR(__xludf.DUMMYFUNCTION("""COMPUTED_VALUE"""),"01133696000197")</f>
        <v>01133696000197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IFERROR(__xludf.DUMMYFUNCTION("""COMPUTED_VALUE"""),"484520")</f>
        <v>484520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IFERROR(__xludf.DUMMYFUNCTION("""COMPUTED_VALUE"""),4770)</f>
        <v>4770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IFERROR(__xludf.DUMMYFUNCTION("""COMPUTED_VALUE"""),312.8)</f>
        <v>312.8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ESC. E.NORTE GOIANO DE ARAGUAINA")</f>
        <v>A.A. ESC. E.NORTE GOIANO DE ARAGUAINA</v>
      </c>
      <c r="D41" s="165" t="str">
        <f ca="1">IFERROR(__xludf.DUMMYFUNCTION("""COMPUTED_VALUE"""),"01195483000190")</f>
        <v>01195483000190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IFERROR(__xludf.DUMMYFUNCTION("""COMPUTED_VALUE"""),"0464724")</f>
        <v>0464724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IFERROR(__xludf.DUMMYFUNCTION("""COMPUTED_VALUE"""),2690)</f>
        <v>2690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IFERROR(__xludf.DUMMYFUNCTION("""COMPUTED_VALUE"""),217.6)</f>
        <v>217.6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ESCOLA EST.PROF.ALFREDO NASSER")</f>
        <v>A.A. ESCOLA EST.PROF.ALFREDO NASSER</v>
      </c>
      <c r="D42" s="165" t="str">
        <f ca="1">IFERROR(__xludf.DUMMYFUNCTION("""COMPUTED_VALUE"""),"01223632000187")</f>
        <v>01223632000187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IFERROR(__xludf.DUMMYFUNCTION("""COMPUTED_VALUE"""),"0465135")</f>
        <v>0465135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IFERROR(__xludf.DUMMYFUNCTION("""COMPUTED_VALUE"""),7420)</f>
        <v>7420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IFERROR(__xludf.DUMMYFUNCTION("""COMPUTED_VALUE"""),0)</f>
        <v>0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ESC. EST. DE ARAGUAINA / PROF. JOÃO ALVES BATISTA")</f>
        <v>A.A. ESC. EST. DE ARAGUAINA / PROF. JOÃO ALVES BATISTA</v>
      </c>
      <c r="D43" s="165" t="str">
        <f ca="1">IFERROR(__xludf.DUMMYFUNCTION("""COMPUTED_VALUE"""),"25062332000121")</f>
        <v>25062332000121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IFERROR(__xludf.DUMMYFUNCTION("""COMPUTED_VALUE"""),"463116")</f>
        <v>463116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IFERROR(__xludf.DUMMYFUNCTION("""COMPUTED_VALUE"""),3000)</f>
        <v>3000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IFERROR(__xludf.DUMMYFUNCTION("""COMPUTED_VALUE"""),54.4)</f>
        <v>54.4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IFERROR(__xludf.DUMMYFUNCTION("""COMPUTED_VALUE"""),0)</f>
        <v>0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ESCOLA ESTADUAL VILA NOVA")</f>
        <v>A.A. ESCOLA ESTADUAL VILA NOVA</v>
      </c>
      <c r="D44" s="165" t="str">
        <f ca="1">IFERROR(__xludf.DUMMYFUNCTION("""COMPUTED_VALUE"""),"01071404000139")</f>
        <v>01071404000139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IFERROR(__xludf.DUMMYFUNCTION("""COMPUTED_VALUE"""),"0463744")</f>
        <v>0463744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IFERROR(__xludf.DUMMYFUNCTION("""COMPUTED_VALUE"""),0)</f>
        <v>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IFERROR(__xludf.DUMMYFUNCTION("""COMPUTED_VALUE"""),0)</f>
        <v>0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IFERROR(__xludf.DUMMYFUNCTION("""COMPUTED_VALUE"""),1172.6)</f>
        <v>1172.5999999999999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IFERROR(__xludf.DUMMYFUNCTION("""COMPUTED_VALUE"""),"A.A. ESC. EST.WELDER M.ABREU SALES")</f>
        <v>A.A. ESC. EST.WELDER M.ABREU SALES</v>
      </c>
      <c r="D45" s="165" t="str">
        <f ca="1">IFERROR(__xludf.DUMMYFUNCTION("""COMPUTED_VALUE"""),"01190182000173")</f>
        <v>01190182000173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IFERROR(__xludf.DUMMYFUNCTION("""COMPUTED_VALUE"""),"0465054")</f>
        <v>0465054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IFERROR(__xludf.DUMMYFUNCTION("""COMPUTED_VALUE"""),5330)</f>
        <v>5330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IFERROR(__xludf.DUMMYFUNCTION("""COMPUTED_VALUE"""),231.2)</f>
        <v>231.2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1" t="str">
        <f ca="1">IFERROR(__xludf.DUMMYFUNCTION("""COMPUTED_VALUE"""),"A. DE AP. DA E.PAROQUIAL LUIZ AUGUSTO")</f>
        <v>A. DE AP. DA E.PAROQUIAL LUIZ AUGUSTO</v>
      </c>
      <c r="D46" s="165" t="str">
        <f ca="1">IFERROR(__xludf.DUMMYFUNCTION("""COMPUTED_VALUE"""),"01912262000195")</f>
        <v>01912262000195</v>
      </c>
      <c r="E46" s="7" t="str">
        <f ca="1">IFERROR(__xludf.DUMMYFUNCTION("""COMPUTED_VALUE"""),"001")</f>
        <v>001</v>
      </c>
      <c r="F46" s="8" t="str">
        <f ca="1">IFERROR(__xludf.DUMMYFUNCTION("""COMPUTED_VALUE"""),"0638")</f>
        <v>0638</v>
      </c>
      <c r="G46" s="8" t="str">
        <f ca="1">IFERROR(__xludf.DUMMYFUNCTION("""COMPUTED_VALUE"""),"486000")</f>
        <v>486000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IFERROR(__xludf.DUMMYFUNCTION("""COMPUTED_VALUE"""),7960)</f>
        <v>7960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IFERROR(__xludf.DUMMYFUNCTION("""COMPUTED_VALUE"""),272)</f>
        <v>272</v>
      </c>
      <c r="Q46" s="8">
        <f ca="1">IFERROR(__xludf.DUMMYFUNCTION("""COMPUTED_VALUE"""),0)</f>
        <v>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IFERROR(__xludf.DUMMYFUNCTION("""COMPUTED_VALUE"""),"ASS. APOIO ESC. EST. MACHADO DE ASSIS")</f>
        <v>ASS. APOIO ESC. EST. MACHADO DE ASSIS</v>
      </c>
      <c r="D47" s="165" t="str">
        <f ca="1">IFERROR(__xludf.DUMMYFUNCTION("""COMPUTED_VALUE"""),"01243663000108")</f>
        <v>01243663000108</v>
      </c>
      <c r="E47" s="7" t="str">
        <f ca="1">IFERROR(__xludf.DUMMYFUNCTION("""COMPUTED_VALUE"""),"001")</f>
        <v>001</v>
      </c>
      <c r="F47" s="8" t="str">
        <f ca="1">IFERROR(__xludf.DUMMYFUNCTION("""COMPUTED_VALUE"""),"3773")</f>
        <v>3773</v>
      </c>
      <c r="G47" s="8" t="str">
        <f ca="1">IFERROR(__xludf.DUMMYFUNCTION("""COMPUTED_VALUE"""),"322091")</f>
        <v>322091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IFERROR(__xludf.DUMMYFUNCTION("""COMPUTED_VALUE"""),2180)</f>
        <v>2180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IFERROR(__xludf.DUMMYFUNCTION("""COMPUTED_VALUE"""),108.8)</f>
        <v>108.8</v>
      </c>
      <c r="Q47" s="8">
        <f ca="1">IFERROR(__xludf.DUMMYFUNCTION("""COMPUTED_VALUE"""),2180)</f>
        <v>2180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1" t="str">
        <f ca="1">IFERROR(__xludf.DUMMYFUNCTION("""COMPUTED_VALUE"""),"A.A. ESC. EST. SAO PEDRO")</f>
        <v>A.A. ESC. EST. SAO PEDRO</v>
      </c>
      <c r="D48" s="165" t="str">
        <f ca="1">IFERROR(__xludf.DUMMYFUNCTION("""COMPUTED_VALUE"""),"01230353000140")</f>
        <v>01230353000140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IFERROR(__xludf.DUMMYFUNCTION("""COMPUTED_VALUE"""),"73903")</f>
        <v>73903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IFERROR(__xludf.DUMMYFUNCTION("""COMPUTED_VALUE"""),720)</f>
        <v>720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IFERROR(__xludf.DUMMYFUNCTION("""COMPUTED_VALUE"""),0)</f>
        <v>0</v>
      </c>
      <c r="Q48" s="8">
        <f ca="1">IFERROR(__xludf.DUMMYFUNCTION("""COMPUTED_VALUE"""),610)</f>
        <v>610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IFERROR(__xludf.DUMMYFUNCTION("""COMPUTED_VALUE"""),"A.PAIS E M.C.E.LEOPOLDO DE BULHOES")</f>
        <v>A.PAIS E M.C.E.LEOPOLDO DE BULHOES</v>
      </c>
      <c r="D49" s="165" t="str">
        <f ca="1">IFERROR(__xludf.DUMMYFUNCTION("""COMPUTED_VALUE"""),"01146116000104")</f>
        <v>01146116000104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IFERROR(__xludf.DUMMYFUNCTION("""COMPUTED_VALUE"""),"465232")</f>
        <v>465232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IFERROR(__xludf.DUMMYFUNCTION("""COMPUTED_VALUE"""),1320)</f>
        <v>1320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IFERROR(__xludf.DUMMYFUNCTION("""COMPUTED_VALUE"""),176.799999999999)</f>
        <v>176.79999999999899</v>
      </c>
      <c r="Q49" s="8">
        <f ca="1">IFERROR(__xludf.DUMMYFUNCTION("""COMPUTED_VALUE"""),2370)</f>
        <v>2370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1" t="str">
        <f ca="1">IFERROR(__xludf.DUMMYFUNCTION("""COMPUTED_VALUE"""),"A.A. ESCOLA ESTADUAL RUI BARBOSA")</f>
        <v>A.A. ESCOLA ESTADUAL RUI BARBOSA</v>
      </c>
      <c r="D50" s="165" t="str">
        <f ca="1">IFERROR(__xludf.DUMMYFUNCTION("""COMPUTED_VALUE"""),"01181184000104")</f>
        <v>01181184000104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IFERROR(__xludf.DUMMYFUNCTION("""COMPUTED_VALUE"""),"477117")</f>
        <v>477117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IFERROR(__xludf.DUMMYFUNCTION("""COMPUTED_VALUE"""),1640)</f>
        <v>1640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IFERROR(__xludf.DUMMYFUNCTION("""COMPUTED_VALUE"""),244.799999999999)</f>
        <v>244.79999999999899</v>
      </c>
      <c r="Q50" s="8">
        <f ca="1">IFERROR(__xludf.DUMMYFUNCTION("""COMPUTED_VALUE"""),1040)</f>
        <v>1040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IFERROR(__xludf.DUMMYFUNCTION("""COMPUTED_VALUE"""),"A.A. A ESCOLA ESTADUAL BREJAO")</f>
        <v>A.A. A ESCOLA ESTADUAL BREJAO</v>
      </c>
      <c r="D51" s="165" t="str">
        <f ca="1">IFERROR(__xludf.DUMMYFUNCTION("""COMPUTED_VALUE"""),"02392799000134")</f>
        <v>02392799000134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IFERROR(__xludf.DUMMYFUNCTION("""COMPUTED_VALUE"""),"83615")</f>
        <v>83615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IFERROR(__xludf.DUMMYFUNCTION("""COMPUTED_VALUE"""),1340)</f>
        <v>1340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IFERROR(__xludf.DUMMYFUNCTION("""COMPUTED_VALUE"""),95.2)</f>
        <v>95.2</v>
      </c>
      <c r="Q51" s="8">
        <f ca="1">IFERROR(__xludf.DUMMYFUNCTION("""COMPUTED_VALUE"""),800)</f>
        <v>800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1" t="str">
        <f ca="1">IFERROR(__xludf.DUMMYFUNCTION("""COMPUTED_VALUE"""),"A.COM. ESC. EST. BARRA DO OURO/PROF. VICENTE JOSÉ VIEIRA")</f>
        <v>A.COM. ESC. EST. BARRA DO OURO/PROF. VICENTE JOSÉ VIEIRA</v>
      </c>
      <c r="D52" s="165" t="str">
        <f ca="1">IFERROR(__xludf.DUMMYFUNCTION("""COMPUTED_VALUE"""),"01341481000161")</f>
        <v>01341481000161</v>
      </c>
      <c r="E52" s="7" t="str">
        <f ca="1">IFERROR(__xludf.DUMMYFUNCTION("""COMPUTED_VALUE"""),"001")</f>
        <v>001</v>
      </c>
      <c r="F52" s="8" t="str">
        <f ca="1">IFERROR(__xludf.DUMMYFUNCTION("""COMPUTED_VALUE"""),"0638")</f>
        <v>0638</v>
      </c>
      <c r="G52" s="8" t="str">
        <f ca="1">IFERROR(__xludf.DUMMYFUNCTION("""COMPUTED_VALUE"""),"0069973")</f>
        <v>0069973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IFERROR(__xludf.DUMMYFUNCTION("""COMPUTED_VALUE"""),2520)</f>
        <v>2520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IFERROR(__xludf.DUMMYFUNCTION("""COMPUTED_VALUE"""),1400)</f>
        <v>1400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IFERROR(__xludf.DUMMYFUNCTION("""COMPUTED_VALUE"""),0)</f>
        <v>0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1" t="str">
        <f ca="1">IFERROR(__xludf.DUMMYFUNCTION("""COMPUTED_VALUE"""),"A.A. DA ESC. EST. MANOEL ALVES GRANDE")</f>
        <v>A.A. DA ESC. EST. MANOEL ALVES GRANDE</v>
      </c>
      <c r="D53" s="165" t="str">
        <f ca="1">IFERROR(__xludf.DUMMYFUNCTION("""COMPUTED_VALUE"""),"02199744000102")</f>
        <v>02199744000102</v>
      </c>
      <c r="E53" s="7" t="str">
        <f ca="1">IFERROR(__xludf.DUMMYFUNCTION("""COMPUTED_VALUE"""),"001")</f>
        <v>001</v>
      </c>
      <c r="F53" s="8" t="str">
        <f ca="1">IFERROR(__xludf.DUMMYFUNCTION("""COMPUTED_VALUE"""),"2064")</f>
        <v>2064</v>
      </c>
      <c r="G53" s="8" t="str">
        <f ca="1">IFERROR(__xludf.DUMMYFUNCTION("""COMPUTED_VALUE"""),"0130117")</f>
        <v>0130117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IFERROR(__xludf.DUMMYFUNCTION("""COMPUTED_VALUE"""),1770)</f>
        <v>1770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IFERROR(__xludf.DUMMYFUNCTION("""COMPUTED_VALUE"""),4710)</f>
        <v>4710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IFERROR(__xludf.DUMMYFUNCTION("""COMPUTED_VALUE"""),295.2)</f>
        <v>295.2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1" t="str">
        <f ca="1">IFERROR(__xludf.DUMMYFUNCTION("""COMPUTED_VALUE"""),"A.A. E. EST. BARTOLOMEU BUENO DA SILVA")</f>
        <v>A.A. E. EST. BARTOLOMEU BUENO DA SILVA</v>
      </c>
      <c r="D54" s="165" t="str">
        <f ca="1">IFERROR(__xludf.DUMMYFUNCTION("""COMPUTED_VALUE"""),"01181172000171")</f>
        <v>01181172000171</v>
      </c>
      <c r="E54" s="7" t="str">
        <f ca="1">IFERROR(__xludf.DUMMYFUNCTION("""COMPUTED_VALUE"""),"001")</f>
        <v>001</v>
      </c>
      <c r="F54" s="8" t="str">
        <f ca="1">IFERROR(__xludf.DUMMYFUNCTION("""COMPUTED_VALUE"""),"0638")</f>
        <v>0638</v>
      </c>
      <c r="G54" s="8" t="str">
        <f ca="1">IFERROR(__xludf.DUMMYFUNCTION("""COMPUTED_VALUE"""),"0465038")</f>
        <v>0465038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IFERROR(__xludf.DUMMYFUNCTION("""COMPUTED_VALUE"""),340)</f>
        <v>340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IFERROR(__xludf.DUMMYFUNCTION("""COMPUTED_VALUE"""),0)</f>
        <v>0</v>
      </c>
      <c r="Q54" s="8">
        <f ca="1">IFERROR(__xludf.DUMMYFUNCTION("""COMPUTED_VALUE"""),990)</f>
        <v>990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IFERROR(__xludf.DUMMYFUNCTION("""COMPUTED_VALUE"""),204.999999999999)</f>
        <v>204.99999999999901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IFERROR(__xludf.DUMMYFUNCTION("""COMPUTED_VALUE"""),"A.A. DO COL.MUNICIPAL DE FILADELFIA")</f>
        <v>A.A. DO COL.MUNICIPAL DE FILADELFIA</v>
      </c>
      <c r="D55" s="165" t="str">
        <f ca="1">IFERROR(__xludf.DUMMYFUNCTION("""COMPUTED_VALUE"""),"02189621000190")</f>
        <v>02189621000190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IFERROR(__xludf.DUMMYFUNCTION("""COMPUTED_VALUE"""),"54127")</f>
        <v>54127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IFERROR(__xludf.DUMMYFUNCTION("""COMPUTED_VALUE"""),0)</f>
        <v>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IFERROR(__xludf.DUMMYFUNCTION("""COMPUTED_VALUE"""),272)</f>
        <v>272</v>
      </c>
      <c r="Q55" s="8">
        <f ca="1">IFERROR(__xludf.DUMMYFUNCTION("""COMPUTED_VALUE"""),2250)</f>
        <v>2250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IFERROR(__xludf.DUMMYFUNCTION("""COMPUTED_VALUE"""),"A.P. E M. ESC. EST. ADEUVALDO O.MORAES")</f>
        <v>A.P. E M. ESC. EST. ADEUVALDO O.MORAES</v>
      </c>
      <c r="D56" s="165" t="str">
        <f ca="1">IFERROR(__xludf.DUMMYFUNCTION("""COMPUTED_VALUE"""),"01912087000136")</f>
        <v>01912087000136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IFERROR(__xludf.DUMMYFUNCTION("""COMPUTED_VALUE"""),"127434")</f>
        <v>127434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IFERROR(__xludf.DUMMYFUNCTION("""COMPUTED_VALUE"""),2760)</f>
        <v>2760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IFERROR(__xludf.DUMMYFUNCTION("""COMPUTED_VALUE"""),394.4)</f>
        <v>394.4</v>
      </c>
      <c r="Q56" s="8">
        <f ca="1">IFERROR(__xludf.DUMMYFUNCTION("""COMPUTED_VALUE"""),0)</f>
        <v>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IFERROR(__xludf.DUMMYFUNCTION("""COMPUTED_VALUE"""),0)</f>
        <v>0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1" t="str">
        <f ca="1">IFERROR(__xludf.DUMMYFUNCTION("""COMPUTED_VALUE"""),"A.A. ESC EST PROFESSOR JOSÉ FRANCISCO DOS MONTES")</f>
        <v>A.A. ESC EST PROFESSOR JOSÉ FRANCISCO DOS MONTES</v>
      </c>
      <c r="D57" s="165" t="str">
        <f ca="1">IFERROR(__xludf.DUMMYFUNCTION("""COMPUTED_VALUE"""),"27853677000129")</f>
        <v>27853677000129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IFERROR(__xludf.DUMMYFUNCTION("""COMPUTED_VALUE"""),"198315")</f>
        <v>198315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IFERROR(__xludf.DUMMYFUNCTION("""COMPUTED_VALUE"""),490)</f>
        <v>490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IFERROR(__xludf.DUMMYFUNCTION("""COMPUTED_VALUE"""),0)</f>
        <v>0</v>
      </c>
      <c r="Q57" s="8">
        <f ca="1">IFERROR(__xludf.DUMMYFUNCTION("""COMPUTED_VALUE"""),930)</f>
        <v>930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IFERROR(__xludf.DUMMYFUNCTION("""COMPUTED_VALUE"""),65.6)</f>
        <v>65.599999999999994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1" t="str">
        <f ca="1">IFERROR(__xludf.DUMMYFUNCTION("""COMPUTED_VALUE"""),"ASS. COM.COL. EST. ADA ASSIS TEIXEIRA")</f>
        <v>ASS. COM.COL. EST. ADA ASSIS TEIXEIRA</v>
      </c>
      <c r="D58" s="165" t="str">
        <f ca="1">IFERROR(__xludf.DUMMYFUNCTION("""COMPUTED_VALUE"""),"01440731000110")</f>
        <v>01440731000110</v>
      </c>
      <c r="E58" s="7" t="str">
        <f ca="1">IFERROR(__xludf.DUMMYFUNCTION("""COMPUTED_VALUE"""),"001")</f>
        <v>001</v>
      </c>
      <c r="F58" s="8" t="str">
        <f ca="1">IFERROR(__xludf.DUMMYFUNCTION("""COMPUTED_VALUE"""),"2064")</f>
        <v>2064</v>
      </c>
      <c r="G58" s="8" t="str">
        <f ca="1">IFERROR(__xludf.DUMMYFUNCTION("""COMPUTED_VALUE"""),"0013323")</f>
        <v>0013323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IFERROR(__xludf.DUMMYFUNCTION("""COMPUTED_VALUE"""),2070)</f>
        <v>2070</v>
      </c>
      <c r="K58" s="8">
        <f ca="1">IFERROR(__xludf.DUMMYFUNCTION("""COMPUTED_VALUE"""),0)</f>
        <v>0</v>
      </c>
      <c r="L58" s="8">
        <f ca="1">IFERROR(__xludf.DUMMYFUNCTION("""COMPUTED_VALUE"""),0)</f>
        <v>0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IFERROR(__xludf.DUMMYFUNCTION("""COMPUTED_VALUE"""),4560)</f>
        <v>4560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IFERROR(__xludf.DUMMYFUNCTION("""COMPUTED_VALUE"""),"A.A. DA ESC. EST. MAL. COSTA E SILVA")</f>
        <v>A.A. DA ESC. EST. MAL. COSTA E SILVA</v>
      </c>
      <c r="D59" s="165" t="str">
        <f ca="1">IFERROR(__xludf.DUMMYFUNCTION("""COMPUTED_VALUE"""),"02032269000185")</f>
        <v>02032269000185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IFERROR(__xludf.DUMMYFUNCTION("""COMPUTED_VALUE"""),"83550")</f>
        <v>83550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IFERROR(__xludf.DUMMYFUNCTION("""COMPUTED_VALUE"""),4282.8)</f>
        <v>4282.8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IFERROR(__xludf.DUMMYFUNCTION("""COMPUTED_VALUE"""),0)</f>
        <v>0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1" t="str">
        <f ca="1">IFERROR(__xludf.DUMMYFUNCTION("""COMPUTED_VALUE"""),"A.COM. DE AP. COL. EST. DE MURICILANDIA")</f>
        <v>A.COM. DE AP. COL. EST. DE MURICILANDIA</v>
      </c>
      <c r="D60" s="165" t="str">
        <f ca="1">IFERROR(__xludf.DUMMYFUNCTION("""COMPUTED_VALUE"""),"01911084000188")</f>
        <v>01911084000188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IFERROR(__xludf.DUMMYFUNCTION("""COMPUTED_VALUE"""),"8350X")</f>
        <v>8350X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IFERROR(__xludf.DUMMYFUNCTION("""COMPUTED_VALUE"""),0)</f>
        <v>0</v>
      </c>
      <c r="K60" s="8">
        <f ca="1">IFERROR(__xludf.DUMMYFUNCTION("""COMPUTED_VALUE"""),0)</f>
        <v>0</v>
      </c>
      <c r="L60" s="8">
        <f ca="1">IFERROR(__xludf.DUMMYFUNCTION("""COMPUTED_VALUE"""),1978)</f>
        <v>1978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IFERROR(__xludf.DUMMYFUNCTION("""COMPUTED_VALUE"""),176.799999999999)</f>
        <v>176.79999999999899</v>
      </c>
      <c r="Q60" s="8">
        <f ca="1">IFERROR(__xludf.DUMMYFUNCTION("""COMPUTED_VALUE"""),0)</f>
        <v>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IFERROR(__xludf.DUMMYFUNCTION("""COMPUTED_VALUE"""),0)</f>
        <v>0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IFERROR(__xludf.DUMMYFUNCTION("""COMPUTED_VALUE"""),"A.A. ESC. COL. E. HELIO DE SOUZA BUENO")</f>
        <v>A.A. ESC. COL. E. HELIO DE SOUZA BUENO</v>
      </c>
      <c r="D61" s="165" t="str">
        <f ca="1">IFERROR(__xludf.DUMMYFUNCTION("""COMPUTED_VALUE"""),"01186466000196")</f>
        <v>01186466000196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IFERROR(__xludf.DUMMYFUNCTION("""COMPUTED_VALUE"""),"0462985")</f>
        <v>0462985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IFERROR(__xludf.DUMMYFUNCTION("""COMPUTED_VALUE"""),3030)</f>
        <v>3030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IFERROR(__xludf.DUMMYFUNCTION("""COMPUTED_VALUE"""),258.4)</f>
        <v>258.39999999999998</v>
      </c>
      <c r="Q61" s="8">
        <f ca="1">IFERROR(__xludf.DUMMYFUNCTION("""COMPUTED_VALUE"""),3960)</f>
        <v>3960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IFERROR(__xludf.DUMMYFUNCTION("""COMPUTED_VALUE"""),459.199999999999)</f>
        <v>459.19999999999902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IFERROR(__xludf.DUMMYFUNCTION("""COMPUTED_VALUE"""),"ASSOCIAÇÃO DE APOIO A ESCOLA ESPECIAL RENASCER")</f>
        <v>ASSOCIAÇÃO DE APOIO A ESCOLA ESPECIAL RENASCER</v>
      </c>
      <c r="D62" s="165" t="str">
        <f ca="1">IFERROR(__xludf.DUMMYFUNCTION("""COMPUTED_VALUE"""),"07951646000101")</f>
        <v>07951646000101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IFERROR(__xludf.DUMMYFUNCTION("""COMPUTED_VALUE"""),"541028")</f>
        <v>541028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IFERROR(__xludf.DUMMYFUNCTION("""COMPUTED_VALUE"""),90)</f>
        <v>90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IFERROR(__xludf.DUMMYFUNCTION("""COMPUTED_VALUE"""),775.199999999999)</f>
        <v>775.19999999999902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IFERROR(__xludf.DUMMYFUNCTION("""COMPUTED_VALUE"""),393.599999999999)</f>
        <v>393.599999999999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1" t="str">
        <f ca="1">IFERROR(__xludf.DUMMYFUNCTION("""COMPUTED_VALUE"""),"A.A. E. E. PROFA. HAMEDY CURY QUEIROZ")</f>
        <v>A.A. E. E. PROFA. HAMEDY CURY QUEIROZ</v>
      </c>
      <c r="D63" s="165" t="str">
        <f ca="1">IFERROR(__xludf.DUMMYFUNCTION("""COMPUTED_VALUE"""),"01431375000179")</f>
        <v>01431375000179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IFERROR(__xludf.DUMMYFUNCTION("""COMPUTED_VALUE"""),"0468010")</f>
        <v>0468010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IFERROR(__xludf.DUMMYFUNCTION("""COMPUTED_VALUE"""),4200)</f>
        <v>4200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IFERROR(__xludf.DUMMYFUNCTION("""COMPUTED_VALUE"""),272)</f>
        <v>272</v>
      </c>
      <c r="Q63" s="8">
        <f ca="1">IFERROR(__xludf.DUMMYFUNCTION("""COMPUTED_VALUE"""),0)</f>
        <v>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1" t="str">
        <f ca="1">IFERROR(__xludf.DUMMYFUNCTION("""COMPUTED_VALUE"""),"A.A.  ESCOLA ESTADUAL SAO JOSE")</f>
        <v>A.A.  ESCOLA ESTADUAL SAO JOSE</v>
      </c>
      <c r="D64" s="165" t="str">
        <f ca="1">IFERROR(__xludf.DUMMYFUNCTION("""COMPUTED_VALUE"""),"01243654000109")</f>
        <v>01243654000109</v>
      </c>
      <c r="E64" s="7" t="str">
        <f ca="1">IFERROR(__xludf.DUMMYFUNCTION("""COMPUTED_VALUE"""),"001")</f>
        <v>001</v>
      </c>
      <c r="F64" s="8" t="str">
        <f ca="1">IFERROR(__xludf.DUMMYFUNCTION("""COMPUTED_VALUE"""),"0638")</f>
        <v>0638</v>
      </c>
      <c r="G64" s="8" t="str">
        <f ca="1">IFERROR(__xludf.DUMMYFUNCTION("""COMPUTED_VALUE"""),"465283")</f>
        <v>465283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IFERROR(__xludf.DUMMYFUNCTION("""COMPUTED_VALUE"""),1280)</f>
        <v>1280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IFERROR(__xludf.DUMMYFUNCTION("""COMPUTED_VALUE"""),0)</f>
        <v>0</v>
      </c>
      <c r="Q64" s="8">
        <f ca="1">IFERROR(__xludf.DUMMYFUNCTION("""COMPUTED_VALUE"""),900)</f>
        <v>900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1" t="str">
        <f ca="1">IFERROR(__xludf.DUMMYFUNCTION("""COMPUTED_VALUE"""),"ASSOC. DE APOIO ESC. EST. JOAO XXIII")</f>
        <v>ASSOC. DE APOIO ESC. EST. JOAO XXIII</v>
      </c>
      <c r="D65" s="165" t="str">
        <f ca="1">IFERROR(__xludf.DUMMYFUNCTION("""COMPUTED_VALUE"""),"01136006000153")</f>
        <v>01136006000153</v>
      </c>
      <c r="E65" s="7" t="str">
        <f ca="1">IFERROR(__xludf.DUMMYFUNCTION("""COMPUTED_VALUE"""),"001")</f>
        <v>001</v>
      </c>
      <c r="F65" s="8" t="str">
        <f ca="1">IFERROR(__xludf.DUMMYFUNCTION("""COMPUTED_VALUE"""),"3973")</f>
        <v>3973</v>
      </c>
      <c r="G65" s="8" t="str">
        <f ca="1">IFERROR(__xludf.DUMMYFUNCTION("""COMPUTED_VALUE"""),"51969")</f>
        <v>51969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IFERROR(__xludf.DUMMYFUNCTION("""COMPUTED_VALUE"""),68)</f>
        <v>68</v>
      </c>
      <c r="Q65" s="8">
        <f ca="1">IFERROR(__xludf.DUMMYFUNCTION("""COMPUTED_VALUE"""),1980)</f>
        <v>1980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IFERROR(__xludf.DUMMYFUNCTION("""COMPUTED_VALUE"""),"A.A. ESC. EST. ANAIDES BRITO MIRANDA")</f>
        <v>A.A. ESC. EST. ANAIDES BRITO MIRANDA</v>
      </c>
      <c r="D66" s="165" t="str">
        <f ca="1">IFERROR(__xludf.DUMMYFUNCTION("""COMPUTED_VALUE"""),"01919025000156")</f>
        <v>01919025000156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IFERROR(__xludf.DUMMYFUNCTION("""COMPUTED_VALUE"""),"54682")</f>
        <v>54682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IFERROR(__xludf.DUMMYFUNCTION("""COMPUTED_VALUE"""),0)</f>
        <v>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IFERROR(__xludf.DUMMYFUNCTION("""COMPUTED_VALUE"""),0)</f>
        <v>0</v>
      </c>
      <c r="Q66" s="8">
        <f ca="1">IFERROR(__xludf.DUMMYFUNCTION("""COMPUTED_VALUE"""),2470)</f>
        <v>2470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IFERROR(__xludf.DUMMYFUNCTION("""COMPUTED_VALUE"""),0)</f>
        <v>0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1" t="str">
        <f ca="1">IFERROR(__xludf.DUMMYFUNCTION("""COMPUTED_VALUE"""),"A. DE AP. DA ESCOLA EST. CASTRO ALVES")</f>
        <v>A. DE AP. DA ESCOLA EST. CASTRO ALVES</v>
      </c>
      <c r="D67" s="165" t="str">
        <f ca="1">IFERROR(__xludf.DUMMYFUNCTION("""COMPUTED_VALUE"""),"01673181000180")</f>
        <v>01673181000180</v>
      </c>
      <c r="E67" s="7" t="str">
        <f ca="1">IFERROR(__xludf.DUMMYFUNCTION("""COMPUTED_VALUE"""),"001")</f>
        <v>001</v>
      </c>
      <c r="F67" s="8" t="str">
        <f ca="1">IFERROR(__xludf.DUMMYFUNCTION("""COMPUTED_VALUE"""),"4791")</f>
        <v>4791</v>
      </c>
      <c r="G67" s="8" t="str">
        <f ca="1">IFERROR(__xludf.DUMMYFUNCTION("""COMPUTED_VALUE"""),"54739")</f>
        <v>54739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IFERROR(__xludf.DUMMYFUNCTION("""COMPUTED_VALUE"""),3880)</f>
        <v>3880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IFERROR(__xludf.DUMMYFUNCTION("""COMPUTED_VALUE"""),285.599999999999)</f>
        <v>285.599999999999</v>
      </c>
      <c r="Q67" s="8">
        <f ca="1">IFERROR(__xludf.DUMMYFUNCTION("""COMPUTED_VALUE"""),580)</f>
        <v>580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IFERROR(__xludf.DUMMYFUNCTION("""COMPUTED_VALUE"""),180.399999999999)</f>
        <v>180.39999999999901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IFERROR(__xludf.DUMMYFUNCTION("""COMPUTED_VALUE"""),"A.A. COL. ESTADUAL JOSE LUIZ SIQUEIRA")</f>
        <v>A.A. COL. ESTADUAL JOSE LUIZ SIQUEIRA</v>
      </c>
      <c r="D68" s="165" t="str">
        <f ca="1">IFERROR(__xludf.DUMMYFUNCTION("""COMPUTED_VALUE"""),"01257082000117")</f>
        <v>01257082000117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IFERROR(__xludf.DUMMYFUNCTION("""COMPUTED_VALUE"""),"0465291")</f>
        <v>0465291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IFERROR(__xludf.DUMMYFUNCTION("""COMPUTED_VALUE"""),1260)</f>
        <v>1260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IFERROR(__xludf.DUMMYFUNCTION("""COMPUTED_VALUE"""),326.4)</f>
        <v>326.39999999999998</v>
      </c>
      <c r="Q68" s="8">
        <f ca="1">IFERROR(__xludf.DUMMYFUNCTION("""COMPUTED_VALUE"""),2880)</f>
        <v>2880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IFERROR(__xludf.DUMMYFUNCTION("""COMPUTED_VALUE"""),0)</f>
        <v>0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IFERROR(__xludf.DUMMYFUNCTION("""COMPUTED_VALUE"""),"ASSOCIAÇÃO DE APOIO DA ESCOLA ESPECIAL MORADA DO SOL")</f>
        <v>ASSOCIAÇÃO DE APOIO DA ESCOLA ESPECIAL MORADA DO SOL</v>
      </c>
      <c r="D69" s="165" t="str">
        <f ca="1">IFERROR(__xludf.DUMMYFUNCTION("""COMPUTED_VALUE"""),"07941368000101")</f>
        <v>07941368000101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IFERROR(__xludf.DUMMYFUNCTION("""COMPUTED_VALUE"""),"537349")</f>
        <v>537349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IFERROR(__xludf.DUMMYFUNCTION("""COMPUTED_VALUE"""),40)</f>
        <v>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IFERROR(__xludf.DUMMYFUNCTION("""COMPUTED_VALUE"""),1156)</f>
        <v>1156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IFERROR(__xludf.DUMMYFUNCTION("""COMPUTED_VALUE"""),705.199999999999)</f>
        <v>705.19999999999902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1" t="str">
        <f ca="1">IFERROR(__xludf.DUMMYFUNCTION("""COMPUTED_VALUE"""),"A.APOIO ESCOLA ESTADUAL D. PEDRO II")</f>
        <v>A.APOIO ESCOLA ESTADUAL D. PEDRO II</v>
      </c>
      <c r="D70" s="165" t="str">
        <f ca="1">IFERROR(__xludf.DUMMYFUNCTION("""COMPUTED_VALUE"""),"01186465000141")</f>
        <v>01186465000141</v>
      </c>
      <c r="E70" s="7" t="str">
        <f ca="1">IFERROR(__xludf.DUMMYFUNCTION("""COMPUTED_VALUE"""),"001")</f>
        <v>001</v>
      </c>
      <c r="F70" s="8" t="str">
        <f ca="1">IFERROR(__xludf.DUMMYFUNCTION("""COMPUTED_VALUE"""),"0638")</f>
        <v>0638</v>
      </c>
      <c r="G70" s="8" t="str">
        <f ca="1">IFERROR(__xludf.DUMMYFUNCTION("""COMPUTED_VALUE"""),"0463108")</f>
        <v>0463108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IFERROR(__xludf.DUMMYFUNCTION("""COMPUTED_VALUE"""),2580)</f>
        <v>2580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IFERROR(__xludf.DUMMYFUNCTION("""COMPUTED_VALUE"""),258.4)</f>
        <v>258.39999999999998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IFERROR(__xludf.DUMMYFUNCTION("""COMPUTED_VALUE"""),705.199999999999)</f>
        <v>705.19999999999902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IFERROR(__xludf.DUMMYFUNCTION("""COMPUTED_VALUE"""),"A.A. COL. MUL. PROFA. JULIANA BARROS")</f>
        <v>A.A. COL. MUL. PROFA. JULIANA BARROS</v>
      </c>
      <c r="D71" s="165" t="str">
        <f ca="1">IFERROR(__xludf.DUMMYFUNCTION("""COMPUTED_VALUE"""),"01136047000140")</f>
        <v>01136047000140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IFERROR(__xludf.DUMMYFUNCTION("""COMPUTED_VALUE"""),"0330027")</f>
        <v>0330027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IFERROR(__xludf.DUMMYFUNCTION("""COMPUTED_VALUE"""),1310)</f>
        <v>1310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IFERROR(__xludf.DUMMYFUNCTION("""COMPUTED_VALUE"""),0)</f>
        <v>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IFERROR(__xludf.DUMMYFUNCTION("""COMPUTED_VALUE"""),582.199999999999)</f>
        <v>582.19999999999902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IFERROR(__xludf.DUMMYFUNCTION("""COMPUTED_VALUE"""),"A. COM. DA ESC. EST. EURICO MOTA")</f>
        <v>A. COM. DA ESC. EST. EURICO MOTA</v>
      </c>
      <c r="D72" s="165" t="str">
        <f ca="1">IFERROR(__xludf.DUMMYFUNCTION("""COMPUTED_VALUE"""),"01718086000155")</f>
        <v>01718086000155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IFERROR(__xludf.DUMMYFUNCTION("""COMPUTED_VALUE"""),"0324744")</f>
        <v>0324744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IFERROR(__xludf.DUMMYFUNCTION("""COMPUTED_VALUE"""),0)</f>
        <v>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IFERROR(__xludf.DUMMYFUNCTION("""COMPUTED_VALUE"""),0)</f>
        <v>0</v>
      </c>
      <c r="Q72" s="8">
        <f ca="1">IFERROR(__xludf.DUMMYFUNCTION("""COMPUTED_VALUE"""),4900)</f>
        <v>4900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65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IFERROR(__xludf.DUMMYFUNCTION("""COMPUTED_VALUE"""),2000)</f>
        <v>2000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IFERROR(__xludf.DUMMYFUNCTION("""COMPUTED_VALUE"""),163.2)</f>
        <v>163.19999999999999</v>
      </c>
      <c r="Q73" s="8">
        <f ca="1">IFERROR(__xludf.DUMMYFUNCTION("""COMPUTED_VALUE"""),3620)</f>
        <v>3620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65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IFERROR(__xludf.DUMMYFUNCTION("""COMPUTED_VALUE"""),370)</f>
        <v>370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IFERROR(__xludf.DUMMYFUNCTION("""COMPUTED_VALUE"""),188.6)</f>
        <v>188.6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65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IFERROR(__xludf.DUMMYFUNCTION("""COMPUTED_VALUE"""),4650)</f>
        <v>4650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IFERROR(__xludf.DUMMYFUNCTION("""COMPUTED_VALUE"""),190.4)</f>
        <v>190.4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65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IFERROR(__xludf.DUMMYFUNCTION("""COMPUTED_VALUE"""),3220)</f>
        <v>3220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IFERROR(__xludf.DUMMYFUNCTION("""COMPUTED_VALUE"""),244.799999999999)</f>
        <v>244.79999999999899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IFERROR(__xludf.DUMMYFUNCTION("""COMPUTED_VALUE"""),1795.8)</f>
        <v>1795.8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65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IFERROR(__xludf.DUMMYFUNCTION("""COMPUTED_VALUE"""),17864.8)</f>
        <v>17864.8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IFERROR(__xludf.DUMMYFUNCTION("""COMPUTED_VALUE"""),421.599999999999)</f>
        <v>421.599999999999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65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IFERROR(__xludf.DUMMYFUNCTION("""COMPUTED_VALUE"""),560)</f>
        <v>560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IFERROR(__xludf.DUMMYFUNCTION("""COMPUTED_VALUE"""),244.799999999999)</f>
        <v>244.79999999999899</v>
      </c>
      <c r="Q78" s="8">
        <f ca="1">IFERROR(__xludf.DUMMYFUNCTION("""COMPUTED_VALUE"""),370)</f>
        <v>370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65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IFERROR(__xludf.DUMMYFUNCTION("""COMPUTED_VALUE"""),6550)</f>
        <v>6550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65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IFERROR(__xludf.DUMMYFUNCTION("""COMPUTED_VALUE"""),1010)</f>
        <v>1010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IFERROR(__xludf.DUMMYFUNCTION("""COMPUTED_VALUE"""),176.799999999999)</f>
        <v>176.79999999999899</v>
      </c>
      <c r="Q80" s="8">
        <f ca="1">IFERROR(__xludf.DUMMYFUNCTION("""COMPUTED_VALUE"""),570)</f>
        <v>570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65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IFERROR(__xludf.DUMMYFUNCTION("""COMPUTED_VALUE"""),610)</f>
        <v>610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IFERROR(__xludf.DUMMYFUNCTION("""COMPUTED_VALUE"""),68)</f>
        <v>68</v>
      </c>
      <c r="Q81" s="8">
        <f ca="1">IFERROR(__xludf.DUMMYFUNCTION("""COMPUTED_VALUE"""),380)</f>
        <v>380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IFERROR(__xludf.DUMMYFUNCTION("""COMPUTED_VALUE"""),98.3999999999999)</f>
        <v>98.399999999999906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65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IFERROR(__xludf.DUMMYFUNCTION("""COMPUTED_VALUE"""),5020)</f>
        <v>5020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IFERROR(__xludf.DUMMYFUNCTION("""COMPUTED_VALUE"""),448.8)</f>
        <v>448.8</v>
      </c>
      <c r="Q82" s="8">
        <f ca="1">IFERROR(__xludf.DUMMYFUNCTION("""COMPUTED_VALUE"""),2280)</f>
        <v>2280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65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IFERROR(__xludf.DUMMYFUNCTION("""COMPUTED_VALUE"""),950)</f>
        <v>950</v>
      </c>
      <c r="R83" s="8">
        <f ca="1">IFERROR(__xludf.DUMMYFUNCTION("""COMPUTED_VALUE"""),0)</f>
        <v>0</v>
      </c>
      <c r="S83" s="8">
        <f ca="1">IFERROR(__xludf.DUMMYFUNCTION("""COMPUTED_VALUE"""),19302.4)</f>
        <v>19302.400000000001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65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IFERROR(__xludf.DUMMYFUNCTION("""COMPUTED_VALUE"""),8822.8)</f>
        <v>8822.7999999999993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IFERROR(__xludf.DUMMYFUNCTION("""COMPUTED_VALUE"""),231.2)</f>
        <v>231.2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65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IFERROR(__xludf.DUMMYFUNCTION("""COMPUTED_VALUE"""),1020)</f>
        <v>1020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IFERROR(__xludf.DUMMYFUNCTION("""COMPUTED_VALUE"""),149.6)</f>
        <v>149.6</v>
      </c>
      <c r="Q85" s="8">
        <f ca="1">IFERROR(__xludf.DUMMYFUNCTION("""COMPUTED_VALUE"""),450)</f>
        <v>450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IFERROR(__xludf.DUMMYFUNCTION("""COMPUTED_VALUE"""),1312)</f>
        <v>1312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65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IFERROR(__xludf.DUMMYFUNCTION("""COMPUTED_VALUE"""),5640)</f>
        <v>5640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IFERROR(__xludf.DUMMYFUNCTION("""COMPUTED_VALUE"""),217.6)</f>
        <v>217.6</v>
      </c>
      <c r="Q86" s="8">
        <f ca="1">IFERROR(__xludf.DUMMYFUNCTION("""COMPUTED_VALUE"""),1430)</f>
        <v>1430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65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IFERROR(__xludf.DUMMYFUNCTION("""COMPUTED_VALUE"""),6070)</f>
        <v>6070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65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IFERROR(__xludf.DUMMYFUNCTION("""COMPUTED_VALUE"""),2150)</f>
        <v>2150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65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IFERROR(__xludf.DUMMYFUNCTION("""COMPUTED_VALUE"""),9420.8)</f>
        <v>9420.7999999999993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65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IFERROR(__xludf.DUMMYFUNCTION("""COMPUTED_VALUE"""),980)</f>
        <v>980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IFERROR(__xludf.DUMMYFUNCTION("""COMPUTED_VALUE"""),176.799999999999)</f>
        <v>176.79999999999899</v>
      </c>
      <c r="Q90" s="8">
        <f ca="1">IFERROR(__xludf.DUMMYFUNCTION("""COMPUTED_VALUE"""),420)</f>
        <v>420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65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IFERROR(__xludf.DUMMYFUNCTION("""COMPUTED_VALUE"""),136)</f>
        <v>136</v>
      </c>
      <c r="Q91" s="8">
        <f ca="1">IFERROR(__xludf.DUMMYFUNCTION("""COMPUTED_VALUE"""),520)</f>
        <v>520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IFERROR(__xludf.DUMMYFUNCTION("""COMPUTED_VALUE"""),106.6)</f>
        <v>106.6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65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IFERROR(__xludf.DUMMYFUNCTION("""COMPUTED_VALUE"""),1780)</f>
        <v>1780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IFERROR(__xludf.DUMMYFUNCTION("""COMPUTED_VALUE"""),503.2)</f>
        <v>503.2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65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IFERROR(__xludf.DUMMYFUNCTION("""COMPUTED_VALUE"""),3950)</f>
        <v>3950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IFERROR(__xludf.DUMMYFUNCTION("""COMPUTED_VALUE"""),1200)</f>
        <v>1200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65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IFERROR(__xludf.DUMMYFUNCTION("""COMPUTED_VALUE"""),730)</f>
        <v>730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IFERROR(__xludf.DUMMYFUNCTION("""COMPUTED_VALUE"""),149.6)</f>
        <v>149.6</v>
      </c>
      <c r="Q94" s="8">
        <f ca="1">IFERROR(__xludf.DUMMYFUNCTION("""COMPUTED_VALUE"""),1200)</f>
        <v>1200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65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IFERROR(__xludf.DUMMYFUNCTION("""COMPUTED_VALUE"""),820)</f>
        <v>820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IFERROR(__xludf.DUMMYFUNCTION("""COMPUTED_VALUE"""),390)</f>
        <v>390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65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IFERROR(__xludf.DUMMYFUNCTION("""COMPUTED_VALUE"""),1550)</f>
        <v>1550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IFERROR(__xludf.DUMMYFUNCTION("""COMPUTED_VALUE"""),2510)</f>
        <v>2510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65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IFERROR(__xludf.DUMMYFUNCTION("""COMPUTED_VALUE"""),1110)</f>
        <v>1110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IFERROR(__xludf.DUMMYFUNCTION("""COMPUTED_VALUE"""),2020)</f>
        <v>2020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65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IFERROR(__xludf.DUMMYFUNCTION("""COMPUTED_VALUE"""),2274.2)</f>
        <v>2274.1999999999998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IFERROR(__xludf.DUMMYFUNCTION("""COMPUTED_VALUE"""),2931.79999999999)</f>
        <v>2931.7999999999902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66" t="str">
        <f ca="1">IFERROR(__xludf.DUMMYFUNCTION("""COMPUTED_VALUE"""),"Araguatins")</f>
        <v>Araguatins</v>
      </c>
      <c r="B99" s="166" t="str">
        <f ca="1">IFERROR(__xludf.DUMMYFUNCTION("""COMPUTED_VALUE"""),"Praia Norte")</f>
        <v>Praia Norte</v>
      </c>
      <c r="C99" s="167" t="str">
        <f ca="1">IFERROR(__xludf.DUMMYFUNCTION("""COMPUTED_VALUE"""),"ASS. DE AP.ESCOLA EST. Iº DE JUNHO")</f>
        <v>ASS. DE AP.ESCOLA EST. Iº DE JUNHO</v>
      </c>
      <c r="D99" s="168" t="str">
        <f ca="1">IFERROR(__xludf.DUMMYFUNCTION("""COMPUTED_VALUE"""),"01392734000126")</f>
        <v>01392734000126</v>
      </c>
      <c r="E99" s="169" t="str">
        <f ca="1">IFERROR(__xludf.DUMMYFUNCTION("""COMPUTED_VALUE"""),"001")</f>
        <v>001</v>
      </c>
      <c r="F99" s="170" t="str">
        <f ca="1">IFERROR(__xludf.DUMMYFUNCTION("""COMPUTED_VALUE"""),"3975")</f>
        <v>3975</v>
      </c>
      <c r="G99" s="170" t="str">
        <f ca="1">IFERROR(__xludf.DUMMYFUNCTION("""COMPUTED_VALUE"""),"19712")</f>
        <v>19712</v>
      </c>
      <c r="H99" s="170">
        <f ca="1">IFERROR(__xludf.DUMMYFUNCTION("""COMPUTED_VALUE"""),0)</f>
        <v>0</v>
      </c>
      <c r="I99" s="170">
        <f ca="1">IFERROR(__xludf.DUMMYFUNCTION("""COMPUTED_VALUE"""),0)</f>
        <v>0</v>
      </c>
      <c r="J99" s="170">
        <f ca="1">IFERROR(__xludf.DUMMYFUNCTION("""COMPUTED_VALUE"""),2090)</f>
        <v>2090</v>
      </c>
      <c r="K99" s="170">
        <f ca="1">IFERROR(__xludf.DUMMYFUNCTION("""COMPUTED_VALUE"""),0)</f>
        <v>0</v>
      </c>
      <c r="L99" s="170">
        <f ca="1">IFERROR(__xludf.DUMMYFUNCTION("""COMPUTED_VALUE"""),0)</f>
        <v>0</v>
      </c>
      <c r="M99" s="170">
        <f ca="1">IFERROR(__xludf.DUMMYFUNCTION("""COMPUTED_VALUE"""),0)</f>
        <v>0</v>
      </c>
      <c r="N99" s="170">
        <f ca="1">IFERROR(__xludf.DUMMYFUNCTION("""COMPUTED_VALUE"""),0)</f>
        <v>0</v>
      </c>
      <c r="O99" s="170">
        <f ca="1">IFERROR(__xludf.DUMMYFUNCTION("""COMPUTED_VALUE"""),0)</f>
        <v>0</v>
      </c>
      <c r="P99" s="170">
        <f ca="1">IFERROR(__xludf.DUMMYFUNCTION("""COMPUTED_VALUE"""),95.2)</f>
        <v>95.2</v>
      </c>
      <c r="Q99" s="170">
        <f ca="1">IFERROR(__xludf.DUMMYFUNCTION("""COMPUTED_VALUE"""),0)</f>
        <v>0</v>
      </c>
      <c r="R99" s="170">
        <f ca="1">IFERROR(__xludf.DUMMYFUNCTION("""COMPUTED_VALUE"""),0)</f>
        <v>0</v>
      </c>
      <c r="S99" s="170">
        <f ca="1">IFERROR(__xludf.DUMMYFUNCTION("""COMPUTED_VALUE"""),0)</f>
        <v>0</v>
      </c>
      <c r="T99" s="170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65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IFERROR(__xludf.DUMMYFUNCTION("""COMPUTED_VALUE"""),401.799999999999)</f>
        <v>401.79999999999899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65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IFERROR(__xludf.DUMMYFUNCTION("""COMPUTED_VALUE"""),3930)</f>
        <v>3930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IFERROR(__xludf.DUMMYFUNCTION("""COMPUTED_VALUE"""),163.2)</f>
        <v>163.19999999999999</v>
      </c>
      <c r="Q101" s="8">
        <f ca="1">IFERROR(__xludf.DUMMYFUNCTION("""COMPUTED_VALUE"""),2280)</f>
        <v>2280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65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IFERROR(__xludf.DUMMYFUNCTION("""COMPUTED_VALUE"""),1920)</f>
        <v>1920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IFERROR(__xludf.DUMMYFUNCTION("""COMPUTED_VALUE"""),244.799999999999)</f>
        <v>244.79999999999899</v>
      </c>
      <c r="Q102" s="8">
        <f ca="1">IFERROR(__xludf.DUMMYFUNCTION("""COMPUTED_VALUE"""),2280)</f>
        <v>2280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IFERROR(__xludf.DUMMYFUNCTION("""COMPUTED_VALUE"""),565.8)</f>
        <v>565.79999999999995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65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IFERROR(__xludf.DUMMYFUNCTION("""COMPUTED_VALUE"""),770)</f>
        <v>770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IFERROR(__xludf.DUMMYFUNCTION("""COMPUTED_VALUE"""),490)</f>
        <v>490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65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IFERROR(__xludf.DUMMYFUNCTION("""COMPUTED_VALUE"""),2800)</f>
        <v>2800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IFERROR(__xludf.DUMMYFUNCTION("""COMPUTED_VALUE"""),2190)</f>
        <v>2190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65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IFERROR(__xludf.DUMMYFUNCTION("""COMPUTED_VALUE"""),2020)</f>
        <v>2020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IFERROR(__xludf.DUMMYFUNCTION("""COMPUTED_VALUE"""),163.2)</f>
        <v>163.19999999999999</v>
      </c>
      <c r="Q105" s="8">
        <f ca="1">IFERROR(__xludf.DUMMYFUNCTION("""COMPUTED_VALUE"""),2780)</f>
        <v>2780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65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IFERROR(__xludf.DUMMYFUNCTION("""COMPUTED_VALUE"""),1830)</f>
        <v>1830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65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IFERROR(__xludf.DUMMYFUNCTION("""COMPUTED_VALUE"""),1410)</f>
        <v>1410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IFERROR(__xludf.DUMMYFUNCTION("""COMPUTED_VALUE"""),204)</f>
        <v>204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IFERROR(__xludf.DUMMYFUNCTION("""COMPUTED_VALUE"""),508.4)</f>
        <v>508.4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65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IFERROR(__xludf.DUMMYFUNCTION("""COMPUTED_VALUE"""),1260)</f>
        <v>1260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IFERROR(__xludf.DUMMYFUNCTION("""COMPUTED_VALUE"""),0)</f>
        <v>0</v>
      </c>
      <c r="Q108" s="8">
        <f ca="1">IFERROR(__xludf.DUMMYFUNCTION("""COMPUTED_VALUE"""),3020)</f>
        <v>3020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IFERROR(__xludf.DUMMYFUNCTION("""COMPUTED_VALUE"""),565.8)</f>
        <v>565.79999999999995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65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IFERROR(__xludf.DUMMYFUNCTION("""COMPUTED_VALUE"""),440)</f>
        <v>440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IFERROR(__xludf.DUMMYFUNCTION("""COMPUTED_VALUE"""),720)</f>
        <v>720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65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IFERROR(__xludf.DUMMYFUNCTION("""COMPUTED_VALUE"""),1100)</f>
        <v>1100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65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IFERROR(__xludf.DUMMYFUNCTION("""COMPUTED_VALUE"""),460)</f>
        <v>460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IFERROR(__xludf.DUMMYFUNCTION("""COMPUTED_VALUE"""),0)</f>
        <v>0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65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IFERROR(__xludf.DUMMYFUNCTION("""COMPUTED_VALUE"""),2713.6)</f>
        <v>2713.6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65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IFERROR(__xludf.DUMMYFUNCTION("""COMPUTED_VALUE"""),0)</f>
        <v>0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65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IFERROR(__xludf.DUMMYFUNCTION("""COMPUTED_VALUE"""),1520)</f>
        <v>1520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65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IFERROR(__xludf.DUMMYFUNCTION("""COMPUTED_VALUE"""),2000)</f>
        <v>2000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65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IFERROR(__xludf.DUMMYFUNCTION("""COMPUTED_VALUE"""),1120)</f>
        <v>1120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IFERROR(__xludf.DUMMYFUNCTION("""COMPUTED_VALUE"""),176.799999999999)</f>
        <v>176.79999999999899</v>
      </c>
      <c r="Q116" s="8">
        <f ca="1">IFERROR(__xludf.DUMMYFUNCTION("""COMPUTED_VALUE"""),630)</f>
        <v>630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65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IFERROR(__xludf.DUMMYFUNCTION("""COMPUTED_VALUE"""),1670)</f>
        <v>1670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IFERROR(__xludf.DUMMYFUNCTION("""COMPUTED_VALUE"""),426.4)</f>
        <v>426.4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65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IFERROR(__xludf.DUMMYFUNCTION("""COMPUTED_VALUE"""),280)</f>
        <v>280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IFERROR(__xludf.DUMMYFUNCTION("""COMPUTED_VALUE"""),108.8)</f>
        <v>108.8</v>
      </c>
      <c r="Q118" s="8">
        <f ca="1">IFERROR(__xludf.DUMMYFUNCTION("""COMPUTED_VALUE"""),1680)</f>
        <v>1680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65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IFERROR(__xludf.DUMMYFUNCTION("""COMPUTED_VALUE"""),1160)</f>
        <v>1160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65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IFERROR(__xludf.DUMMYFUNCTION("""COMPUTED_VALUE"""),2150)</f>
        <v>2150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65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IFERROR(__xludf.DUMMYFUNCTION("""COMPUTED_VALUE"""),5288.2)</f>
        <v>5288.2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IFERROR(__xludf.DUMMYFUNCTION("""COMPUTED_VALUE"""),0)</f>
        <v>0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65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IFERROR(__xludf.DUMMYFUNCTION("""COMPUTED_VALUE"""),1540)</f>
        <v>1540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IFERROR(__xludf.DUMMYFUNCTION("""COMPUTED_VALUE"""),217.6)</f>
        <v>217.6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65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IFERROR(__xludf.DUMMYFUNCTION("""COMPUTED_VALUE"""),1130)</f>
        <v>1130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IFERROR(__xludf.DUMMYFUNCTION("""COMPUTED_VALUE"""),272)</f>
        <v>272</v>
      </c>
      <c r="Q123" s="8">
        <f ca="1">IFERROR(__xludf.DUMMYFUNCTION("""COMPUTED_VALUE"""),810)</f>
        <v>810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65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IFERROR(__xludf.DUMMYFUNCTION("""COMPUTED_VALUE"""),2000)</f>
        <v>2000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IFERROR(__xludf.DUMMYFUNCTION("""COMPUTED_VALUE"""),710)</f>
        <v>710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65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IFERROR(__xludf.DUMMYFUNCTION("""COMPUTED_VALUE"""),3190)</f>
        <v>3190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IFERROR(__xludf.DUMMYFUNCTION("""COMPUTED_VALUE"""),352.599999999999)</f>
        <v>352.599999999999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65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IFERROR(__xludf.DUMMYFUNCTION("""COMPUTED_VALUE"""),4380)</f>
        <v>4380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IFERROR(__xludf.DUMMYFUNCTION("""COMPUTED_VALUE"""),258.4)</f>
        <v>258.39999999999998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65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IFERROR(__xludf.DUMMYFUNCTION("""COMPUTED_VALUE"""),480)</f>
        <v>480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IFERROR(__xludf.DUMMYFUNCTION("""COMPUTED_VALUE"""),310)</f>
        <v>310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IFERROR(__xludf.DUMMYFUNCTION("""COMPUTED_VALUE"""),0)</f>
        <v>0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65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IFERROR(__xludf.DUMMYFUNCTION("""COMPUTED_VALUE"""),600)</f>
        <v>600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IFERROR(__xludf.DUMMYFUNCTION("""COMPUTED_VALUE"""),460)</f>
        <v>460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65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IFERROR(__xludf.DUMMYFUNCTION("""COMPUTED_VALUE"""),2420)</f>
        <v>2420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65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IFERROR(__xludf.DUMMYFUNCTION("""COMPUTED_VALUE"""),3240)</f>
        <v>3240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IFERROR(__xludf.DUMMYFUNCTION("""COMPUTED_VALUE"""),340)</f>
        <v>340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65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IFERROR(__xludf.DUMMYFUNCTION("""COMPUTED_VALUE"""),720)</f>
        <v>720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IFERROR(__xludf.DUMMYFUNCTION("""COMPUTED_VALUE"""),1360)</f>
        <v>1360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65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IFERROR(__xludf.DUMMYFUNCTION("""COMPUTED_VALUE"""),660)</f>
        <v>660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IFERROR(__xludf.DUMMYFUNCTION("""COMPUTED_VALUE"""),95.2)</f>
        <v>95.2</v>
      </c>
      <c r="Q132" s="8">
        <f ca="1">IFERROR(__xludf.DUMMYFUNCTION("""COMPUTED_VALUE"""),1570)</f>
        <v>1570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IFERROR(__xludf.DUMMYFUNCTION("""COMPUTED_VALUE"""),287)</f>
        <v>287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65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IFERROR(__xludf.DUMMYFUNCTION("""COMPUTED_VALUE"""),1460)</f>
        <v>1460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IFERROR(__xludf.DUMMYFUNCTION("""COMPUTED_VALUE"""),600)</f>
        <v>600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65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IFERROR(__xludf.DUMMYFUNCTION("""COMPUTED_VALUE"""),176.799999999999)</f>
        <v>176.79999999999899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IFERROR(__xludf.DUMMYFUNCTION("""COMPUTED_VALUE"""),10342.4)</f>
        <v>10342.4</v>
      </c>
      <c r="T134" s="8">
        <f ca="1">IFERROR(__xludf.DUMMYFUNCTION("""COMPUTED_VALUE"""),623.199999999999)</f>
        <v>623.19999999999902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65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IFERROR(__xludf.DUMMYFUNCTION("""COMPUTED_VALUE"""),8192.6)</f>
        <v>8192.6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65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IFERROR(__xludf.DUMMYFUNCTION("""COMPUTED_VALUE"""),4310)</f>
        <v>4310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IFERROR(__xludf.DUMMYFUNCTION("""COMPUTED_VALUE"""),244.799999999999)</f>
        <v>244.79999999999899</v>
      </c>
      <c r="Q136" s="8">
        <f ca="1">IFERROR(__xludf.DUMMYFUNCTION("""COMPUTED_VALUE"""),3320)</f>
        <v>3320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65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IFERROR(__xludf.DUMMYFUNCTION("""COMPUTED_VALUE"""),310)</f>
        <v>310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IFERROR(__xludf.DUMMYFUNCTION("""COMPUTED_VALUE"""),1645.6)</f>
        <v>1645.6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IFERROR(__xludf.DUMMYFUNCTION("""COMPUTED_VALUE"""),737.999999999999)</f>
        <v>737.99999999999898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65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IFERROR(__xludf.DUMMYFUNCTION("""COMPUTED_VALUE"""),380.8)</f>
        <v>380.8</v>
      </c>
      <c r="Q138" s="8">
        <f ca="1">IFERROR(__xludf.DUMMYFUNCTION("""COMPUTED_VALUE"""),4330)</f>
        <v>4330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IFERROR(__xludf.DUMMYFUNCTION("""COMPUTED_VALUE"""),656)</f>
        <v>656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65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IFERROR(__xludf.DUMMYFUNCTION("""COMPUTED_VALUE"""),6137.59999999999)</f>
        <v>6137.5999999999904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IFERROR(__xludf.DUMMYFUNCTION("""COMPUTED_VALUE"""),285.599999999999)</f>
        <v>285.599999999999</v>
      </c>
      <c r="Q139" s="8">
        <f ca="1">IFERROR(__xludf.DUMMYFUNCTION("""COMPUTED_VALUE"""),1870)</f>
        <v>1870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5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IFERROR(__xludf.DUMMYFUNCTION("""COMPUTED_VALUE"""),5644.4)</f>
        <v>5644.4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65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IFERROR(__xludf.DUMMYFUNCTION("""COMPUTED_VALUE"""),5420)</f>
        <v>5420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IFERROR(__xludf.DUMMYFUNCTION("""COMPUTED_VALUE"""),0)</f>
        <v>0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65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IFERROR(__xludf.DUMMYFUNCTION("""COMPUTED_VALUE"""),940)</f>
        <v>940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IFERROR(__xludf.DUMMYFUNCTION("""COMPUTED_VALUE"""),149.6)</f>
        <v>149.6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65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IFERROR(__xludf.DUMMYFUNCTION("""COMPUTED_VALUE"""),2730)</f>
        <v>2730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IFERROR(__xludf.DUMMYFUNCTION("""COMPUTED_VALUE"""),2150)</f>
        <v>2150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IFERROR(__xludf.DUMMYFUNCTION("""COMPUTED_VALUE"""),82)</f>
        <v>82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65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IFERROR(__xludf.DUMMYFUNCTION("""COMPUTED_VALUE"""),830)</f>
        <v>830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IFERROR(__xludf.DUMMYFUNCTION("""COMPUTED_VALUE"""),108.8)</f>
        <v>108.8</v>
      </c>
      <c r="Q144" s="8">
        <f ca="1">IFERROR(__xludf.DUMMYFUNCTION("""COMPUTED_VALUE"""),1070)</f>
        <v>1070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65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IFERROR(__xludf.DUMMYFUNCTION("""COMPUTED_VALUE"""),1740)</f>
        <v>1740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IFERROR(__xludf.DUMMYFUNCTION("""COMPUTED_VALUE"""),2130)</f>
        <v>2130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65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IFERROR(__xludf.DUMMYFUNCTION("""COMPUTED_VALUE"""),2860)</f>
        <v>2860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IFERROR(__xludf.DUMMYFUNCTION("""COMPUTED_VALUE"""),353.599999999999)</f>
        <v>353.599999999999</v>
      </c>
      <c r="Q146" s="8">
        <f ca="1">IFERROR(__xludf.DUMMYFUNCTION("""COMPUTED_VALUE"""),1640)</f>
        <v>1640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65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IFERROR(__xludf.DUMMYFUNCTION("""COMPUTED_VALUE"""),1480)</f>
        <v>1480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IFERROR(__xludf.DUMMYFUNCTION("""COMPUTED_VALUE"""),800)</f>
        <v>800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65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IFERROR(__xludf.DUMMYFUNCTION("""COMPUTED_VALUE"""),3610)</f>
        <v>3610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IFERROR(__xludf.DUMMYFUNCTION("""COMPUTED_VALUE"""),272)</f>
        <v>272</v>
      </c>
      <c r="Q148" s="8">
        <f ca="1">IFERROR(__xludf.DUMMYFUNCTION("""COMPUTED_VALUE"""),1820)</f>
        <v>1820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65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65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IFERROR(__xludf.DUMMYFUNCTION("""COMPUTED_VALUE"""),5617)</f>
        <v>5617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65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IFERROR(__xludf.DUMMYFUNCTION("""COMPUTED_VALUE"""),2540)</f>
        <v>2540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IFERROR(__xludf.DUMMYFUNCTION("""COMPUTED_VALUE"""),2040)</f>
        <v>2040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65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IFERROR(__xludf.DUMMYFUNCTION("""COMPUTED_VALUE"""),300)</f>
        <v>300</v>
      </c>
      <c r="K152" s="8">
        <f ca="1">IFERROR(__xludf.DUMMYFUNCTION("""COMPUTED_VALUE"""),1096)</f>
        <v>1096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IFERROR(__xludf.DUMMYFUNCTION("""COMPUTED_VALUE"""),5120)</f>
        <v>5120</v>
      </c>
      <c r="T152" s="8">
        <f ca="1">IFERROR(__xludf.DUMMYFUNCTION("""COMPUTED_VALUE"""),828.199999999999)</f>
        <v>828.19999999999902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65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IFERROR(__xludf.DUMMYFUNCTION("""COMPUTED_VALUE"""),6020)</f>
        <v>6020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IFERROR(__xludf.DUMMYFUNCTION("""COMPUTED_VALUE"""),204)</f>
        <v>204</v>
      </c>
      <c r="Q153" s="8">
        <f ca="1">IFERROR(__xludf.DUMMYFUNCTION("""COMPUTED_VALUE"""),3570)</f>
        <v>3570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65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IFERROR(__xludf.DUMMYFUNCTION("""COMPUTED_VALUE"""),1410)</f>
        <v>1410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IFERROR(__xludf.DUMMYFUNCTION("""COMPUTED_VALUE"""),204)</f>
        <v>204</v>
      </c>
      <c r="Q154" s="8">
        <f ca="1">IFERROR(__xludf.DUMMYFUNCTION("""COMPUTED_VALUE"""),250)</f>
        <v>250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65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IFERROR(__xludf.DUMMYFUNCTION("""COMPUTED_VALUE"""),230)</f>
        <v>230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IFERROR(__xludf.DUMMYFUNCTION("""COMPUTED_VALUE"""),965.6)</f>
        <v>965.6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IFERROR(__xludf.DUMMYFUNCTION("""COMPUTED_VALUE"""),418.2)</f>
        <v>418.2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65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IFERROR(__xludf.DUMMYFUNCTION("""COMPUTED_VALUE"""),2350)</f>
        <v>2350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IFERROR(__xludf.DUMMYFUNCTION("""COMPUTED_VALUE"""),2430)</f>
        <v>2430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65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IFERROR(__xludf.DUMMYFUNCTION("""COMPUTED_VALUE"""),3820)</f>
        <v>3820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IFERROR(__xludf.DUMMYFUNCTION("""COMPUTED_VALUE"""),285.599999999999)</f>
        <v>285.599999999999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65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IFERROR(__xludf.DUMMYFUNCTION("""COMPUTED_VALUE"""),2230)</f>
        <v>2230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IFERROR(__xludf.DUMMYFUNCTION("""COMPUTED_VALUE"""),640)</f>
        <v>640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65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IFERROR(__xludf.DUMMYFUNCTION("""COMPUTED_VALUE"""),2070)</f>
        <v>2070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IFERROR(__xludf.DUMMYFUNCTION("""COMPUTED_VALUE"""),1720)</f>
        <v>1720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65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IFERROR(__xludf.DUMMYFUNCTION("""COMPUTED_VALUE"""),930)</f>
        <v>930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65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IFERROR(__xludf.DUMMYFUNCTION("""COMPUTED_VALUE"""),2480)</f>
        <v>2480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IFERROR(__xludf.DUMMYFUNCTION("""COMPUTED_VALUE"""),326.4)</f>
        <v>326.39999999999998</v>
      </c>
      <c r="Q161" s="8">
        <f ca="1">IFERROR(__xludf.DUMMYFUNCTION("""COMPUTED_VALUE"""),1230)</f>
        <v>1230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65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IFERROR(__xludf.DUMMYFUNCTION("""COMPUTED_VALUE"""),1330)</f>
        <v>1330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IFERROR(__xludf.DUMMYFUNCTION("""COMPUTED_VALUE"""),620)</f>
        <v>620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65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IFERROR(__xludf.DUMMYFUNCTION("""COMPUTED_VALUE"""),2480)</f>
        <v>2480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IFERROR(__xludf.DUMMYFUNCTION("""COMPUTED_VALUE"""),163.2)</f>
        <v>163.19999999999999</v>
      </c>
      <c r="Q163" s="8">
        <f ca="1">IFERROR(__xludf.DUMMYFUNCTION("""COMPUTED_VALUE"""),3650)</f>
        <v>3650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IFERROR(__xludf.DUMMYFUNCTION("""COMPUTED_VALUE"""),1246.39999999999)</f>
        <v>1246.3999999999901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65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IFERROR(__xludf.DUMMYFUNCTION("""COMPUTED_VALUE"""),7116.8)</f>
        <v>7116.8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65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IFERROR(__xludf.DUMMYFUNCTION("""COMPUTED_VALUE"""),3280)</f>
        <v>3280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IFERROR(__xludf.DUMMYFUNCTION("""COMPUTED_VALUE"""),272)</f>
        <v>272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65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IFERROR(__xludf.DUMMYFUNCTION("""COMPUTED_VALUE"""),1810)</f>
        <v>1810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IFERROR(__xludf.DUMMYFUNCTION("""COMPUTED_VALUE"""),700)</f>
        <v>700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65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IFERROR(__xludf.DUMMYFUNCTION("""COMPUTED_VALUE"""),1470)</f>
        <v>1470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IFERROR(__xludf.DUMMYFUNCTION("""COMPUTED_VALUE"""),231.2)</f>
        <v>231.2</v>
      </c>
      <c r="Q167" s="8">
        <f ca="1">IFERROR(__xludf.DUMMYFUNCTION("""COMPUTED_VALUE"""),2930)</f>
        <v>2930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IFERROR(__xludf.DUMMYFUNCTION("""COMPUTED_VALUE"""),295.2)</f>
        <v>295.2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65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IFERROR(__xludf.DUMMYFUNCTION("""COMPUTED_VALUE"""),129.6)</f>
        <v>129.6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IFERROR(__xludf.DUMMYFUNCTION("""COMPUTED_VALUE"""),217.6)</f>
        <v>217.6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IFERROR(__xludf.DUMMYFUNCTION("""COMPUTED_VALUE"""),787.199999999999)</f>
        <v>787.19999999999902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65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IFERROR(__xludf.DUMMYFUNCTION("""COMPUTED_VALUE"""),2100)</f>
        <v>2100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IFERROR(__xludf.DUMMYFUNCTION("""COMPUTED_VALUE"""),340)</f>
        <v>340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65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IFERROR(__xludf.DUMMYFUNCTION("""COMPUTED_VALUE"""),250)</f>
        <v>250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IFERROR(__xludf.DUMMYFUNCTION("""COMPUTED_VALUE"""),190)</f>
        <v>190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65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IFERROR(__xludf.DUMMYFUNCTION("""COMPUTED_VALUE"""),0)</f>
        <v>0</v>
      </c>
      <c r="Q171" s="8">
        <f ca="1">IFERROR(__xludf.DUMMYFUNCTION("""COMPUTED_VALUE"""),620)</f>
        <v>620</v>
      </c>
      <c r="R171" s="8">
        <f ca="1">IFERROR(__xludf.DUMMYFUNCTION("""COMPUTED_VALUE"""),4575.8)</f>
        <v>4575.8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65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IFERROR(__xludf.DUMMYFUNCTION("""COMPUTED_VALUE"""),140)</f>
        <v>140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IFERROR(__xludf.DUMMYFUNCTION("""COMPUTED_VALUE"""),435.2)</f>
        <v>435.2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IFERROR(__xludf.DUMMYFUNCTION("""COMPUTED_VALUE"""),409.999999999999)</f>
        <v>409.99999999999898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65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IFERROR(__xludf.DUMMYFUNCTION("""COMPUTED_VALUE"""),1250)</f>
        <v>1250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65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IFERROR(__xludf.DUMMYFUNCTION("""COMPUTED_VALUE"""),690)</f>
        <v>690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IFERROR(__xludf.DUMMYFUNCTION("""COMPUTED_VALUE"""),0)</f>
        <v>0</v>
      </c>
      <c r="Q174" s="8">
        <f ca="1">IFERROR(__xludf.DUMMYFUNCTION("""COMPUTED_VALUE"""),140)</f>
        <v>140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IFERROR(__xludf.DUMMYFUNCTION("""COMPUTED_VALUE"""),180.399999999999)</f>
        <v>180.39999999999901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65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IFERROR(__xludf.DUMMYFUNCTION("""COMPUTED_VALUE"""),258.4)</f>
        <v>258.39999999999998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IFERROR(__xludf.DUMMYFUNCTION("""COMPUTED_VALUE"""),114.799999999999)</f>
        <v>114.799999999999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65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IFERROR(__xludf.DUMMYFUNCTION("""COMPUTED_VALUE"""),2712.6)</f>
        <v>2712.6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IFERROR(__xludf.DUMMYFUNCTION("""COMPUTED_VALUE"""),217.6)</f>
        <v>217.6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IFERROR(__xludf.DUMMYFUNCTION("""COMPUTED_VALUE"""),7372.8)</f>
        <v>7372.8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65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IFERROR(__xludf.DUMMYFUNCTION("""COMPUTED_VALUE"""),1150)</f>
        <v>1150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IFERROR(__xludf.DUMMYFUNCTION("""COMPUTED_VALUE"""),217.6)</f>
        <v>217.6</v>
      </c>
      <c r="Q177" s="8">
        <f ca="1">IFERROR(__xludf.DUMMYFUNCTION("""COMPUTED_VALUE"""),1980)</f>
        <v>1980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65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IFERROR(__xludf.DUMMYFUNCTION("""COMPUTED_VALUE"""),0)</f>
        <v>0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IFERROR(__xludf.DUMMYFUNCTION("""COMPUTED_VALUE"""),408)</f>
        <v>408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IFERROR(__xludf.DUMMYFUNCTION("""COMPUTED_VALUE"""),172.2)</f>
        <v>172.2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65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IFERROR(__xludf.DUMMYFUNCTION("""COMPUTED_VALUE"""),2000)</f>
        <v>2000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IFERROR(__xludf.DUMMYFUNCTION("""COMPUTED_VALUE"""),408)</f>
        <v>408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IFERROR(__xludf.DUMMYFUNCTION("""COMPUTED_VALUE"""),737.999999999999)</f>
        <v>737.99999999999898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65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IFERROR(__xludf.DUMMYFUNCTION("""COMPUTED_VALUE"""),204)</f>
        <v>204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IFERROR(__xludf.DUMMYFUNCTION("""COMPUTED_VALUE"""),12851.2)</f>
        <v>12851.2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65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IFERROR(__xludf.DUMMYFUNCTION("""COMPUTED_VALUE"""),3980)</f>
        <v>3980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IFERROR(__xludf.DUMMYFUNCTION("""COMPUTED_VALUE"""),136)</f>
        <v>136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65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IFERROR(__xludf.DUMMYFUNCTION("""COMPUTED_VALUE"""),3560)</f>
        <v>3560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IFERROR(__xludf.DUMMYFUNCTION("""COMPUTED_VALUE"""),149.6)</f>
        <v>149.6</v>
      </c>
      <c r="Q182" s="8">
        <f ca="1">IFERROR(__xludf.DUMMYFUNCTION("""COMPUTED_VALUE"""),2240)</f>
        <v>2240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65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IFERROR(__xludf.DUMMYFUNCTION("""COMPUTED_VALUE"""),1710)</f>
        <v>1710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IFERROR(__xludf.DUMMYFUNCTION("""COMPUTED_VALUE"""),149.6)</f>
        <v>149.6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IFERROR(__xludf.DUMMYFUNCTION("""COMPUTED_VALUE"""),1828.6)</f>
        <v>1828.6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65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IFERROR(__xludf.DUMMYFUNCTION("""COMPUTED_VALUE"""),217.6)</f>
        <v>217.6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65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IFERROR(__xludf.DUMMYFUNCTION("""COMPUTED_VALUE"""),2270)</f>
        <v>2270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IFERROR(__xludf.DUMMYFUNCTION("""COMPUTED_VALUE"""),163.2)</f>
        <v>163.19999999999999</v>
      </c>
      <c r="Q185" s="8">
        <f ca="1">IFERROR(__xludf.DUMMYFUNCTION("""COMPUTED_VALUE"""),4380)</f>
        <v>4380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65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IFERROR(__xludf.DUMMYFUNCTION("""COMPUTED_VALUE"""),1520)</f>
        <v>1520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65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IFERROR(__xludf.DUMMYFUNCTION("""COMPUTED_VALUE"""),1190)</f>
        <v>1190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IFERROR(__xludf.DUMMYFUNCTION("""COMPUTED_VALUE"""),870)</f>
        <v>870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IFERROR(__xludf.DUMMYFUNCTION("""COMPUTED_VALUE"""),426.4)</f>
        <v>426.4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65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IFERROR(__xludf.DUMMYFUNCTION("""COMPUTED_VALUE"""),2070)</f>
        <v>2070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65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IFERROR(__xludf.DUMMYFUNCTION("""COMPUTED_VALUE"""),1540)</f>
        <v>1540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IFERROR(__xludf.DUMMYFUNCTION("""COMPUTED_VALUE"""),340)</f>
        <v>340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IFERROR(__xludf.DUMMYFUNCTION("""COMPUTED_VALUE"""),164)</f>
        <v>164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65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IFERROR(__xludf.DUMMYFUNCTION("""COMPUTED_VALUE"""),1420)</f>
        <v>1420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IFERROR(__xludf.DUMMYFUNCTION("""COMPUTED_VALUE"""),900)</f>
        <v>900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65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IFERROR(__xludf.DUMMYFUNCTION("""COMPUTED_VALUE"""),950)</f>
        <v>950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IFERROR(__xludf.DUMMYFUNCTION("""COMPUTED_VALUE"""),1620)</f>
        <v>1620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65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IFERROR(__xludf.DUMMYFUNCTION("""COMPUTED_VALUE"""),1060)</f>
        <v>1060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65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IFERROR(__xludf.DUMMYFUNCTION("""COMPUTED_VALUE"""),541.199999999999)</f>
        <v>541.19999999999902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65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IFERROR(__xludf.DUMMYFUNCTION("""COMPUTED_VALUE"""),3863.39999999999)</f>
        <v>3863.3999999999901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IFERROR(__xludf.DUMMYFUNCTION("""COMPUTED_VALUE"""),299.2)</f>
        <v>299.2</v>
      </c>
      <c r="Q194" s="8">
        <f ca="1">IFERROR(__xludf.DUMMYFUNCTION("""COMPUTED_VALUE"""),0)</f>
        <v>0</v>
      </c>
      <c r="R194" s="8">
        <f ca="1">IFERROR(__xludf.DUMMYFUNCTION("""COMPUTED_VALUE"""),794.599999999999)</f>
        <v>794.599999999999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65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IFERROR(__xludf.DUMMYFUNCTION("""COMPUTED_VALUE"""),2260)</f>
        <v>2260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65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IFERROR(__xludf.DUMMYFUNCTION("""COMPUTED_VALUE"""),3210)</f>
        <v>3210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65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IFERROR(__xludf.DUMMYFUNCTION("""COMPUTED_VALUE"""),187.2)</f>
        <v>187.2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IFERROR(__xludf.DUMMYFUNCTION("""COMPUTED_VALUE"""),1033.6)</f>
        <v>1033.5999999999999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IFERROR(__xludf.DUMMYFUNCTION("""COMPUTED_VALUE"""),615)</f>
        <v>615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65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IFERROR(__xludf.DUMMYFUNCTION("""COMPUTED_VALUE"""),570)</f>
        <v>570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IFERROR(__xludf.DUMMYFUNCTION("""COMPUTED_VALUE"""),95.2)</f>
        <v>95.2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IFERROR(__xludf.DUMMYFUNCTION("""COMPUTED_VALUE"""),762.599999999999)</f>
        <v>762.599999999999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65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IFERROR(__xludf.DUMMYFUNCTION("""COMPUTED_VALUE"""),2900)</f>
        <v>2900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65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IFERROR(__xludf.DUMMYFUNCTION("""COMPUTED_VALUE"""),1074.39999999999)</f>
        <v>1074.3999999999901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IFERROR(__xludf.DUMMYFUNCTION("""COMPUTED_VALUE"""),565.8)</f>
        <v>565.79999999999995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65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IFERROR(__xludf.DUMMYFUNCTION("""COMPUTED_VALUE"""),2380)</f>
        <v>2380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65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IFERROR(__xludf.DUMMYFUNCTION("""COMPUTED_VALUE"""),690)</f>
        <v>690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IFERROR(__xludf.DUMMYFUNCTION("""COMPUTED_VALUE"""),1610)</f>
        <v>1610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IFERROR(__xludf.DUMMYFUNCTION("""COMPUTED_VALUE"""),237.799999999999)</f>
        <v>237.79999999999899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65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IFERROR(__xludf.DUMMYFUNCTION("""COMPUTED_VALUE"""),580)</f>
        <v>580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IFERROR(__xludf.DUMMYFUNCTION("""COMPUTED_VALUE"""),590)</f>
        <v>590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65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IFERROR(__xludf.DUMMYFUNCTION("""COMPUTED_VALUE"""),2990)</f>
        <v>2990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IFERROR(__xludf.DUMMYFUNCTION("""COMPUTED_VALUE"""),299.2)</f>
        <v>299.2</v>
      </c>
      <c r="Q204" s="8">
        <f ca="1">IFERROR(__xludf.DUMMYFUNCTION("""COMPUTED_VALUE"""),1450)</f>
        <v>1450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65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IFERROR(__xludf.DUMMYFUNCTION("""COMPUTED_VALUE"""),1720)</f>
        <v>1720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65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IFERROR(__xludf.DUMMYFUNCTION("""COMPUTED_VALUE"""),3380)</f>
        <v>3380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IFERROR(__xludf.DUMMYFUNCTION("""COMPUTED_VALUE"""),149.6)</f>
        <v>149.6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65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65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IFERROR(__xludf.DUMMYFUNCTION("""COMPUTED_VALUE"""),2560)</f>
        <v>2560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65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IFERROR(__xludf.DUMMYFUNCTION("""COMPUTED_VALUE"""),401.799999999999)</f>
        <v>401.79999999999899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65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IFERROR(__xludf.DUMMYFUNCTION("""COMPUTED_VALUE"""),3940)</f>
        <v>3940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IFERROR(__xludf.DUMMYFUNCTION("""COMPUTED_VALUE"""),408)</f>
        <v>408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IFERROR(__xludf.DUMMYFUNCTION("""COMPUTED_VALUE"""),934.8)</f>
        <v>934.8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65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IFERROR(__xludf.DUMMYFUNCTION("""COMPUTED_VALUE"""),2253.2)</f>
        <v>2253.1999999999998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1" t="str">
        <f ca="1">IFERROR(__xludf.DUMMYFUNCTION("""COMPUTED_VALUE"""),"A.A. ESC. EST.ISOL.E IND.REG.DE GURUPI")</f>
        <v>A.A. ESC. EST.ISOL.E IND.REG.DE GURUPI</v>
      </c>
      <c r="D212" s="165" t="str">
        <f ca="1">IFERROR(__xludf.DUMMYFUNCTION("""COMPUTED_VALUE"""),"03011592000135")</f>
        <v>03011592000135</v>
      </c>
      <c r="E212" s="7" t="str">
        <f ca="1">IFERROR(__xludf.DUMMYFUNCTION("""COMPUTED_VALUE"""),"001")</f>
        <v>001</v>
      </c>
      <c r="F212" s="8" t="str">
        <f ca="1">IFERROR(__xludf.DUMMYFUNCTION("""COMPUTED_VALUE"""),"0794")</f>
        <v>0794</v>
      </c>
      <c r="G212" s="8" t="str">
        <f ca="1">IFERROR(__xludf.DUMMYFUNCTION("""COMPUTED_VALUE"""),"67563")</f>
        <v>67563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IFERROR(__xludf.DUMMYFUNCTION("""COMPUTED_VALUE"""),8617.19999999999)</f>
        <v>8617.1999999999898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1" t="str">
        <f ca="1">IFERROR(__xludf.DUMMYFUNCTION("""COMPUTED_VALUE"""),"ASSOC. A. CENTRO DE ENS. MÉDIO ARY R. VALADÃO FILHO")</f>
        <v>ASSOC. A. CENTRO DE ENS. MÉDIO ARY R. VALADÃO FILHO</v>
      </c>
      <c r="D213" s="165" t="str">
        <f ca="1">IFERROR(__xludf.DUMMYFUNCTION("""COMPUTED_VALUE"""),"02152392000130")</f>
        <v>02152392000130</v>
      </c>
      <c r="E213" s="7" t="str">
        <f ca="1">IFERROR(__xludf.DUMMYFUNCTION("""COMPUTED_VALUE"""),"001")</f>
        <v>001</v>
      </c>
      <c r="F213" s="8" t="str">
        <f ca="1">IFERROR(__xludf.DUMMYFUNCTION("""COMPUTED_VALUE"""),"0794")</f>
        <v>0794</v>
      </c>
      <c r="G213" s="8" t="str">
        <f ca="1">IFERROR(__xludf.DUMMYFUNCTION("""COMPUTED_VALUE"""),"420646")</f>
        <v>420646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IFERROR(__xludf.DUMMYFUNCTION("""COMPUTED_VALUE"""),0)</f>
        <v>0</v>
      </c>
      <c r="P213" s="8">
        <f ca="1">IFERROR(__xludf.DUMMYFUNCTION("""COMPUTED_VALUE"""),408)</f>
        <v>408</v>
      </c>
      <c r="Q213" s="8">
        <f ca="1">IFERROR(__xludf.DUMMYFUNCTION("""COMPUTED_VALUE"""),7990)</f>
        <v>7990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1" t="str">
        <f ca="1">IFERROR(__xludf.DUMMYFUNCTION("""COMPUTED_VALUE"""),"ASSOC. DE APOIO ESC. EST. BOM JESUS")</f>
        <v>ASSOC. DE APOIO ESC. EST. BOM JESUS</v>
      </c>
      <c r="D214" s="165" t="str">
        <f ca="1">IFERROR(__xludf.DUMMYFUNCTION("""COMPUTED_VALUE"""),"01865430000139")</f>
        <v>01865430000139</v>
      </c>
      <c r="E214" s="7" t="str">
        <f ca="1">IFERROR(__xludf.DUMMYFUNCTION("""COMPUTED_VALUE"""),"001")</f>
        <v>001</v>
      </c>
      <c r="F214" s="8" t="str">
        <f ca="1">IFERROR(__xludf.DUMMYFUNCTION("""COMPUTED_VALUE"""),"0794")</f>
        <v>0794</v>
      </c>
      <c r="G214" s="8" t="str">
        <f ca="1">IFERROR(__xludf.DUMMYFUNCTION("""COMPUTED_VALUE"""),"420603")</f>
        <v>420603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IFERROR(__xludf.DUMMYFUNCTION("""COMPUTED_VALUE"""),0)</f>
        <v>0</v>
      </c>
      <c r="P214" s="8">
        <f ca="1">IFERROR(__xludf.DUMMYFUNCTION("""COMPUTED_VALUE"""),217.6)</f>
        <v>217.6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IFERROR(__xludf.DUMMYFUNCTION("""COMPUTED_VALUE"""),16486.4)</f>
        <v>16486.400000000001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IFERROR(__xludf.DUMMYFUNCTION("""COMPUTED_VALUE"""),"ASSOC. DE APOIO COL. EST. DE GURUPI")</f>
        <v>ASSOC. DE APOIO COL. EST. DE GURUPI</v>
      </c>
      <c r="D215" s="165" t="str">
        <f ca="1">IFERROR(__xludf.DUMMYFUNCTION("""COMPUTED_VALUE"""),"01887135000183")</f>
        <v>01887135000183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IFERROR(__xludf.DUMMYFUNCTION("""COMPUTED_VALUE"""),"420700")</f>
        <v>420700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IFERROR(__xludf.DUMMYFUNCTION("""COMPUTED_VALUE"""),0)</f>
        <v>0</v>
      </c>
      <c r="P215" s="8">
        <f ca="1">IFERROR(__xludf.DUMMYFUNCTION("""COMPUTED_VALUE"""),108.8)</f>
        <v>108.8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IFERROR(__xludf.DUMMYFUNCTION("""COMPUTED_VALUE"""),4710.4)</f>
        <v>4710.3999999999996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IFERROR(__xludf.DUMMYFUNCTION("""COMPUTED_VALUE"""),"A.A.  DO COL. PAROQUIAL BERNARDO SAYAO")</f>
        <v>A.A.  DO COL. PAROQUIAL BERNARDO SAYAO</v>
      </c>
      <c r="D216" s="165" t="str">
        <f ca="1">IFERROR(__xludf.DUMMYFUNCTION("""COMPUTED_VALUE"""),"01865371000107")</f>
        <v>01865371000107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IFERROR(__xludf.DUMMYFUNCTION("""COMPUTED_VALUE"""),"66796")</f>
        <v>66796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IFERROR(__xludf.DUMMYFUNCTION("""COMPUTED_VALUE"""),5190)</f>
        <v>5190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IFERROR(__xludf.DUMMYFUNCTION("""COMPUTED_VALUE"""),448.8)</f>
        <v>448.8</v>
      </c>
      <c r="Q216" s="8">
        <f ca="1">IFERROR(__xludf.DUMMYFUNCTION("""COMPUTED_VALUE"""),0)</f>
        <v>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IFERROR(__xludf.DUMMYFUNCTION("""COMPUTED_VALUE"""),"A.A.  ESCOLAR DO COL. EST. JOSE SEABRA")</f>
        <v>A.A.  ESCOLAR DO COL. EST. JOSE SEABRA</v>
      </c>
      <c r="D217" s="165" t="str">
        <f ca="1">IFERROR(__xludf.DUMMYFUNCTION("""COMPUTED_VALUE"""),"01910570000181")</f>
        <v>01910570000181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IFERROR(__xludf.DUMMYFUNCTION("""COMPUTED_VALUE"""),"66982")</f>
        <v>66982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IFERROR(__xludf.DUMMYFUNCTION("""COMPUTED_VALUE"""),8631)</f>
        <v>8631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IFERROR(__xludf.DUMMYFUNCTION("""COMPUTED_VALUE"""),0)</f>
        <v>0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IFERROR(__xludf.DUMMYFUNCTION("""COMPUTED_VALUE"""),0)</f>
        <v>0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IFERROR(__xludf.DUMMYFUNCTION("""COMPUTED_VALUE"""),"A.P.M.AL.MAIORES DE ID.C.POSITIVO GURUPI")</f>
        <v>A.P.M.AL.MAIORES DE ID.C.POSITIVO GURUPI</v>
      </c>
      <c r="D218" s="165" t="str">
        <f ca="1">IFERROR(__xludf.DUMMYFUNCTION("""COMPUTED_VALUE"""),"01865432000128")</f>
        <v>01865432000128</v>
      </c>
      <c r="E218" s="7" t="str">
        <f ca="1">IFERROR(__xludf.DUMMYFUNCTION("""COMPUTED_VALUE"""),"104")</f>
        <v>104</v>
      </c>
      <c r="F218" s="8" t="str">
        <f ca="1">IFERROR(__xludf.DUMMYFUNCTION("""COMPUTED_VALUE"""),"0793")</f>
        <v>0793</v>
      </c>
      <c r="G218" s="8" t="str">
        <f ca="1">IFERROR(__xludf.DUMMYFUNCTION("""COMPUTED_VALUE"""),"12138")</f>
        <v>12138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IFERROR(__xludf.DUMMYFUNCTION("""COMPUTED_VALUE"""),4370)</f>
        <v>4370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IFERROR(__xludf.DUMMYFUNCTION("""COMPUTED_VALUE"""),0)</f>
        <v>0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IFERROR(__xludf.DUMMYFUNCTION("""COMPUTED_VALUE"""),0)</f>
        <v>0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IFERROR(__xludf.DUMMYFUNCTION("""COMPUTED_VALUE"""),"INSTITUTO SOCIAL EVANG DE GURUPI/EDUC. EVANG. EBENÉZER")</f>
        <v>INSTITUTO SOCIAL EVANG DE GURUPI/EDUC. EVANG. EBENÉZER</v>
      </c>
      <c r="D219" s="165" t="str">
        <f ca="1">IFERROR(__xludf.DUMMYFUNCTION("""COMPUTED_VALUE"""),"17194297000176")</f>
        <v>17194297000176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IFERROR(__xludf.DUMMYFUNCTION("""COMPUTED_VALUE"""),"493066")</f>
        <v>493066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IFERROR(__xludf.DUMMYFUNCTION("""COMPUTED_VALUE"""),7500)</f>
        <v>7500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IFERROR(__xludf.DUMMYFUNCTION("""COMPUTED_VALUE"""),0)</f>
        <v>0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IFERROR(__xludf.DUMMYFUNCTION("""COMPUTED_VALUE"""),"ASSOCIAÇÃO DE APOIO A ESCOLA ESPECIAL SÃO FRANCISCO DE ASSIS")</f>
        <v>ASSOCIAÇÃO DE APOIO A ESCOLA ESPECIAL SÃO FRANCISCO DE ASSIS</v>
      </c>
      <c r="D220" s="165" t="str">
        <f ca="1">IFERROR(__xludf.DUMMYFUNCTION("""COMPUTED_VALUE"""),"07947356000186")</f>
        <v>07947356000186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IFERROR(__xludf.DUMMYFUNCTION("""COMPUTED_VALUE"""),"431109")</f>
        <v>431109</v>
      </c>
      <c r="H220" s="8">
        <f ca="1">IFERROR(__xludf.DUMMYFUNCTION("""COMPUTED_VALUE"""),0)</f>
        <v>0</v>
      </c>
      <c r="I220" s="8">
        <f ca="1">IFERROR(__xludf.DUMMYFUNCTION("""COMPUTED_VALUE"""),288)</f>
        <v>288</v>
      </c>
      <c r="J220" s="8">
        <f ca="1">IFERROR(__xludf.DUMMYFUNCTION("""COMPUTED_VALUE"""),220)</f>
        <v>220</v>
      </c>
      <c r="K220" s="8">
        <f ca="1">IFERROR(__xludf.DUMMYFUNCTION("""COMPUTED_VALUE"""),0)</f>
        <v>0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IFERROR(__xludf.DUMMYFUNCTION("""COMPUTED_VALUE"""),244.799999999999)</f>
        <v>244.79999999999899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IFERROR(__xludf.DUMMYFUNCTION("""COMPUTED_VALUE"""),918.399999999999)</f>
        <v>918.39999999999895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IFERROR(__xludf.DUMMYFUNCTION("""COMPUTED_VALUE"""),"A.A. ESC. EST. DR. JOAQUIM P. DA COSTA")</f>
        <v>A.A. ESC. EST. DR. JOAQUIM P. DA COSTA</v>
      </c>
      <c r="D221" s="165" t="str">
        <f ca="1">IFERROR(__xludf.DUMMYFUNCTION("""COMPUTED_VALUE"""),"01865386000167")</f>
        <v>01865386000167</v>
      </c>
      <c r="E221" s="7" t="str">
        <f ca="1">IFERROR(__xludf.DUMMYFUNCTION("""COMPUTED_VALUE"""),"001")</f>
        <v>001</v>
      </c>
      <c r="F221" s="8" t="str">
        <f ca="1">IFERROR(__xludf.DUMMYFUNCTION("""COMPUTED_VALUE"""),"0794")</f>
        <v>0794</v>
      </c>
      <c r="G221" s="8" t="str">
        <f ca="1">IFERROR(__xludf.DUMMYFUNCTION("""COMPUTED_VALUE"""),"67288")</f>
        <v>67288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IFERROR(__xludf.DUMMYFUNCTION("""COMPUTED_VALUE"""),2160)</f>
        <v>2160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IFERROR(__xludf.DUMMYFUNCTION("""COMPUTED_VALUE"""),421.599999999999)</f>
        <v>421.599999999999</v>
      </c>
      <c r="Q221" s="8">
        <f ca="1">IFERROR(__xludf.DUMMYFUNCTION("""COMPUTED_VALUE"""),6840)</f>
        <v>6840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IFERROR(__xludf.DUMMYFUNCTION("""COMPUTED_VALUE"""),672.4)</f>
        <v>672.4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IFERROR(__xludf.DUMMYFUNCTION("""COMPUTED_VALUE"""),"A.A. ESCOLAR DA ESC. EST. DR.WALDIR LINS")</f>
        <v>A.A. ESCOLAR DA ESC. EST. DR.WALDIR LINS</v>
      </c>
      <c r="D222" s="165" t="str">
        <f ca="1">IFERROR(__xludf.DUMMYFUNCTION("""COMPUTED_VALUE"""),"01936535000131")</f>
        <v>01936535000131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IFERROR(__xludf.DUMMYFUNCTION("""COMPUTED_VALUE"""),"66966")</f>
        <v>66966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IFERROR(__xludf.DUMMYFUNCTION("""COMPUTED_VALUE"""),60)</f>
        <v>60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IFERROR(__xludf.DUMMYFUNCTION("""COMPUTED_VALUE"""),163.2)</f>
        <v>163.19999999999999</v>
      </c>
      <c r="Q222" s="8">
        <f ca="1">IFERROR(__xludf.DUMMYFUNCTION("""COMPUTED_VALUE"""),1260)</f>
        <v>1260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IFERROR(__xludf.DUMMYFUNCTION("""COMPUTED_VALUE"""),"A. EDUCACIONAL PRES. COSTA E SILVA")</f>
        <v>A. EDUCACIONAL PRES. COSTA E SILVA</v>
      </c>
      <c r="D223" s="165" t="str">
        <f ca="1">IFERROR(__xludf.DUMMYFUNCTION("""COMPUTED_VALUE"""),"01888719000173")</f>
        <v>01888719000173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IFERROR(__xludf.DUMMYFUNCTION("""COMPUTED_VALUE"""),"67490")</f>
        <v>67490</v>
      </c>
      <c r="H223" s="8">
        <f ca="1">IFERROR(__xludf.DUMMYFUNCTION("""COMPUTED_VALUE"""),0)</f>
        <v>0</v>
      </c>
      <c r="I223" s="8">
        <f ca="1">IFERROR(__xludf.DUMMYFUNCTION("""COMPUTED_VALUE"""),0)</f>
        <v>0</v>
      </c>
      <c r="J223" s="8">
        <f ca="1">IFERROR(__xludf.DUMMYFUNCTION("""COMPUTED_VALUE"""),0)</f>
        <v>0</v>
      </c>
      <c r="K223" s="8">
        <f ca="1">IFERROR(__xludf.DUMMYFUNCTION("""COMPUTED_VALUE"""),12193)</f>
        <v>12193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IFERROR(__xludf.DUMMYFUNCTION("""COMPUTED_VALUE"""),380.8)</f>
        <v>380.8</v>
      </c>
      <c r="Q223" s="8">
        <f ca="1">IFERROR(__xludf.DUMMYFUNCTION("""COMPUTED_VALUE"""),0)</f>
        <v>0</v>
      </c>
      <c r="R223" s="8">
        <f ca="1">IFERROR(__xludf.DUMMYFUNCTION("""COMPUTED_VALUE"""),4521)</f>
        <v>4521</v>
      </c>
      <c r="S223" s="8">
        <f ca="1">IFERROR(__xludf.DUMMYFUNCTION("""COMPUTED_VALUE"""),0)</f>
        <v>0</v>
      </c>
      <c r="T223" s="8">
        <f ca="1">IFERROR(__xludf.DUMMYFUNCTION("""COMPUTED_VALUE"""),0)</f>
        <v>0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HERCILIA CARVALHO DA SILVA")</f>
        <v>A.A. ESC. EST. HERCILIA CARVALHO DA SILVA</v>
      </c>
      <c r="D224" s="165" t="str">
        <f ca="1">IFERROR(__xludf.DUMMYFUNCTION("""COMPUTED_VALUE"""),"01465790000143")</f>
        <v>01465790000143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IFERROR(__xludf.DUMMYFUNCTION("""COMPUTED_VALUE"""),"66834")</f>
        <v>66834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IFERROR(__xludf.DUMMYFUNCTION("""COMPUTED_VALUE"""),3150)</f>
        <v>3150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IFERROR(__xludf.DUMMYFUNCTION("""COMPUTED_VALUE"""),272)</f>
        <v>272</v>
      </c>
      <c r="Q224" s="8">
        <f ca="1">IFERROR(__xludf.DUMMYFUNCTION("""COMPUTED_VALUE"""),1950)</f>
        <v>1950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IFERROR(__xludf.DUMMYFUNCTION("""COMPUTED_VALUE"""),0)</f>
        <v>0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DA ESCOLA ESTADUAL RUI BARBOSA")</f>
        <v>A.A. DA ESCOLA ESTADUAL RUI BARBOSA</v>
      </c>
      <c r="D225" s="165" t="str">
        <f ca="1">IFERROR(__xludf.DUMMYFUNCTION("""COMPUTED_VALUE"""),"43753475000161")</f>
        <v>43753475000161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IFERROR(__xludf.DUMMYFUNCTION("""COMPUTED_VALUE"""),"682969")</f>
        <v>682969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IFERROR(__xludf.DUMMYFUNCTION("""COMPUTED_VALUE"""),0)</f>
        <v>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IFERROR(__xludf.DUMMYFUNCTION("""COMPUTED_VALUE"""),0)</f>
        <v>0</v>
      </c>
      <c r="Q225" s="8">
        <f ca="1">IFERROR(__xludf.DUMMYFUNCTION("""COMPUTED_VALUE"""),0)</f>
        <v>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IFERROR(__xludf.DUMMYFUNCTION("""COMPUTED_VALUE"""),2025.39999999999)</f>
        <v>2025.3999999999901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DE PAIS E MESTRES/ESC. EST. VILA GUARACY")</f>
        <v>A. DE PAIS E MESTRES/ESC. EST. VILA GUARACY</v>
      </c>
      <c r="D226" s="165" t="str">
        <f ca="1">IFERROR(__xludf.DUMMYFUNCTION("""COMPUTED_VALUE"""),"01918955000195")</f>
        <v>01918955000195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IFERROR(__xludf.DUMMYFUNCTION("""COMPUTED_VALUE"""),"67008")</f>
        <v>67008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IFERROR(__xludf.DUMMYFUNCTION("""COMPUTED_VALUE"""),1800)</f>
        <v>1800</v>
      </c>
      <c r="K226" s="8">
        <f ca="1">IFERROR(__xludf.DUMMYFUNCTION("""COMPUTED_VALUE"""),0)</f>
        <v>0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IFERROR(__xludf.DUMMYFUNCTION("""COMPUTED_VALUE"""),204)</f>
        <v>204</v>
      </c>
      <c r="Q226" s="8">
        <f ca="1">IFERROR(__xludf.DUMMYFUNCTION("""COMPUTED_VALUE"""),0)</f>
        <v>0</v>
      </c>
      <c r="R226" s="8">
        <f ca="1">IFERROR(__xludf.DUMMYFUNCTION("""COMPUTED_VALUE"""),0)</f>
        <v>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IFERROR(__xludf.DUMMYFUNCTION("""COMPUTED_VALUE"""),"APM. DA INSTITUIÇÃO BENEFICENTE IRMÃ DULCE")</f>
        <v>APM. DA INSTITUIÇÃO BENEFICENTE IRMÃ DULCE</v>
      </c>
      <c r="D227" s="165" t="str">
        <f ca="1">IFERROR(__xludf.DUMMYFUNCTION("""COMPUTED_VALUE"""),"10807313000100")</f>
        <v>10807313000100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IFERROR(__xludf.DUMMYFUNCTION("""COMPUTED_VALUE"""),"447218")</f>
        <v>447218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IFERROR(__xludf.DUMMYFUNCTION("""COMPUTED_VALUE"""),0)</f>
        <v>0</v>
      </c>
      <c r="K227" s="8">
        <f ca="1">IFERROR(__xludf.DUMMYFUNCTION("""COMPUTED_VALUE"""),4027.79999999999)</f>
        <v>4027.7999999999902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IFERROR(__xludf.DUMMYFUNCTION("""COMPUTED_VALUE"""),0)</f>
        <v>0</v>
      </c>
      <c r="Q227" s="8">
        <f ca="1">IFERROR(__xludf.DUMMYFUNCTION("""COMPUTED_VALUE"""),0)</f>
        <v>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IFERROR(__xludf.DUMMYFUNCTION("""COMPUTED_VALUE"""),"ASSOC APOIO INSTITUTO EDUCACIONAL PASSO A PASSO")</f>
        <v>ASSOC APOIO INSTITUTO EDUCACIONAL PASSO A PASSO</v>
      </c>
      <c r="D228" s="165" t="str">
        <f ca="1">IFERROR(__xludf.DUMMYFUNCTION("""COMPUTED_VALUE"""),"10450172000110")</f>
        <v>10450172000110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IFERROR(__xludf.DUMMYFUNCTION("""COMPUTED_VALUE"""),"414263")</f>
        <v>414263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IFERROR(__xludf.DUMMYFUNCTION("""COMPUTED_VALUE"""),4260)</f>
        <v>4260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IFERROR(__xludf.DUMMYFUNCTION("""COMPUTED_VALUE"""),0)</f>
        <v>0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IFERROR(__xludf.DUMMYFUNCTION("""COMPUTED_VALUE"""),"A.A. DO INSTITUTO PRESBITERIANO ARAGUAIA")</f>
        <v>A.A. DO INSTITUTO PRESBITERIANO ARAGUAIA</v>
      </c>
      <c r="D229" s="165" t="str">
        <f ca="1">IFERROR(__xludf.DUMMYFUNCTION("""COMPUTED_VALUE"""),"03060918000114")</f>
        <v>03060918000114</v>
      </c>
      <c r="E229" s="7" t="str">
        <f ca="1">IFERROR(__xludf.DUMMYFUNCTION("""COMPUTED_VALUE"""),"104")</f>
        <v>104</v>
      </c>
      <c r="F229" s="8" t="str">
        <f ca="1">IFERROR(__xludf.DUMMYFUNCTION("""COMPUTED_VALUE"""),"0793")</f>
        <v>0793</v>
      </c>
      <c r="G229" s="8" t="str">
        <f ca="1">IFERROR(__xludf.DUMMYFUNCTION("""COMPUTED_VALUE"""),"12090")</f>
        <v>12090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IFERROR(__xludf.DUMMYFUNCTION("""COMPUTED_VALUE"""),6330)</f>
        <v>6330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IFERROR(__xludf.DUMMYFUNCTION("""COMPUTED_VALUE"""),367.2)</f>
        <v>367.2</v>
      </c>
      <c r="Q229" s="8">
        <f ca="1">IFERROR(__xludf.DUMMYFUNCTION("""COMPUTED_VALUE"""),4600)</f>
        <v>4600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IFERROR(__xludf.DUMMYFUNCTION("""COMPUTED_VALUE"""),"A.A. DO INSTITUTO PRESBITERIANO EDUCACIONAL")</f>
        <v>A.A. DO INSTITUTO PRESBITERIANO EDUCACIONAL</v>
      </c>
      <c r="D230" s="165" t="str">
        <f ca="1">IFERROR(__xludf.DUMMYFUNCTION("""COMPUTED_VALUE"""),"07217559000117")</f>
        <v>07217559000117</v>
      </c>
      <c r="E230" s="7" t="str">
        <f ca="1">IFERROR(__xludf.DUMMYFUNCTION("""COMPUTED_VALUE"""),"104")</f>
        <v>104</v>
      </c>
      <c r="F230" s="8" t="str">
        <f ca="1">IFERROR(__xludf.DUMMYFUNCTION("""COMPUTED_VALUE"""),"0793")</f>
        <v>0793</v>
      </c>
      <c r="G230" s="8" t="str">
        <f ca="1">IFERROR(__xludf.DUMMYFUNCTION("""COMPUTED_VALUE"""),"2663")</f>
        <v>2663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IFERROR(__xludf.DUMMYFUNCTION("""COMPUTED_VALUE"""),2630)</f>
        <v>2630</v>
      </c>
      <c r="K230" s="8">
        <f ca="1">IFERROR(__xludf.DUMMYFUNCTION("""COMPUTED_VALUE"""),0)</f>
        <v>0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1" t="str">
        <f ca="1">IFERROR(__xludf.DUMMYFUNCTION("""COMPUTED_VALUE"""),"AAEC PEDRO LUIZ BONFIM/ADELÁIDE FRANCISCO SOARES")</f>
        <v>AAEC PEDRO LUIZ BONFIM/ADELÁIDE FRANCISCO SOARES</v>
      </c>
      <c r="D231" s="165" t="str">
        <f ca="1">IFERROR(__xludf.DUMMYFUNCTION("""COMPUTED_VALUE"""),"02080228000164")</f>
        <v>02080228000164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IFERROR(__xludf.DUMMYFUNCTION("""COMPUTED_VALUE"""),"420743")</f>
        <v>420743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IFERROR(__xludf.DUMMYFUNCTION("""COMPUTED_VALUE"""),0)</f>
        <v>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IFERROR(__xludf.DUMMYFUNCTION("""COMPUTED_VALUE"""),1420)</f>
        <v>1420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1" t="str">
        <f ca="1">IFERROR(__xludf.DUMMYFUNCTION("""COMPUTED_VALUE"""),"A.A. ESCOLA ESTADUAL PROFESSORA ONEIDES")</f>
        <v>A.A. ESCOLA ESTADUAL PROFESSORA ONEIDES</v>
      </c>
      <c r="D232" s="165" t="str">
        <f ca="1">IFERROR(__xludf.DUMMYFUNCTION("""COMPUTED_VALUE"""),"01262903000103")</f>
        <v>01262903000103</v>
      </c>
      <c r="E232" s="7" t="str">
        <f ca="1">IFERROR(__xludf.DUMMYFUNCTION("""COMPUTED_VALUE"""),"001")</f>
        <v>001</v>
      </c>
      <c r="F232" s="8" t="str">
        <f ca="1">IFERROR(__xludf.DUMMYFUNCTION("""COMPUTED_VALUE"""),"4608")</f>
        <v>4608</v>
      </c>
      <c r="G232" s="8" t="str">
        <f ca="1">IFERROR(__xludf.DUMMYFUNCTION("""COMPUTED_VALUE"""),"79758")</f>
        <v>79758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IFERROR(__xludf.DUMMYFUNCTION("""COMPUTED_VALUE"""),2250)</f>
        <v>2250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IFERROR(__xludf.DUMMYFUNCTION("""COMPUTED_VALUE"""),326.4)</f>
        <v>326.39999999999998</v>
      </c>
      <c r="Q232" s="8">
        <f ca="1">IFERROR(__xludf.DUMMYFUNCTION("""COMPUTED_VALUE"""),1630)</f>
        <v>1630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IFERROR(__xludf.DUMMYFUNCTION("""COMPUTED_VALUE"""),114.799999999999)</f>
        <v>114.799999999999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1" t="str">
        <f ca="1">IFERROR(__xludf.DUMMYFUNCTION("""COMPUTED_VALUE"""),"A. A.DO COLEGIO EST. DE PALMEIROPOLIS (COLÉGIO MILITAR)")</f>
        <v>A. A.DO COLEGIO EST. DE PALMEIROPOLIS (COLÉGIO MILITAR)</v>
      </c>
      <c r="D233" s="165" t="str">
        <f ca="1">IFERROR(__xludf.DUMMYFUNCTION("""COMPUTED_VALUE"""),"01210496000190")</f>
        <v>01210496000190</v>
      </c>
      <c r="E233" s="7" t="str">
        <f ca="1">IFERROR(__xludf.DUMMYFUNCTION("""COMPUTED_VALUE"""),"001")</f>
        <v>001</v>
      </c>
      <c r="F233" s="8" t="str">
        <f ca="1">IFERROR(__xludf.DUMMYFUNCTION("""COMPUTED_VALUE"""),"1303")</f>
        <v>1303</v>
      </c>
      <c r="G233" s="8" t="str">
        <f ca="1">IFERROR(__xludf.DUMMYFUNCTION("""COMPUTED_VALUE"""),"97438")</f>
        <v>97438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IFERROR(__xludf.DUMMYFUNCTION("""COMPUTED_VALUE"""),2340)</f>
        <v>2340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IFERROR(__xludf.DUMMYFUNCTION("""COMPUTED_VALUE"""),190.4)</f>
        <v>190.4</v>
      </c>
      <c r="Q233" s="8">
        <f ca="1">IFERROR(__xludf.DUMMYFUNCTION("""COMPUTED_VALUE"""),1670)</f>
        <v>1670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1" t="str">
        <f ca="1">IFERROR(__xludf.DUMMYFUNCTION("""COMPUTED_VALUE"""),"A.A. AO COLEGIO ESTADUAL D. ALANO")</f>
        <v>A.A. AO COLEGIO ESTADUAL D. ALANO</v>
      </c>
      <c r="D234" s="165" t="str">
        <f ca="1">IFERROR(__xludf.DUMMYFUNCTION("""COMPUTED_VALUE"""),"01133705000140")</f>
        <v>01133705000140</v>
      </c>
      <c r="E234" s="7" t="str">
        <f ca="1">IFERROR(__xludf.DUMMYFUNCTION("""COMPUTED_VALUE"""),"001")</f>
        <v>001</v>
      </c>
      <c r="F234" s="8" t="str">
        <f ca="1">IFERROR(__xludf.DUMMYFUNCTION("""COMPUTED_VALUE"""),"3979")</f>
        <v>3979</v>
      </c>
      <c r="G234" s="8" t="str">
        <f ca="1">IFERROR(__xludf.DUMMYFUNCTION("""COMPUTED_VALUE"""),"53155")</f>
        <v>53155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IFERROR(__xludf.DUMMYFUNCTION("""COMPUTED_VALUE"""),2650)</f>
        <v>2650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IFERROR(__xludf.DUMMYFUNCTION("""COMPUTED_VALUE"""),377.2)</f>
        <v>377.2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1" t="str">
        <f ca="1">IFERROR(__xludf.DUMMYFUNCTION("""COMPUTED_VALUE"""),"A.A.  ESC. EST.TANCREDO DE ALMEIDA NEVES")</f>
        <v>A.A.  ESC. EST.TANCREDO DE ALMEIDA NEVES</v>
      </c>
      <c r="D235" s="165" t="str">
        <f ca="1">IFERROR(__xludf.DUMMYFUNCTION("""COMPUTED_VALUE"""),"01136008000142")</f>
        <v>01136008000142</v>
      </c>
      <c r="E235" s="7" t="str">
        <f ca="1">IFERROR(__xludf.DUMMYFUNCTION("""COMPUTED_VALUE"""),"001")</f>
        <v>001</v>
      </c>
      <c r="F235" s="8" t="str">
        <f ca="1">IFERROR(__xludf.DUMMYFUNCTION("""COMPUTED_VALUE"""),"3979")</f>
        <v>3979</v>
      </c>
      <c r="G235" s="8" t="str">
        <f ca="1">IFERROR(__xludf.DUMMYFUNCTION("""COMPUTED_VALUE"""),"52914")</f>
        <v>52914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IFERROR(__xludf.DUMMYFUNCTION("""COMPUTED_VALUE"""),3710)</f>
        <v>3710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IFERROR(__xludf.DUMMYFUNCTION("""COMPUTED_VALUE"""),0)</f>
        <v>0</v>
      </c>
      <c r="Q235" s="8">
        <f ca="1">IFERROR(__xludf.DUMMYFUNCTION("""COMPUTED_VALUE"""),0)</f>
        <v>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IFERROR(__xludf.DUMMYFUNCTION("""COMPUTED_VALUE"""),0)</f>
        <v>0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1" t="str">
        <f ca="1">IFERROR(__xludf.DUMMYFUNCTION("""COMPUTED_VALUE"""),"A.A. A ESC. EST.NOSSA SENHORA APARECIDA")</f>
        <v>A.A. A ESC. EST.NOSSA SENHORA APARECIDA</v>
      </c>
      <c r="D236" s="165" t="str">
        <f ca="1">IFERROR(__xludf.DUMMYFUNCTION("""COMPUTED_VALUE"""),"01393269000148")</f>
        <v>01393269000148</v>
      </c>
      <c r="E236" s="7" t="str">
        <f ca="1">IFERROR(__xludf.DUMMYFUNCTION("""COMPUTED_VALUE"""),"001")</f>
        <v>001</v>
      </c>
      <c r="F236" s="8" t="str">
        <f ca="1">IFERROR(__xludf.DUMMYFUNCTION("""COMPUTED_VALUE"""),"1304")</f>
        <v>1304</v>
      </c>
      <c r="G236" s="8" t="str">
        <f ca="1">IFERROR(__xludf.DUMMYFUNCTION("""COMPUTED_VALUE"""),"105163")</f>
        <v>105163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IFERROR(__xludf.DUMMYFUNCTION("""COMPUTED_VALUE"""),2290)</f>
        <v>2290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IFERROR(__xludf.DUMMYFUNCTION("""COMPUTED_VALUE"""),258.4)</f>
        <v>258.39999999999998</v>
      </c>
      <c r="Q236" s="8">
        <f ca="1">IFERROR(__xludf.DUMMYFUNCTION("""COMPUTED_VALUE"""),1270)</f>
        <v>1270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1" t="str">
        <f ca="1">IFERROR(__xludf.DUMMYFUNCTION("""COMPUTED_VALUE"""),"ASS. DE APOIO ESC. EST.PE.JOSE DE ANCHIETA")</f>
        <v>ASS. DE APOIO ESC. EST.PE.JOSE DE ANCHIETA</v>
      </c>
      <c r="D237" s="165" t="str">
        <f ca="1">IFERROR(__xludf.DUMMYFUNCTION("""COMPUTED_VALUE"""),"01190190000110")</f>
        <v>01190190000110</v>
      </c>
      <c r="E237" s="7" t="str">
        <f ca="1">IFERROR(__xludf.DUMMYFUNCTION("""COMPUTED_VALUE"""),"001")</f>
        <v>001</v>
      </c>
      <c r="F237" s="8" t="str">
        <f ca="1">IFERROR(__xludf.DUMMYFUNCTION("""COMPUTED_VALUE"""),"1304")</f>
        <v>1304</v>
      </c>
      <c r="G237" s="8" t="str">
        <f ca="1">IFERROR(__xludf.DUMMYFUNCTION("""COMPUTED_VALUE"""),"105171")</f>
        <v>105171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IFERROR(__xludf.DUMMYFUNCTION("""COMPUTED_VALUE"""),420)</f>
        <v>420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IFERROR(__xludf.DUMMYFUNCTION("""COMPUTED_VALUE"""),180)</f>
        <v>180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IFERROR(__xludf.DUMMYFUNCTION("""COMPUTED_VALUE"""),0)</f>
        <v>0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1" t="str">
        <f ca="1">IFERROR(__xludf.DUMMYFUNCTION("""COMPUTED_VALUE"""),"A.A. COLEGIO ESTADUAL AGRÍCOLA JOSÉ PORFÍRIO DE SOUZA")</f>
        <v>A.A. COLEGIO ESTADUAL AGRÍCOLA JOSÉ PORFÍRIO DE SOUZA</v>
      </c>
      <c r="D238" s="165" t="str">
        <f ca="1">IFERROR(__xludf.DUMMYFUNCTION("""COMPUTED_VALUE"""),"49952315000128")</f>
        <v>49952315000128</v>
      </c>
      <c r="E238" s="7" t="str">
        <f ca="1">IFERROR(__xludf.DUMMYFUNCTION("""COMPUTED_VALUE"""),"001")</f>
        <v>001</v>
      </c>
      <c r="F238" s="8" t="str">
        <f ca="1">IFERROR(__xludf.DUMMYFUNCTION("""COMPUTED_VALUE"""),"4608")</f>
        <v>4608</v>
      </c>
      <c r="G238" s="8" t="str">
        <f ca="1">IFERROR(__xludf.DUMMYFUNCTION("""COMPUTED_VALUE"""),"183679")</f>
        <v>183679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IFERROR(__xludf.DUMMYFUNCTION("""COMPUTED_VALUE"""),0)</f>
        <v>0</v>
      </c>
      <c r="K238" s="8">
        <f ca="1">IFERROR(__xludf.DUMMYFUNCTION("""COMPUTED_VALUE"""),2712.6)</f>
        <v>2712.6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IFERROR(__xludf.DUMMYFUNCTION("""COMPUTED_VALUE"""),2438.6)</f>
        <v>2438.6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1" t="str">
        <f ca="1">IFERROR(__xludf.DUMMYFUNCTION("""COMPUTED_VALUE"""),"ASS.PAIS E M.ESC. EST.PORTO RIO MARANHAO")</f>
        <v>ASS.PAIS E M.ESC. EST.PORTO RIO MARANHAO</v>
      </c>
      <c r="D239" s="165" t="str">
        <f ca="1">IFERROR(__xludf.DUMMYFUNCTION("""COMPUTED_VALUE"""),"01296366000112")</f>
        <v>01296366000112</v>
      </c>
      <c r="E239" s="7" t="str">
        <f ca="1">IFERROR(__xludf.DUMMYFUNCTION("""COMPUTED_VALUE"""),"001")</f>
        <v>001</v>
      </c>
      <c r="F239" s="8" t="str">
        <f ca="1">IFERROR(__xludf.DUMMYFUNCTION("""COMPUTED_VALUE"""),"4608")</f>
        <v>4608</v>
      </c>
      <c r="G239" s="8" t="str">
        <f ca="1">IFERROR(__xludf.DUMMYFUNCTION("""COMPUTED_VALUE"""),"70270")</f>
        <v>70270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IFERROR(__xludf.DUMMYFUNCTION("""COMPUTED_VALUE"""),1240)</f>
        <v>1240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IFERROR(__xludf.DUMMYFUNCTION("""COMPUTED_VALUE"""),0)</f>
        <v>0</v>
      </c>
      <c r="Q239" s="8">
        <f ca="1">IFERROR(__xludf.DUMMYFUNCTION("""COMPUTED_VALUE"""),550)</f>
        <v>550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1" t="str">
        <f ca="1">IFERROR(__xludf.DUMMYFUNCTION("""COMPUTED_VALUE"""),"A.A DA ESCOLA ESTADUAL RETIRO")</f>
        <v>A.A DA ESCOLA ESTADUAL RETIRO</v>
      </c>
      <c r="D240" s="165" t="str">
        <f ca="1">IFERROR(__xludf.DUMMYFUNCTION("""COMPUTED_VALUE"""),"04205236000115")</f>
        <v>04205236000115</v>
      </c>
      <c r="E240" s="7" t="str">
        <f ca="1">IFERROR(__xludf.DUMMYFUNCTION("""COMPUTED_VALUE"""),"001")</f>
        <v>001</v>
      </c>
      <c r="F240" s="8" t="str">
        <f ca="1">IFERROR(__xludf.DUMMYFUNCTION("""COMPUTED_VALUE"""),"4608")</f>
        <v>4608</v>
      </c>
      <c r="G240" s="8" t="str">
        <f ca="1">IFERROR(__xludf.DUMMYFUNCTION("""COMPUTED_VALUE"""),"73563")</f>
        <v>73563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IFERROR(__xludf.DUMMYFUNCTION("""COMPUTED_VALUE"""),720)</f>
        <v>720</v>
      </c>
      <c r="K240" s="8">
        <f ca="1">IFERROR(__xludf.DUMMYFUNCTION("""COMPUTED_VALUE"""),0)</f>
        <v>0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IFERROR(__xludf.DUMMYFUNCTION("""COMPUTED_VALUE"""),320)</f>
        <v>320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1" t="str">
        <f ca="1">IFERROR(__xludf.DUMMYFUNCTION("""COMPUTED_VALUE"""),"A.P.M.E ALUNOS COL. EST. REGINA S. CAMPOS")</f>
        <v>A.P.M.E ALUNOS COL. EST. REGINA S. CAMPOS</v>
      </c>
      <c r="D241" s="165" t="str">
        <f ca="1">IFERROR(__xludf.DUMMYFUNCTION("""COMPUTED_VALUE"""),"01431377000168")</f>
        <v>01431377000168</v>
      </c>
      <c r="E241" s="7" t="str">
        <f ca="1">IFERROR(__xludf.DUMMYFUNCTION("""COMPUTED_VALUE"""),"001")</f>
        <v>001</v>
      </c>
      <c r="F241" s="8" t="str">
        <f ca="1">IFERROR(__xludf.DUMMYFUNCTION("""COMPUTED_VALUE"""),"0794")</f>
        <v>0794</v>
      </c>
      <c r="G241" s="8" t="str">
        <f ca="1">IFERROR(__xludf.DUMMYFUNCTION("""COMPUTED_VALUE"""),"52477")</f>
        <v>52477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IFERROR(__xludf.DUMMYFUNCTION("""COMPUTED_VALUE"""),1570)</f>
        <v>1570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IFERROR(__xludf.DUMMYFUNCTION("""COMPUTED_VALUE"""),0)</f>
        <v>0</v>
      </c>
      <c r="P241" s="8">
        <f ca="1">IFERROR(__xludf.DUMMYFUNCTION("""COMPUTED_VALUE"""),272)</f>
        <v>272</v>
      </c>
      <c r="Q241" s="8">
        <f ca="1">IFERROR(__xludf.DUMMYFUNCTION("""COMPUTED_VALUE"""),1990)</f>
        <v>1990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1" t="str">
        <f ca="1">IFERROR(__xludf.DUMMYFUNCTION("""COMPUTED_VALUE"""),"AS. APOIO ESCOLA ESTADUAL OLAVO BILAC")</f>
        <v>AS. APOIO ESCOLA ESTADUAL OLAVO BILAC</v>
      </c>
      <c r="D242" s="165" t="str">
        <f ca="1">IFERROR(__xludf.DUMMYFUNCTION("""COMPUTED_VALUE"""),"01268287000106")</f>
        <v>01268287000106</v>
      </c>
      <c r="E242" s="7" t="str">
        <f ca="1">IFERROR(__xludf.DUMMYFUNCTION("""COMPUTED_VALUE"""),"001")</f>
        <v>001</v>
      </c>
      <c r="F242" s="8" t="str">
        <f ca="1">IFERROR(__xludf.DUMMYFUNCTION("""COMPUTED_VALUE"""),"0794")</f>
        <v>0794</v>
      </c>
      <c r="G242" s="8" t="str">
        <f ca="1">IFERROR(__xludf.DUMMYFUNCTION("""COMPUTED_VALUE"""),"245852")</f>
        <v>245852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IFERROR(__xludf.DUMMYFUNCTION("""COMPUTED_VALUE"""),1370)</f>
        <v>1370</v>
      </c>
      <c r="K242" s="8">
        <f ca="1">IFERROR(__xludf.DUMMYFUNCTION("""COMPUTED_VALUE"""),0)</f>
        <v>0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IFERROR(__xludf.DUMMYFUNCTION("""COMPUTED_VALUE"""),700)</f>
        <v>700</v>
      </c>
      <c r="R242" s="8">
        <f ca="1">IFERROR(__xludf.DUMMYFUNCTION("""COMPUTED_VALUE"""),0)</f>
        <v>0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1" t="str">
        <f ca="1">IFERROR(__xludf.DUMMYFUNCTION("""COMPUTED_VALUE"""),"A.A.  DO COLEGIO ESTADUAL DE TALISMA")</f>
        <v>A.A.  DO COLEGIO ESTADUAL DE TALISMA</v>
      </c>
      <c r="D243" s="165" t="str">
        <f ca="1">IFERROR(__xludf.DUMMYFUNCTION("""COMPUTED_VALUE"""),"07547605000146")</f>
        <v>07547605000146</v>
      </c>
      <c r="E243" s="7" t="str">
        <f ca="1">IFERROR(__xludf.DUMMYFUNCTION("""COMPUTED_VALUE"""),"001")</f>
        <v>001</v>
      </c>
      <c r="F243" s="8" t="str">
        <f ca="1">IFERROR(__xludf.DUMMYFUNCTION("""COMPUTED_VALUE"""),"1303")</f>
        <v>1303</v>
      </c>
      <c r="G243" s="8" t="str">
        <f ca="1">IFERROR(__xludf.DUMMYFUNCTION("""COMPUTED_VALUE"""),"155446")</f>
        <v>155446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IFERROR(__xludf.DUMMYFUNCTION("""COMPUTED_VALUE"""),0)</f>
        <v>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IFERROR(__xludf.DUMMYFUNCTION("""COMPUTED_VALUE"""),920)</f>
        <v>920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IFERROR(__xludf.DUMMYFUNCTION("""COMPUTED_VALUE"""),147.6)</f>
        <v>147.6</v>
      </c>
      <c r="U243" s="62"/>
      <c r="V243" s="62"/>
      <c r="W243" s="62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1" t="str">
        <f ca="1">IFERROR(__xludf.DUMMYFUNCTION("""COMPUTED_VALUE"""),"A.C.E. COL PRES. CASTELO BRANCO")</f>
        <v>A.C.E. COL PRES. CASTELO BRANCO</v>
      </c>
      <c r="D244" s="165" t="str">
        <f ca="1">IFERROR(__xludf.DUMMYFUNCTION("""COMPUTED_VALUE"""),"01034882000179")</f>
        <v>01034882000179</v>
      </c>
      <c r="E244" s="7" t="str">
        <f ca="1">IFERROR(__xludf.DUMMYFUNCTION("""COMPUTED_VALUE"""),"001")</f>
        <v>001</v>
      </c>
      <c r="F244" s="8" t="str">
        <f ca="1">IFERROR(__xludf.DUMMYFUNCTION("""COMPUTED_VALUE"""),"0862")</f>
        <v>0862</v>
      </c>
      <c r="G244" s="8" t="str">
        <f ca="1">IFERROR(__xludf.DUMMYFUNCTION("""COMPUTED_VALUE"""),"68950")</f>
        <v>68950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IFERROR(__xludf.DUMMYFUNCTION("""COMPUTED_VALUE"""),3580)</f>
        <v>3580</v>
      </c>
      <c r="K244" s="8">
        <f ca="1">IFERROR(__xludf.DUMMYFUNCTION("""COMPUTED_VALUE"""),0)</f>
        <v>0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IFERROR(__xludf.DUMMYFUNCTION("""COMPUTED_VALUE"""),190.4)</f>
        <v>190.4</v>
      </c>
      <c r="Q244" s="8">
        <f ca="1">IFERROR(__xludf.DUMMYFUNCTION("""COMPUTED_VALUE"""),2140)</f>
        <v>2140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1" t="str">
        <f ca="1">IFERROR(__xludf.DUMMYFUNCTION("""COMPUTED_VALUE"""),"ASSOC. DE APOIO A ESCOLA ESPECIAL CLOVIS DE ASSIS")</f>
        <v>ASSOC. DE APOIO A ESCOLA ESPECIAL CLOVIS DE ASSIS</v>
      </c>
      <c r="D245" s="165" t="str">
        <f ca="1">IFERROR(__xludf.DUMMYFUNCTION("""COMPUTED_VALUE"""),"09327390000183")</f>
        <v>09327390000183</v>
      </c>
      <c r="E245" s="7" t="str">
        <f ca="1">IFERROR(__xludf.DUMMYFUNCTION("""COMPUTED_VALUE"""),"001")</f>
        <v>001</v>
      </c>
      <c r="F245" s="8" t="str">
        <f ca="1">IFERROR(__xludf.DUMMYFUNCTION("""COMPUTED_VALUE"""),"0862")</f>
        <v>0862</v>
      </c>
      <c r="G245" s="8" t="str">
        <f ca="1">IFERROR(__xludf.DUMMYFUNCTION("""COMPUTED_VALUE"""),"211087")</f>
        <v>211087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IFERROR(__xludf.DUMMYFUNCTION("""COMPUTED_VALUE"""),120)</f>
        <v>120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IFERROR(__xludf.DUMMYFUNCTION("""COMPUTED_VALUE"""),639.199999999999)</f>
        <v>639.19999999999902</v>
      </c>
      <c r="Q245" s="8">
        <f ca="1">IFERROR(__xludf.DUMMYFUNCTION("""COMPUTED_VALUE"""),0)</f>
        <v>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IFERROR(__xludf.DUMMYFUNCTION("""COMPUTED_VALUE"""),311.599999999999)</f>
        <v>311.599999999999</v>
      </c>
      <c r="U245" s="62"/>
      <c r="V245" s="62"/>
      <c r="W245" s="62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1" t="str">
        <f ca="1">IFERROR(__xludf.DUMMYFUNCTION("""COMPUTED_VALUE"""),"A. ESC. COMUN. DO COL. EST. 31 DE MARCO")</f>
        <v>A. ESC. COMUN. DO COL. EST. 31 DE MARCO</v>
      </c>
      <c r="D246" s="165" t="str">
        <f ca="1">IFERROR(__xludf.DUMMYFUNCTION("""COMPUTED_VALUE"""),"01232873000192")</f>
        <v>01232873000192</v>
      </c>
      <c r="E246" s="7" t="str">
        <f ca="1">IFERROR(__xludf.DUMMYFUNCTION("""COMPUTED_VALUE"""),"001")</f>
        <v>001</v>
      </c>
      <c r="F246" s="8" t="str">
        <f ca="1">IFERROR(__xludf.DUMMYFUNCTION("""COMPUTED_VALUE"""),"0862")</f>
        <v>0862</v>
      </c>
      <c r="G246" s="8" t="str">
        <f ca="1">IFERROR(__xludf.DUMMYFUNCTION("""COMPUTED_VALUE"""),"68969")</f>
        <v>68969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IFERROR(__xludf.DUMMYFUNCTION("""COMPUTED_VALUE"""),1900)</f>
        <v>1900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IFERROR(__xludf.DUMMYFUNCTION("""COMPUTED_VALUE"""),163.2)</f>
        <v>163.19999999999999</v>
      </c>
      <c r="Q246" s="8">
        <f ca="1">IFERROR(__xludf.DUMMYFUNCTION("""COMPUTED_VALUE"""),1680)</f>
        <v>1680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1" t="str">
        <f ca="1">IFERROR(__xludf.DUMMYFUNCTION("""COMPUTED_VALUE"""),"ESCOLA ESTADUAL AYRTON SENNA")</f>
        <v>ESCOLA ESTADUAL AYRTON SENNA</v>
      </c>
      <c r="D247" s="165" t="str">
        <f ca="1">IFERROR(__xludf.DUMMYFUNCTION("""COMPUTED_VALUE"""),"11406586000105")</f>
        <v>11406586000105</v>
      </c>
      <c r="E247" s="7" t="str">
        <f ca="1">IFERROR(__xludf.DUMMYFUNCTION("""COMPUTED_VALUE"""),"001")</f>
        <v>001</v>
      </c>
      <c r="F247" s="8" t="str">
        <f ca="1">IFERROR(__xludf.DUMMYFUNCTION("""COMPUTED_VALUE"""),"0862")</f>
        <v>0862</v>
      </c>
      <c r="G247" s="8" t="str">
        <f ca="1">IFERROR(__xludf.DUMMYFUNCTION("""COMPUTED_VALUE"""),"270393")</f>
        <v>270393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IFERROR(__xludf.DUMMYFUNCTION("""COMPUTED_VALUE"""),710)</f>
        <v>710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IFERROR(__xludf.DUMMYFUNCTION("""COMPUTED_VALUE"""),68)</f>
        <v>68</v>
      </c>
      <c r="Q247" s="8">
        <f ca="1">IFERROR(__xludf.DUMMYFUNCTION("""COMPUTED_VALUE"""),300)</f>
        <v>300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IFERROR(__xludf.DUMMYFUNCTION("""COMPUTED_VALUE"""),0)</f>
        <v>0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1" t="str">
        <f ca="1">IFERROR(__xludf.DUMMYFUNCTION("""COMPUTED_VALUE"""),"ASSOCIAÇÃO DE APOIO ÀS ESCOLAS INDIGENAS XERENTE")</f>
        <v>ASSOCIAÇÃO DE APOIO ÀS ESCOLAS INDIGENAS XERENTE</v>
      </c>
      <c r="D248" s="165" t="str">
        <f ca="1">IFERROR(__xludf.DUMMYFUNCTION("""COMPUTED_VALUE"""),"07671600000120")</f>
        <v>07671600000120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IFERROR(__xludf.DUMMYFUNCTION("""COMPUTED_VALUE"""),"185884")</f>
        <v>185884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IFERROR(__xludf.DUMMYFUNCTION("""COMPUTED_VALUE"""),0)</f>
        <v>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IFERROR(__xludf.DUMMYFUNCTION("""COMPUTED_VALUE"""),21001.2)</f>
        <v>21001.200000000001</v>
      </c>
      <c r="P248" s="8">
        <f ca="1">IFERROR(__xludf.DUMMYFUNCTION("""COMPUTED_VALUE"""),0)</f>
        <v>0</v>
      </c>
      <c r="Q248" s="8">
        <f ca="1">IFERROR(__xludf.DUMMYFUNCTION("""COMPUTED_VALUE"""),0)</f>
        <v>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1" t="str">
        <f ca="1">IFERROR(__xludf.DUMMYFUNCTION("""COMPUTED_VALUE"""),"ASSOC ESC COM COL EST FILOMENA MOREIRA DE PAULA")</f>
        <v>ASSOC ESC COM COL EST FILOMENA MOREIRA DE PAULA</v>
      </c>
      <c r="D249" s="165" t="str">
        <f ca="1">IFERROR(__xludf.DUMMYFUNCTION("""COMPUTED_VALUE"""),"00900200000109")</f>
        <v>00900200000109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IFERROR(__xludf.DUMMYFUNCTION("""COMPUTED_VALUE"""),"97527")</f>
        <v>97527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IFERROR(__xludf.DUMMYFUNCTION("""COMPUTED_VALUE"""),0)</f>
        <v>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IFERROR(__xludf.DUMMYFUNCTION("""COMPUTED_VALUE"""),231.2)</f>
        <v>231.2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IFERROR(__xludf.DUMMYFUNCTION("""COMPUTED_VALUE"""),5939.2)</f>
        <v>5939.2</v>
      </c>
      <c r="T249" s="8">
        <f ca="1">IFERROR(__xludf.DUMMYFUNCTION("""COMPUTED_VALUE"""),0)</f>
        <v>0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1" t="str">
        <f ca="1">IFERROR(__xludf.DUMMYFUNCTION("""COMPUTED_VALUE"""),"ASS. DE APOIO AO CEM SANTA TEREZINHA")</f>
        <v>ASS. DE APOIO AO CEM SANTA TEREZINHA</v>
      </c>
      <c r="D250" s="165" t="str">
        <f ca="1">IFERROR(__xludf.DUMMYFUNCTION("""COMPUTED_VALUE"""),"01085211000137")</f>
        <v>01085211000137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IFERROR(__xludf.DUMMYFUNCTION("""COMPUTED_VALUE"""),"244589")</f>
        <v>244589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IFERROR(__xludf.DUMMYFUNCTION("""COMPUTED_VALUE"""),3130)</f>
        <v>3130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IFERROR(__xludf.DUMMYFUNCTION("""COMPUTED_VALUE"""),326.4)</f>
        <v>326.39999999999998</v>
      </c>
      <c r="Q250" s="8">
        <f ca="1">IFERROR(__xludf.DUMMYFUNCTION("""COMPUTED_VALUE"""),2040)</f>
        <v>2040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1" t="str">
        <f ca="1">IFERROR(__xludf.DUMMYFUNCTION("""COMPUTED_VALUE"""),"SOCIEDADE EDUCADORA FEMININA/COLÉGIO TOCANTINS")</f>
        <v>SOCIEDADE EDUCADORA FEMININA/COLÉGIO TOCANTINS</v>
      </c>
      <c r="D251" s="165" t="str">
        <f ca="1">IFERROR(__xludf.DUMMYFUNCTION("""COMPUTED_VALUE"""),"61373585000694")</f>
        <v>61373585000694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IFERROR(__xludf.DUMMYFUNCTION("""COMPUTED_VALUE"""),"69086")</f>
        <v>69086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IFERROR(__xludf.DUMMYFUNCTION("""COMPUTED_VALUE"""),2300)</f>
        <v>2300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IFERROR(__xludf.DUMMYFUNCTION("""COMPUTED_VALUE"""),176.799999999999)</f>
        <v>176.79999999999899</v>
      </c>
      <c r="Q251" s="8">
        <f ca="1">IFERROR(__xludf.DUMMYFUNCTION("""COMPUTED_VALUE"""),2340)</f>
        <v>2340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IFERROR(__xludf.DUMMYFUNCTION("""COMPUTED_VALUE"""),"A.P.A.DOS EXECEPCIONAIS DE MIRACEMA - APAE")</f>
        <v>A.P.A.DOS EXECEPCIONAIS DE MIRACEMA - APAE</v>
      </c>
      <c r="D252" s="165" t="str">
        <f ca="1">IFERROR(__xludf.DUMMYFUNCTION("""COMPUTED_VALUE"""),"38146965000160")</f>
        <v>38146965000160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IFERROR(__xludf.DUMMYFUNCTION("""COMPUTED_VALUE"""),"93734")</f>
        <v>93734</v>
      </c>
      <c r="H252" s="8">
        <f ca="1">IFERROR(__xludf.DUMMYFUNCTION("""COMPUTED_VALUE"""),0)</f>
        <v>0</v>
      </c>
      <c r="I252" s="8">
        <f ca="1">IFERROR(__xludf.DUMMYFUNCTION("""COMPUTED_VALUE"""),230.4)</f>
        <v>230.4</v>
      </c>
      <c r="J252" s="8">
        <f ca="1">IFERROR(__xludf.DUMMYFUNCTION("""COMPUTED_VALUE"""),230)</f>
        <v>230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IFERROR(__xludf.DUMMYFUNCTION("""COMPUTED_VALUE"""),0)</f>
        <v>0</v>
      </c>
      <c r="P252" s="8">
        <f ca="1">IFERROR(__xludf.DUMMYFUNCTION("""COMPUTED_VALUE"""),1156)</f>
        <v>1156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IFERROR(__xludf.DUMMYFUNCTION("""COMPUTED_VALUE"""),606.8)</f>
        <v>606.79999999999995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IFERROR(__xludf.DUMMYFUNCTION("""COMPUTED_VALUE"""),"A.COM.DA ESC. EST. JOSE D. VASCONCELOS")</f>
        <v>A.COM.DA ESC. EST. JOSE D. VASCONCELOS</v>
      </c>
      <c r="D253" s="165" t="str">
        <f ca="1">IFERROR(__xludf.DUMMYFUNCTION("""COMPUTED_VALUE"""),"01068379000134")</f>
        <v>01068379000134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IFERROR(__xludf.DUMMYFUNCTION("""COMPUTED_VALUE"""),"69035")</f>
        <v>69035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IFERROR(__xludf.DUMMYFUNCTION("""COMPUTED_VALUE"""),1630)</f>
        <v>1630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IFERROR(__xludf.DUMMYFUNCTION("""COMPUTED_VALUE"""),258.4)</f>
        <v>258.39999999999998</v>
      </c>
      <c r="Q253" s="8">
        <f ca="1">IFERROR(__xludf.DUMMYFUNCTION("""COMPUTED_VALUE"""),2340)</f>
        <v>2340</v>
      </c>
      <c r="R253" s="8">
        <f ca="1">IFERROR(__xludf.DUMMYFUNCTION("""COMPUTED_VALUE"""),0)</f>
        <v>0</v>
      </c>
      <c r="S253" s="8">
        <f ca="1">IFERROR(__xludf.DUMMYFUNCTION("""COMPUTED_VALUE"""),0)</f>
        <v>0</v>
      </c>
      <c r="T253" s="8">
        <f ca="1">IFERROR(__xludf.DUMMYFUNCTION("""COMPUTED_VALUE"""),57.3999999999999)</f>
        <v>57.399999999999899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IFERROR(__xludf.DUMMYFUNCTION("""COMPUTED_VALUE"""),"A.P.M.A. ESC. CONV. ONESINA BANDEIRA")</f>
        <v>A.P.M.A. ESC. CONV. ONESINA BANDEIRA</v>
      </c>
      <c r="D254" s="165" t="str">
        <f ca="1">IFERROR(__xludf.DUMMYFUNCTION("""COMPUTED_VALUE"""),"01133700000117")</f>
        <v>01133700000117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IFERROR(__xludf.DUMMYFUNCTION("""COMPUTED_VALUE"""),"69051")</f>
        <v>69051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IFERROR(__xludf.DUMMYFUNCTION("""COMPUTED_VALUE"""),4000)</f>
        <v>4000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IFERROR(__xludf.DUMMYFUNCTION("""COMPUTED_VALUE"""),258.4)</f>
        <v>258.39999999999998</v>
      </c>
      <c r="Q254" s="8">
        <f ca="1">IFERROR(__xludf.DUMMYFUNCTION("""COMPUTED_VALUE"""),760)</f>
        <v>760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IFERROR(__xludf.DUMMYFUNCTION("""COMPUTED_VALUE"""),2107.39999999999)</f>
        <v>2107.3999999999901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IFERROR(__xludf.DUMMYFUNCTION("""COMPUTED_VALUE"""),"A.A.  DA ESCOLA ESTADUAL OSCAR SARDINHA")</f>
        <v>A.A.  DA ESCOLA ESTADUAL OSCAR SARDINHA</v>
      </c>
      <c r="D255" s="165" t="str">
        <f ca="1">IFERROR(__xludf.DUMMYFUNCTION("""COMPUTED_VALUE"""),"01197158000166")</f>
        <v>01197158000166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IFERROR(__xludf.DUMMYFUNCTION("""COMPUTED_VALUE"""),"6906X")</f>
        <v>6906X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IFERROR(__xludf.DUMMYFUNCTION("""COMPUTED_VALUE"""),1070)</f>
        <v>1070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IFERROR(__xludf.DUMMYFUNCTION("""COMPUTED_VALUE"""),149.6)</f>
        <v>149.6</v>
      </c>
      <c r="Q255" s="8">
        <f ca="1">IFERROR(__xludf.DUMMYFUNCTION("""COMPUTED_VALUE"""),0)</f>
        <v>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1" t="str">
        <f ca="1">IFERROR(__xludf.DUMMYFUNCTION("""COMPUTED_VALUE"""),"ASSOC. COM. DO COL. RUI BRASIL CAVALCANTE")</f>
        <v>ASSOC. COM. DO COL. RUI BRASIL CAVALCANTE</v>
      </c>
      <c r="D256" s="165" t="str">
        <f ca="1">IFERROR(__xludf.DUMMYFUNCTION("""COMPUTED_VALUE"""),"01112765000186")</f>
        <v>01112765000186</v>
      </c>
      <c r="E256" s="7" t="str">
        <f ca="1">IFERROR(__xludf.DUMMYFUNCTION("""COMPUTED_VALUE"""),"001")</f>
        <v>001</v>
      </c>
      <c r="F256" s="8" t="str">
        <f ca="1">IFERROR(__xludf.DUMMYFUNCTION("""COMPUTED_VALUE"""),"4560")</f>
        <v>4560</v>
      </c>
      <c r="G256" s="8" t="str">
        <f ca="1">IFERROR(__xludf.DUMMYFUNCTION("""COMPUTED_VALUE"""),"78905")</f>
        <v>78905</v>
      </c>
      <c r="H256" s="8">
        <f ca="1">IFERROR(__xludf.DUMMYFUNCTION("""COMPUTED_VALUE"""),0)</f>
        <v>0</v>
      </c>
      <c r="I256" s="8">
        <f ca="1">IFERROR(__xludf.DUMMYFUNCTION("""COMPUTED_VALUE"""),0)</f>
        <v>0</v>
      </c>
      <c r="J256" s="8">
        <f ca="1">IFERROR(__xludf.DUMMYFUNCTION("""COMPUTED_VALUE"""),0)</f>
        <v>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IFERROR(__xludf.DUMMYFUNCTION("""COMPUTED_VALUE"""),231.2)</f>
        <v>231.2</v>
      </c>
      <c r="Q256" s="8">
        <f ca="1">IFERROR(__xludf.DUMMYFUNCTION("""COMPUTED_VALUE"""),5220)</f>
        <v>5220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IFERROR(__xludf.DUMMYFUNCTION("""COMPUTED_VALUE"""),737.999999999999)</f>
        <v>737.99999999999898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1" t="str">
        <f ca="1">IFERROR(__xludf.DUMMYFUNCTION("""COMPUTED_VALUE"""),"A.A. C.E.NOSSA SENHORA DA PROVIDENCIA")</f>
        <v>A.A. C.E.NOSSA SENHORA DA PROVIDENCIA</v>
      </c>
      <c r="D257" s="165" t="str">
        <f ca="1">IFERROR(__xludf.DUMMYFUNCTION("""COMPUTED_VALUE"""),"01190186000151")</f>
        <v>01190186000151</v>
      </c>
      <c r="E257" s="7" t="str">
        <f ca="1">IFERROR(__xludf.DUMMYFUNCTION("""COMPUTED_VALUE"""),"001")</f>
        <v>001</v>
      </c>
      <c r="F257" s="8" t="str">
        <f ca="1">IFERROR(__xludf.DUMMYFUNCTION("""COMPUTED_VALUE"""),"4560")</f>
        <v>4560</v>
      </c>
      <c r="G257" s="8" t="str">
        <f ca="1">IFERROR(__xludf.DUMMYFUNCTION("""COMPUTED_VALUE"""),"7778X")</f>
        <v>7778X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IFERROR(__xludf.DUMMYFUNCTION("""COMPUTED_VALUE"""),7750)</f>
        <v>7750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IFERROR(__xludf.DUMMYFUNCTION("""COMPUTED_VALUE"""),163.2)</f>
        <v>163.19999999999999</v>
      </c>
      <c r="Q257" s="8">
        <f ca="1">IFERROR(__xludf.DUMMYFUNCTION("""COMPUTED_VALUE"""),0)</f>
        <v>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IFERROR(__xludf.DUMMYFUNCTION("""COMPUTED_VALUE"""),0)</f>
        <v>0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1" t="str">
        <f ca="1">IFERROR(__xludf.DUMMYFUNCTION("""COMPUTED_VALUE"""),"A.A ESC. ESPECIAL CORAÇÃO DE MARIA")</f>
        <v>A.A ESC. ESPECIAL CORAÇÃO DE MARIA</v>
      </c>
      <c r="D258" s="165" t="str">
        <f ca="1">IFERROR(__xludf.DUMMYFUNCTION("""COMPUTED_VALUE"""),"07968866000130")</f>
        <v>07968866000130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IFERROR(__xludf.DUMMYFUNCTION("""COMPUTED_VALUE"""),"265217")</f>
        <v>265217</v>
      </c>
      <c r="H258" s="8">
        <f ca="1">IFERROR(__xludf.DUMMYFUNCTION("""COMPUTED_VALUE"""),0)</f>
        <v>0</v>
      </c>
      <c r="I258" s="8">
        <f ca="1">IFERROR(__xludf.DUMMYFUNCTION("""COMPUTED_VALUE"""),172.8)</f>
        <v>172.8</v>
      </c>
      <c r="J258" s="8">
        <f ca="1">IFERROR(__xludf.DUMMYFUNCTION("""COMPUTED_VALUE"""),80)</f>
        <v>80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IFERROR(__xludf.DUMMYFUNCTION("""COMPUTED_VALUE"""),870.4)</f>
        <v>870.4</v>
      </c>
      <c r="Q258" s="8">
        <f ca="1">IFERROR(__xludf.DUMMYFUNCTION("""COMPUTED_VALUE"""),0)</f>
        <v>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IFERROR(__xludf.DUMMYFUNCTION("""COMPUTED_VALUE"""),426.4)</f>
        <v>426.4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1" t="str">
        <f ca="1">IFERROR(__xludf.DUMMYFUNCTION("""COMPUTED_VALUE"""),"A.A. ESC EST DR. VALDECY PINHEIRO")</f>
        <v>A.A. ESC EST DR. VALDECY PINHEIRO</v>
      </c>
      <c r="D259" s="165" t="str">
        <f ca="1">IFERROR(__xludf.DUMMYFUNCTION("""COMPUTED_VALUE"""),"01079937000167")</f>
        <v>01079937000167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IFERROR(__xludf.DUMMYFUNCTION("""COMPUTED_VALUE"""),"69116")</f>
        <v>69116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IFERROR(__xludf.DUMMYFUNCTION("""COMPUTED_VALUE"""),2060)</f>
        <v>2060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IFERROR(__xludf.DUMMYFUNCTION("""COMPUTED_VALUE"""),163.2)</f>
        <v>163.19999999999999</v>
      </c>
      <c r="Q259" s="8">
        <f ca="1">IFERROR(__xludf.DUMMYFUNCTION("""COMPUTED_VALUE"""),1000)</f>
        <v>1000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IFERROR(__xludf.DUMMYFUNCTION("""COMPUTED_VALUE"""),180.399999999999)</f>
        <v>180.39999999999901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1" t="str">
        <f ca="1">IFERROR(__xludf.DUMMYFUNCTION("""COMPUTED_VALUE"""),"ASS. APOIO AO CEM XERENTE WARA")</f>
        <v>ASS. APOIO AO CEM XERENTE WARA</v>
      </c>
      <c r="D260" s="165" t="str">
        <f ca="1">IFERROR(__xludf.DUMMYFUNCTION("""COMPUTED_VALUE"""),"07674098000101")</f>
        <v>07674098000101</v>
      </c>
      <c r="E260" s="7" t="str">
        <f ca="1">IFERROR(__xludf.DUMMYFUNCTION("""COMPUTED_VALUE"""),"001")</f>
        <v>001</v>
      </c>
      <c r="F260" s="8" t="str">
        <f ca="1">IFERROR(__xludf.DUMMYFUNCTION("""COMPUTED_VALUE"""),"0862")</f>
        <v>0862</v>
      </c>
      <c r="G260" s="8" t="str">
        <f ca="1">IFERROR(__xludf.DUMMYFUNCTION("""COMPUTED_VALUE"""),"183407")</f>
        <v>183407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IFERROR(__xludf.DUMMYFUNCTION("""COMPUTED_VALUE"""),4274.4)</f>
        <v>4274.3999999999996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IFERROR(__xludf.DUMMYFUNCTION("""COMPUTED_VALUE"""),285.599999999999)</f>
        <v>285.599999999999</v>
      </c>
      <c r="Q260" s="8">
        <f ca="1">IFERROR(__xludf.DUMMYFUNCTION("""COMPUTED_VALUE"""),0)</f>
        <v>0</v>
      </c>
      <c r="R260" s="8">
        <f ca="1">IFERROR(__xludf.DUMMYFUNCTION("""COMPUTED_VALUE"""),0)</f>
        <v>0</v>
      </c>
      <c r="S260" s="8">
        <f ca="1">IFERROR(__xludf.DUMMYFUNCTION("""COMPUTED_VALUE"""),9113.6)</f>
        <v>9113.6</v>
      </c>
      <c r="T260" s="8">
        <f ca="1">IFERROR(__xludf.DUMMYFUNCTION("""COMPUTED_VALUE"""),0)</f>
        <v>0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1" t="str">
        <f ca="1">IFERROR(__xludf.DUMMYFUNCTION("""COMPUTED_VALUE"""),"A.COM.DO COLEGIO FREI ANTONIO CONVENIADO")</f>
        <v>A.COM.DO COLEGIO FREI ANTONIO CONVENIADO</v>
      </c>
      <c r="D261" s="165" t="str">
        <f ca="1">IFERROR(__xludf.DUMMYFUNCTION("""COMPUTED_VALUE"""),"01066427000155")</f>
        <v>01066427000155</v>
      </c>
      <c r="E261" s="7" t="str">
        <f ca="1">IFERROR(__xludf.DUMMYFUNCTION("""COMPUTED_VALUE"""),"001")</f>
        <v>001</v>
      </c>
      <c r="F261" s="8" t="str">
        <f ca="1">IFERROR(__xludf.DUMMYFUNCTION("""COMPUTED_VALUE"""),"0862")</f>
        <v>0862</v>
      </c>
      <c r="G261" s="8" t="str">
        <f ca="1">IFERROR(__xludf.DUMMYFUNCTION("""COMPUTED_VALUE"""),"68985")</f>
        <v>68985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IFERROR(__xludf.DUMMYFUNCTION("""COMPUTED_VALUE"""),0)</f>
        <v>0</v>
      </c>
      <c r="K261" s="8">
        <f ca="1">IFERROR(__xludf.DUMMYFUNCTION("""COMPUTED_VALUE"""),8165.2)</f>
        <v>8165.2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IFERROR(__xludf.DUMMYFUNCTION("""COMPUTED_VALUE"""),122.399999999999)</f>
        <v>122.399999999999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1" t="str">
        <f ca="1">IFERROR(__xludf.DUMMYFUNCTION("""COMPUTED_VALUE"""),"ASSOC. DE PAIS E MEST. DO COL. EST. BATISTA PROFª BEATRIZ R. DA SILVA")</f>
        <v>ASSOC. DE PAIS E MEST. DO COL. EST. BATISTA PROFª BEATRIZ R. DA SILVA</v>
      </c>
      <c r="D262" s="165" t="str">
        <f ca="1">IFERROR(__xludf.DUMMYFUNCTION("""COMPUTED_VALUE"""),"15132209000186")</f>
        <v>15132209000186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IFERROR(__xludf.DUMMYFUNCTION("""COMPUTED_VALUE"""),"277037")</f>
        <v>277037</v>
      </c>
      <c r="H262" s="8">
        <f ca="1">IFERROR(__xludf.DUMMYFUNCTION("""COMPUTED_VALUE"""),0)</f>
        <v>0</v>
      </c>
      <c r="I262" s="8">
        <f ca="1">IFERROR(__xludf.DUMMYFUNCTION("""COMPUTED_VALUE"""),0)</f>
        <v>0</v>
      </c>
      <c r="J262" s="8">
        <f ca="1">IFERROR(__xludf.DUMMYFUNCTION("""COMPUTED_VALUE"""),0)</f>
        <v>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IFERROR(__xludf.DUMMYFUNCTION("""COMPUTED_VALUE"""),0)</f>
        <v>0</v>
      </c>
      <c r="Q262" s="8">
        <f ca="1">IFERROR(__xludf.DUMMYFUNCTION("""COMPUTED_VALUE"""),1840)</f>
        <v>1840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IFERROR(__xludf.DUMMYFUNCTION("""COMPUTED_VALUE"""),262.4)</f>
        <v>262.39999999999998</v>
      </c>
      <c r="U262" s="62"/>
      <c r="V262" s="62"/>
      <c r="W262" s="62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1" t="str">
        <f ca="1">IFERROR(__xludf.DUMMYFUNCTION("""COMPUTED_VALUE"""),"ASS. DE AP. DO COL. EST. MEIRA MATOS")</f>
        <v>ASS. DE AP. DO COL. EST. MEIRA MATOS</v>
      </c>
      <c r="D263" s="165" t="str">
        <f ca="1">IFERROR(__xludf.DUMMYFUNCTION("""COMPUTED_VALUE"""),"01186452000172")</f>
        <v>01186452000172</v>
      </c>
      <c r="E263" s="7" t="str">
        <f ca="1">IFERROR(__xludf.DUMMYFUNCTION("""COMPUTED_VALUE"""),"001")</f>
        <v>001</v>
      </c>
      <c r="F263" s="8" t="str">
        <f ca="1">IFERROR(__xludf.DUMMYFUNCTION("""COMPUTED_VALUE"""),"1505")</f>
        <v>1505</v>
      </c>
      <c r="G263" s="8" t="str">
        <f ca="1">IFERROR(__xludf.DUMMYFUNCTION("""COMPUTED_VALUE"""),"327972")</f>
        <v>327972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IFERROR(__xludf.DUMMYFUNCTION("""COMPUTED_VALUE"""),1490)</f>
        <v>1490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IFERROR(__xludf.DUMMYFUNCTION("""COMPUTED_VALUE"""),163.2)</f>
        <v>163.19999999999999</v>
      </c>
      <c r="Q263" s="8">
        <f ca="1">IFERROR(__xludf.DUMMYFUNCTION("""COMPUTED_VALUE"""),2280)</f>
        <v>2280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IFERROR(__xludf.DUMMYFUNCTION("""COMPUTED_VALUE"""),0)</f>
        <v>0</v>
      </c>
      <c r="U263" s="62"/>
      <c r="V263" s="62"/>
      <c r="W263" s="62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1" t="str">
        <f ca="1">IFERROR(__xludf.DUMMYFUNCTION("""COMPUTED_VALUE"""),"ASS. DE AP. DA ESC. EST. SALMON DO A.BRITO")</f>
        <v>ASS. DE AP. DA ESC. EST. SALMON DO A.BRITO</v>
      </c>
      <c r="D264" s="165" t="str">
        <f ca="1">IFERROR(__xludf.DUMMYFUNCTION("""COMPUTED_VALUE"""),"01440941000109")</f>
        <v>01440941000109</v>
      </c>
      <c r="E264" s="7" t="str">
        <f ca="1">IFERROR(__xludf.DUMMYFUNCTION("""COMPUTED_VALUE"""),"001")</f>
        <v>001</v>
      </c>
      <c r="F264" s="8" t="str">
        <f ca="1">IFERROR(__xludf.DUMMYFUNCTION("""COMPUTED_VALUE"""),"1505")</f>
        <v>1505</v>
      </c>
      <c r="G264" s="8" t="str">
        <f ca="1">IFERROR(__xludf.DUMMYFUNCTION("""COMPUTED_VALUE"""),"465410")</f>
        <v>465410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IFERROR(__xludf.DUMMYFUNCTION("""COMPUTED_VALUE"""),2380)</f>
        <v>2380</v>
      </c>
      <c r="K264" s="8">
        <f ca="1">IFERROR(__xludf.DUMMYFUNCTION("""COMPUTED_VALUE"""),0)</f>
        <v>0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IFERROR(__xludf.DUMMYFUNCTION("""COMPUTED_VALUE"""),0)</f>
        <v>0</v>
      </c>
      <c r="Q264" s="8">
        <f ca="1">IFERROR(__xludf.DUMMYFUNCTION("""COMPUTED_VALUE"""),2610)</f>
        <v>2610</v>
      </c>
      <c r="R264" s="8">
        <f ca="1">IFERROR(__xludf.DUMMYFUNCTION("""COMPUTED_VALUE"""),0)</f>
        <v>0</v>
      </c>
      <c r="S264" s="8">
        <f ca="1">IFERROR(__xludf.DUMMYFUNCTION("""COMPUTED_VALUE"""),0)</f>
        <v>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1" t="str">
        <f ca="1">IFERROR(__xludf.DUMMYFUNCTION("""COMPUTED_VALUE"""),"A.A. COM. E. E.N.SRA.DA PROVIDENCIA")</f>
        <v>A.A. COM. E. E.N.SRA.DA PROVIDENCIA</v>
      </c>
      <c r="D265" s="165" t="str">
        <f ca="1">IFERROR(__xludf.DUMMYFUNCTION("""COMPUTED_VALUE"""),"01138324000153")</f>
        <v>01138324000153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IFERROR(__xludf.DUMMYFUNCTION("""COMPUTED_VALUE"""),"69132")</f>
        <v>69132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IFERROR(__xludf.DUMMYFUNCTION("""COMPUTED_VALUE"""),280)</f>
        <v>280</v>
      </c>
      <c r="K265" s="8">
        <f ca="1">IFERROR(__xludf.DUMMYFUNCTION("""COMPUTED_VALUE"""),0)</f>
        <v>0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IFERROR(__xludf.DUMMYFUNCTION("""COMPUTED_VALUE"""),95.2)</f>
        <v>95.2</v>
      </c>
      <c r="Q265" s="8">
        <f ca="1">IFERROR(__xludf.DUMMYFUNCTION("""COMPUTED_VALUE"""),1270)</f>
        <v>1270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IFERROR(__xludf.DUMMYFUNCTION("""COMPUTED_VALUE"""),73.8)</f>
        <v>73.8</v>
      </c>
      <c r="U265" s="62"/>
      <c r="V265" s="62"/>
      <c r="W265" s="62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1" t="str">
        <f ca="1">IFERROR(__xludf.DUMMYFUNCTION("""COMPUTED_VALUE"""),"ASS. A. ESC. EST.ESTEFANIO TELES DAS CHAGAS")</f>
        <v>ASS. A. ESC. EST.ESTEFANIO TELES DAS CHAGAS</v>
      </c>
      <c r="D266" s="165" t="str">
        <f ca="1">IFERROR(__xludf.DUMMYFUNCTION("""COMPUTED_VALUE"""),"01206219000104")</f>
        <v>01206219000104</v>
      </c>
      <c r="E266" s="7" t="str">
        <f ca="1">IFERROR(__xludf.DUMMYFUNCTION("""COMPUTED_VALUE"""),"001")</f>
        <v>001</v>
      </c>
      <c r="F266" s="8" t="str">
        <f ca="1">IFERROR(__xludf.DUMMYFUNCTION("""COMPUTED_VALUE"""),"3962")</f>
        <v>3962</v>
      </c>
      <c r="G266" s="8" t="str">
        <f ca="1">IFERROR(__xludf.DUMMYFUNCTION("""COMPUTED_VALUE"""),"127795")</f>
        <v>127795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IFERROR(__xludf.DUMMYFUNCTION("""COMPUTED_VALUE"""),1970)</f>
        <v>1970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IFERROR(__xludf.DUMMYFUNCTION("""COMPUTED_VALUE"""),1300)</f>
        <v>1300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IFERROR(__xludf.DUMMYFUNCTION("""COMPUTED_VALUE"""),0)</f>
        <v>0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1" t="str">
        <f ca="1">IFERROR(__xludf.DUMMYFUNCTION("""COMPUTED_VALUE"""),"ASSOC. DE APOIO A ESC. EST. SILVERIO RIBEIRO MATOS")</f>
        <v>ASSOC. DE APOIO A ESC. EST. SILVERIO RIBEIRO MATOS</v>
      </c>
      <c r="D267" s="165" t="str">
        <f ca="1">IFERROR(__xludf.DUMMYFUNCTION("""COMPUTED_VALUE"""),"13439520000147")</f>
        <v>13439520000147</v>
      </c>
      <c r="E267" s="7" t="str">
        <f ca="1">IFERROR(__xludf.DUMMYFUNCTION("""COMPUTED_VALUE"""),"001")</f>
        <v>001</v>
      </c>
      <c r="F267" s="8" t="str">
        <f ca="1">IFERROR(__xludf.DUMMYFUNCTION("""COMPUTED_VALUE"""),"3962")</f>
        <v>3962</v>
      </c>
      <c r="G267" s="8" t="str">
        <f ca="1">IFERROR(__xludf.DUMMYFUNCTION("""COMPUTED_VALUE"""),"261882")</f>
        <v>261882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IFERROR(__xludf.DUMMYFUNCTION("""COMPUTED_VALUE"""),0)</f>
        <v>0</v>
      </c>
      <c r="K267" s="8">
        <f ca="1">IFERROR(__xludf.DUMMYFUNCTION("""COMPUTED_VALUE"""),0)</f>
        <v>0</v>
      </c>
      <c r="L267" s="8">
        <f ca="1">IFERROR(__xludf.DUMMYFUNCTION("""COMPUTED_VALUE"""),1204)</f>
        <v>1204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IFERROR(__xludf.DUMMYFUNCTION("""COMPUTED_VALUE"""),0)</f>
        <v>0</v>
      </c>
      <c r="Q267" s="8">
        <f ca="1">IFERROR(__xludf.DUMMYFUNCTION("""COMPUTED_VALUE"""),0)</f>
        <v>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1" t="str">
        <f ca="1">IFERROR(__xludf.DUMMYFUNCTION("""COMPUTED_VALUE"""),"ASS. A. AO COL. EST. D. PEDRO I/N.ACORDO")</f>
        <v>ASS. A. AO COL. EST. D. PEDRO I/N.ACORDO</v>
      </c>
      <c r="D268" s="165" t="str">
        <f ca="1">IFERROR(__xludf.DUMMYFUNCTION("""COMPUTED_VALUE"""),"01133690000110")</f>
        <v>01133690000110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IFERROR(__xludf.DUMMYFUNCTION("""COMPUTED_VALUE"""),"157856")</f>
        <v>157856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IFERROR(__xludf.DUMMYFUNCTION("""COMPUTED_VALUE"""),2350)</f>
        <v>2350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IFERROR(__xludf.DUMMYFUNCTION("""COMPUTED_VALUE"""),476)</f>
        <v>476</v>
      </c>
      <c r="Q268" s="8">
        <f ca="1">IFERROR(__xludf.DUMMYFUNCTION("""COMPUTED_VALUE"""),2140)</f>
        <v>2140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1" t="str">
        <f ca="1">IFERROR(__xludf.DUMMYFUNCTION("""COMPUTED_VALUE"""),"A.A. DA ESC. EST.PEDRO MACEDO / N.ACORDO")</f>
        <v>A.A. DA ESC. EST.PEDRO MACEDO / N.ACORDO</v>
      </c>
      <c r="D269" s="165" t="str">
        <f ca="1">IFERROR(__xludf.DUMMYFUNCTION("""COMPUTED_VALUE"""),"01136004000164")</f>
        <v>01136004000164</v>
      </c>
      <c r="E269" s="7" t="str">
        <f ca="1">IFERROR(__xludf.DUMMYFUNCTION("""COMPUTED_VALUE"""),"001")</f>
        <v>001</v>
      </c>
      <c r="F269" s="8" t="str">
        <f ca="1">IFERROR(__xludf.DUMMYFUNCTION("""COMPUTED_VALUE"""),"1505")</f>
        <v>1505</v>
      </c>
      <c r="G269" s="8" t="str">
        <f ca="1">IFERROR(__xludf.DUMMYFUNCTION("""COMPUTED_VALUE"""),"171166")</f>
        <v>171166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IFERROR(__xludf.DUMMYFUNCTION("""COMPUTED_VALUE"""),790)</f>
        <v>790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IFERROR(__xludf.DUMMYFUNCTION("""COMPUTED_VALUE"""),217.6)</f>
        <v>217.6</v>
      </c>
      <c r="Q269" s="8">
        <f ca="1">IFERROR(__xludf.DUMMYFUNCTION("""COMPUTED_VALUE"""),0)</f>
        <v>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IFERROR(__xludf.DUMMYFUNCTION("""COMPUTED_VALUE"""),0)</f>
        <v>0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1" t="str">
        <f ca="1">IFERROR(__xludf.DUMMYFUNCTION("""COMPUTED_VALUE"""),"A. DE CONSELHO ESCOLAR DO CEM 305 NORTE")</f>
        <v>A. DE CONSELHO ESCOLAR DO CEM 305 NORTE</v>
      </c>
      <c r="D270" s="165" t="str">
        <f ca="1">IFERROR(__xludf.DUMMYFUNCTION("""COMPUTED_VALUE"""),"04701394000166")</f>
        <v>04701394000166</v>
      </c>
      <c r="E270" s="7" t="str">
        <f ca="1">IFERROR(__xludf.DUMMYFUNCTION("""COMPUTED_VALUE"""),"001")</f>
        <v>001</v>
      </c>
      <c r="F270" s="8" t="str">
        <f ca="1">IFERROR(__xludf.DUMMYFUNCTION("""COMPUTED_VALUE"""),"1505")</f>
        <v>1505</v>
      </c>
      <c r="G270" s="8" t="str">
        <f ca="1">IFERROR(__xludf.DUMMYFUNCTION("""COMPUTED_VALUE"""),"455261")</f>
        <v>455261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IFERROR(__xludf.DUMMYFUNCTION("""COMPUTED_VALUE"""),0)</f>
        <v>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IFERROR(__xludf.DUMMYFUNCTION("""COMPUTED_VALUE"""),40.8)</f>
        <v>40.799999999999997</v>
      </c>
      <c r="Q270" s="8">
        <f ca="1">IFERROR(__xludf.DUMMYFUNCTION("""COMPUTED_VALUE"""),5870)</f>
        <v>5870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1" t="str">
        <f ca="1">IFERROR(__xludf.DUMMYFUNCTION("""COMPUTED_VALUE"""),"ASSOC. DE APOIO COL. EST. DE TAQUARALTO")</f>
        <v>ASSOC. DE APOIO COL. EST. DE TAQUARALTO</v>
      </c>
      <c r="D271" s="165" t="str">
        <f ca="1">IFERROR(__xludf.DUMMYFUNCTION("""COMPUTED_VALUE"""),"03233677000168")</f>
        <v>03233677000168</v>
      </c>
      <c r="E271" s="7" t="str">
        <f ca="1">IFERROR(__xludf.DUMMYFUNCTION("""COMPUTED_VALUE"""),"001")</f>
        <v>001</v>
      </c>
      <c r="F271" s="8" t="str">
        <f ca="1">IFERROR(__xludf.DUMMYFUNCTION("""COMPUTED_VALUE"""),"1505")</f>
        <v>1505</v>
      </c>
      <c r="G271" s="8" t="str">
        <f ca="1">IFERROR(__xludf.DUMMYFUNCTION("""COMPUTED_VALUE"""),"455059")</f>
        <v>455059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IFERROR(__xludf.DUMMYFUNCTION("""COMPUTED_VALUE"""),0)</f>
        <v>0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IFERROR(__xludf.DUMMYFUNCTION("""COMPUTED_VALUE"""),204)</f>
        <v>204</v>
      </c>
      <c r="Q271" s="8">
        <f ca="1">IFERROR(__xludf.DUMMYFUNCTION("""COMPUTED_VALUE"""),15030)</f>
        <v>15030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IFERROR(__xludf.DUMMYFUNCTION("""COMPUTED_VALUE"""),1295.6)</f>
        <v>1295.5999999999999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1" t="str">
        <f ca="1">IFERROR(__xludf.DUMMYFUNCTION("""COMPUTED_VALUE"""),"A.AP. DO COL. EST. SANTA RITA DE CASSIA")</f>
        <v>A.AP. DO COL. EST. SANTA RITA DE CASSIA</v>
      </c>
      <c r="D272" s="165" t="str">
        <f ca="1">IFERROR(__xludf.DUMMYFUNCTION("""COMPUTED_VALUE"""),"01955414000137")</f>
        <v>01955414000137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IFERROR(__xludf.DUMMYFUNCTION("""COMPUTED_VALUE"""),"256579")</f>
        <v>256579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IFERROR(__xludf.DUMMYFUNCTION("""COMPUTED_VALUE"""),0)</f>
        <v>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IFERROR(__xludf.DUMMYFUNCTION("""COMPUTED_VALUE"""),122.399999999999)</f>
        <v>122.399999999999</v>
      </c>
      <c r="Q272" s="8">
        <f ca="1">IFERROR(__xludf.DUMMYFUNCTION("""COMPUTED_VALUE"""),0)</f>
        <v>0</v>
      </c>
      <c r="R272" s="8">
        <f ca="1">IFERROR(__xludf.DUMMYFUNCTION("""COMPUTED_VALUE"""),0)</f>
        <v>0</v>
      </c>
      <c r="S272" s="8">
        <f ca="1">IFERROR(__xludf.DUMMYFUNCTION("""COMPUTED_VALUE"""),12134.4)</f>
        <v>12134.4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1" t="str">
        <f ca="1">IFERROR(__xludf.DUMMYFUNCTION("""COMPUTED_VALUE"""),"ASSOC. COMUN.ESCOLAR DA ESC. EST. TIRADENTES")</f>
        <v>ASSOC. COMUN.ESCOLAR DA ESC. EST. TIRADENTES</v>
      </c>
      <c r="D273" s="165" t="str">
        <f ca="1">IFERROR(__xludf.DUMMYFUNCTION("""COMPUTED_VALUE"""),"00862122000197")</f>
        <v>00862122000197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IFERROR(__xludf.DUMMYFUNCTION("""COMPUTED_VALUE"""),"250562")</f>
        <v>250562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IFERROR(__xludf.DUMMYFUNCTION("""COMPUTED_VALUE"""),0)</f>
        <v>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IFERROR(__xludf.DUMMYFUNCTION("""COMPUTED_VALUE"""),0)</f>
        <v>0</v>
      </c>
      <c r="Q273" s="8">
        <f ca="1">IFERROR(__xludf.DUMMYFUNCTION("""COMPUTED_VALUE"""),12820)</f>
        <v>12820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IFERROR(__xludf.DUMMYFUNCTION("""COMPUTED_VALUE"""),"ASSOC. DE APOIO COL. DA POLICIA MILITAR DO TOCANTINS")</f>
        <v>ASSOC. DE APOIO COL. DA POLICIA MILITAR DO TOCANTINS</v>
      </c>
      <c r="D274" s="165" t="str">
        <f ca="1">IFERROR(__xludf.DUMMYFUNCTION("""COMPUTED_VALUE"""),"02050257000183")</f>
        <v>02050257000183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IFERROR(__xludf.DUMMYFUNCTION("""COMPUTED_VALUE"""),"455466")</f>
        <v>455466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IFERROR(__xludf.DUMMYFUNCTION("""COMPUTED_VALUE"""),0)</f>
        <v>0</v>
      </c>
      <c r="Q274" s="8">
        <f ca="1">IFERROR(__xludf.DUMMYFUNCTION("""COMPUTED_VALUE"""),0)</f>
        <v>0</v>
      </c>
      <c r="R274" s="8">
        <f ca="1">IFERROR(__xludf.DUMMYFUNCTION("""COMPUTED_VALUE"""),0)</f>
        <v>0</v>
      </c>
      <c r="S274" s="8">
        <f ca="1">IFERROR(__xludf.DUMMYFUNCTION("""COMPUTED_VALUE"""),42905.6)</f>
        <v>42905.599999999999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IFERROR(__xludf.DUMMYFUNCTION("""COMPUTED_VALUE"""),"ASSOCIAÇÃO DE APOIO A ESC. ESTADUAL DA 403 SUL")</f>
        <v>ASSOCIAÇÃO DE APOIO A ESC. ESTADUAL DA 403 SUL</v>
      </c>
      <c r="D275" s="165" t="str">
        <f ca="1">IFERROR(__xludf.DUMMYFUNCTION("""COMPUTED_VALUE"""),"11332101000186")</f>
        <v>11332101000186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IFERROR(__xludf.DUMMYFUNCTION("""COMPUTED_VALUE"""),"467588")</f>
        <v>467588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IFERROR(__xludf.DUMMYFUNCTION("""COMPUTED_VALUE"""),24906.6)</f>
        <v>24906.6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IFERROR(__xludf.DUMMYFUNCTION("""COMPUTED_VALUE"""),0)</f>
        <v>0</v>
      </c>
      <c r="Q275" s="8">
        <f ca="1">IFERROR(__xludf.DUMMYFUNCTION("""COMPUTED_VALUE"""),0)</f>
        <v>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IFERROR(__xludf.DUMMYFUNCTION("""COMPUTED_VALUE"""),0)</f>
        <v>0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IFERROR(__xludf.DUMMYFUNCTION("""COMPUTED_VALUE"""),"A.C.ESC.M.FUT. C.E. CRIANCA ESPERANCA")</f>
        <v>A.C.ESC.M.FUT. C.E. CRIANCA ESPERANCA</v>
      </c>
      <c r="D276" s="165" t="str">
        <f ca="1">IFERROR(__xludf.DUMMYFUNCTION("""COMPUTED_VALUE"""),"01920781000103")</f>
        <v>01920781000103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IFERROR(__xludf.DUMMYFUNCTION("""COMPUTED_VALUE"""),"455369")</f>
        <v>455369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IFERROR(__xludf.DUMMYFUNCTION("""COMPUTED_VALUE"""),0)</f>
        <v>0</v>
      </c>
      <c r="Q276" s="8">
        <f ca="1">IFERROR(__xludf.DUMMYFUNCTION("""COMPUTED_VALUE"""),2520)</f>
        <v>2520</v>
      </c>
      <c r="R276" s="8">
        <f ca="1">IFERROR(__xludf.DUMMYFUNCTION("""COMPUTED_VALUE"""),0)</f>
        <v>0</v>
      </c>
      <c r="S276" s="8">
        <f ca="1">IFERROR(__xludf.DUMMYFUNCTION("""COMPUTED_VALUE"""),0)</f>
        <v>0</v>
      </c>
      <c r="T276" s="8">
        <f ca="1">IFERROR(__xludf.DUMMYFUNCTION("""COMPUTED_VALUE"""),729.8)</f>
        <v>729.8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IFERROR(__xludf.DUMMYFUNCTION("""COMPUTED_VALUE"""),"A. COM. E-E. E. DOM ALANO MARIE DU NODAY")</f>
        <v>A. COM. E-E. E. DOM ALANO MARIE DU NODAY</v>
      </c>
      <c r="D277" s="165" t="str">
        <f ca="1">IFERROR(__xludf.DUMMYFUNCTION("""COMPUTED_VALUE"""),"01343125000187")</f>
        <v>01343125000187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IFERROR(__xludf.DUMMYFUNCTION("""COMPUTED_VALUE"""),"265810")</f>
        <v>265810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IFERROR(__xludf.DUMMYFUNCTION("""COMPUTED_VALUE"""),790)</f>
        <v>790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IFERROR(__xludf.DUMMYFUNCTION("""COMPUTED_VALUE"""),8240)</f>
        <v>8240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IFERROR(__xludf.DUMMYFUNCTION("""COMPUTED_VALUE"""),885.599999999999)</f>
        <v>885.599999999999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IFERROR(__xludf.DUMMYFUNCTION("""COMPUTED_VALUE"""),"ACE COL. EST. DUQUE DE CAXIAS")</f>
        <v>ACE COL. EST. DUQUE DE CAXIAS</v>
      </c>
      <c r="D278" s="165" t="str">
        <f ca="1">IFERROR(__xludf.DUMMYFUNCTION("""COMPUTED_VALUE"""),"01588669000109")</f>
        <v>01588669000109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IFERROR(__xludf.DUMMYFUNCTION("""COMPUTED_VALUE"""),"254002")</f>
        <v>254002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IFERROR(__xludf.DUMMYFUNCTION("""COMPUTED_VALUE"""),1970)</f>
        <v>1970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IFERROR(__xludf.DUMMYFUNCTION("""COMPUTED_VALUE"""),244.799999999999)</f>
        <v>244.79999999999899</v>
      </c>
      <c r="Q278" s="8">
        <f ca="1">IFERROR(__xludf.DUMMYFUNCTION("""COMPUTED_VALUE"""),2960)</f>
        <v>2960</v>
      </c>
      <c r="R278" s="8">
        <f ca="1">IFERROR(__xludf.DUMMYFUNCTION("""COMPUTED_VALUE"""),0)</f>
        <v>0</v>
      </c>
      <c r="S278" s="8">
        <f ca="1">IFERROR(__xludf.DUMMYFUNCTION("""COMPUTED_VALUE"""),0)</f>
        <v>0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IFERROR(__xludf.DUMMYFUNCTION("""COMPUTED_VALUE"""),"A.A. AO COLEGIO ESTADUAL SAO JOSE")</f>
        <v>A.A. AO COLEGIO ESTADUAL SAO JOSE</v>
      </c>
      <c r="D279" s="165" t="str">
        <f ca="1">IFERROR(__xludf.DUMMYFUNCTION("""COMPUTED_VALUE"""),"01913809000177")</f>
        <v>01913809000177</v>
      </c>
      <c r="E279" s="7" t="str">
        <f ca="1">IFERROR(__xludf.DUMMYFUNCTION("""COMPUTED_VALUE"""),"001")</f>
        <v>001</v>
      </c>
      <c r="F279" s="8" t="str">
        <f ca="1">IFERROR(__xludf.DUMMYFUNCTION("""COMPUTED_VALUE"""),"1886")</f>
        <v>1886</v>
      </c>
      <c r="G279" s="8" t="str">
        <f ca="1">IFERROR(__xludf.DUMMYFUNCTION("""COMPUTED_VALUE"""),"325252")</f>
        <v>325252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IFERROR(__xludf.DUMMYFUNCTION("""COMPUTED_VALUE"""),0)</f>
        <v>0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IFERROR(__xludf.DUMMYFUNCTION("""COMPUTED_VALUE"""),326.4)</f>
        <v>326.39999999999998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IFERROR(__xludf.DUMMYFUNCTION("""COMPUTED_VALUE"""),11520)</f>
        <v>11520</v>
      </c>
      <c r="T279" s="8">
        <f ca="1">IFERROR(__xludf.DUMMYFUNCTION("""COMPUTED_VALUE"""),1115.19999999999)</f>
        <v>1115.19999999999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IFERROR(__xludf.DUMMYFUNCTION("""COMPUTED_VALUE"""),"A.A. COL GIRASSOL TEMPO INTEGRAL RAQUEL QUEIROZ")</f>
        <v>A.A. COL GIRASSOL TEMPO INTEGRAL RAQUEL QUEIROZ</v>
      </c>
      <c r="D280" s="165" t="str">
        <f ca="1">IFERROR(__xludf.DUMMYFUNCTION("""COMPUTED_VALUE"""),"13748657000183")</f>
        <v>13748657000183</v>
      </c>
      <c r="E280" s="7" t="str">
        <f ca="1">IFERROR(__xludf.DUMMYFUNCTION("""COMPUTED_VALUE"""),"001")</f>
        <v>001</v>
      </c>
      <c r="F280" s="8" t="str">
        <f ca="1">IFERROR(__xludf.DUMMYFUNCTION("""COMPUTED_VALUE"""),"1867")</f>
        <v>1867</v>
      </c>
      <c r="G280" s="8" t="str">
        <f ca="1">IFERROR(__xludf.DUMMYFUNCTION("""COMPUTED_VALUE"""),"856312")</f>
        <v>856312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IFERROR(__xludf.DUMMYFUNCTION("""COMPUTED_VALUE"""),285.599999999999)</f>
        <v>285.599999999999</v>
      </c>
      <c r="Q280" s="8">
        <f ca="1">IFERROR(__xludf.DUMMYFUNCTION("""COMPUTED_VALUE"""),7370)</f>
        <v>7370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IFERROR(__xludf.DUMMYFUNCTION("""COMPUTED_VALUE"""),0)</f>
        <v>0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IFERROR(__xludf.DUMMYFUNCTION("""COMPUTED_VALUE"""),"ASSOCIAÇÃO DE APOIO DA ESCOLA ESPECIAL INTEGRAÇÃO DE PALMAS")</f>
        <v>ASSOCIAÇÃO DE APOIO DA ESCOLA ESPECIAL INTEGRAÇÃO DE PALMAS</v>
      </c>
      <c r="D281" s="165" t="str">
        <f ca="1">IFERROR(__xludf.DUMMYFUNCTION("""COMPUTED_VALUE"""),"07958777000102")</f>
        <v>07958777000102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IFERROR(__xludf.DUMMYFUNCTION("""COMPUTED_VALUE"""),"385328")</f>
        <v>385328</v>
      </c>
      <c r="H281" s="8">
        <f ca="1">IFERROR(__xludf.DUMMYFUNCTION("""COMPUTED_VALUE"""),0)</f>
        <v>0</v>
      </c>
      <c r="I281" s="8">
        <f ca="1">IFERROR(__xludf.DUMMYFUNCTION("""COMPUTED_VALUE"""),403.2)</f>
        <v>403.2</v>
      </c>
      <c r="J281" s="8">
        <f ca="1">IFERROR(__xludf.DUMMYFUNCTION("""COMPUTED_VALUE"""),530)</f>
        <v>530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IFERROR(__xludf.DUMMYFUNCTION("""COMPUTED_VALUE"""),326.4)</f>
        <v>326.39999999999998</v>
      </c>
      <c r="Q281" s="8">
        <f ca="1">IFERROR(__xludf.DUMMYFUNCTION("""COMPUTED_VALUE"""),0)</f>
        <v>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IFERROR(__xludf.DUMMYFUNCTION("""COMPUTED_VALUE"""),893.8)</f>
        <v>893.8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IFERROR(__xludf.DUMMYFUNCTION("""COMPUTED_VALUE"""),"A.COM. ESC. E. E.BEIRA RIO/PORTO NACIONAL")</f>
        <v>A.COM. ESC. E. E.BEIRA RIO/PORTO NACIONAL</v>
      </c>
      <c r="D282" s="165" t="str">
        <f ca="1">IFERROR(__xludf.DUMMYFUNCTION("""COMPUTED_VALUE"""),"01797298000175")</f>
        <v>01797298000175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IFERROR(__xludf.DUMMYFUNCTION("""COMPUTED_VALUE"""),"209929")</f>
        <v>209929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IFERROR(__xludf.DUMMYFUNCTION("""COMPUTED_VALUE"""),7660)</f>
        <v>7660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IFERROR(__xludf.DUMMYFUNCTION("""COMPUTED_VALUE"""),0)</f>
        <v>0</v>
      </c>
      <c r="Q282" s="8">
        <f ca="1">IFERROR(__xludf.DUMMYFUNCTION("""COMPUTED_VALUE"""),5210)</f>
        <v>5210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IFERROR(__xludf.DUMMYFUNCTION("""COMPUTED_VALUE"""),672.4)</f>
        <v>672.4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IFERROR(__xludf.DUMMYFUNCTION("""COMPUTED_VALUE"""),"A.P.E M. DA ESC. EST. MADRE BELEM")</f>
        <v>A.P.E M. DA ESC. EST. MADRE BELEM</v>
      </c>
      <c r="D283" s="165" t="str">
        <f ca="1">IFERROR(__xludf.DUMMYFUNCTION("""COMPUTED_VALUE"""),"01034134000196")</f>
        <v>01034134000196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IFERROR(__xludf.DUMMYFUNCTION("""COMPUTED_VALUE"""),"519855")</f>
        <v>519855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IFERROR(__xludf.DUMMYFUNCTION("""COMPUTED_VALUE"""),163.2)</f>
        <v>163.19999999999999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IFERROR(__xludf.DUMMYFUNCTION("""COMPUTED_VALUE"""),39628.8)</f>
        <v>39628.800000000003</v>
      </c>
      <c r="T283" s="8">
        <f ca="1">IFERROR(__xludf.DUMMYFUNCTION("""COMPUTED_VALUE"""),0)</f>
        <v>0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IFERROR(__xludf.DUMMYFUNCTION("""COMPUTED_VALUE"""),"ACE UN.ESC. FREDEDERICO J. PEDRERA NETO")</f>
        <v>ACE UN.ESC. FREDEDERICO J. PEDRERA NETO</v>
      </c>
      <c r="D284" s="165" t="str">
        <f ca="1">IFERROR(__xludf.DUMMYFUNCTION("""COMPUTED_VALUE"""),"01862534000190")</f>
        <v>01862534000190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IFERROR(__xludf.DUMMYFUNCTION("""COMPUTED_VALUE"""),"1079972")</f>
        <v>1079972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IFERROR(__xludf.DUMMYFUNCTION("""COMPUTED_VALUE"""),217.6)</f>
        <v>217.6</v>
      </c>
      <c r="Q284" s="8">
        <f ca="1">IFERROR(__xludf.DUMMYFUNCTION("""COMPUTED_VALUE"""),8450)</f>
        <v>8450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IFERROR(__xludf.DUMMYFUNCTION("""COMPUTED_VALUE"""),1057.8)</f>
        <v>1057.8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IFERROR(__xludf.DUMMYFUNCTION("""COMPUTED_VALUE"""),"A.CONS.ESCOLAR E. EST.I GRAU LIBERDADE")</f>
        <v>A.CONS.ESCOLAR E. EST.I GRAU LIBERDADE</v>
      </c>
      <c r="D285" s="165" t="str">
        <f ca="1">IFERROR(__xludf.DUMMYFUNCTION("""COMPUTED_VALUE"""),"01936355000150")</f>
        <v>01936355000150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IFERROR(__xludf.DUMMYFUNCTION("""COMPUTED_VALUE"""),"257028")</f>
        <v>257028</v>
      </c>
      <c r="H285" s="8">
        <f ca="1">IFERROR(__xludf.DUMMYFUNCTION("""COMPUTED_VALUE"""),0)</f>
        <v>0</v>
      </c>
      <c r="I285" s="8">
        <f ca="1">IFERROR(__xludf.DUMMYFUNCTION("""COMPUTED_VALUE"""),0)</f>
        <v>0</v>
      </c>
      <c r="J285" s="8">
        <f ca="1">IFERROR(__xludf.DUMMYFUNCTION("""COMPUTED_VALUE"""),2460)</f>
        <v>2460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IFERROR(__xludf.DUMMYFUNCTION("""COMPUTED_VALUE"""),299.2)</f>
        <v>299.2</v>
      </c>
      <c r="Q285" s="8">
        <f ca="1">IFERROR(__xludf.DUMMYFUNCTION("""COMPUTED_VALUE"""),4680)</f>
        <v>4680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IFERROR(__xludf.DUMMYFUNCTION("""COMPUTED_VALUE"""),680.599999999999)</f>
        <v>680.599999999999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IFERROR(__xludf.DUMMYFUNCTION("""COMPUTED_VALUE"""),"ASSOC APOIO ESC EST MARIA DOS REIS ALVES BARROS")</f>
        <v>ASSOC APOIO ESC EST MARIA DOS REIS ALVES BARROS</v>
      </c>
      <c r="D286" s="165" t="str">
        <f ca="1">IFERROR(__xludf.DUMMYFUNCTION("""COMPUTED_VALUE"""),"08641263000191")</f>
        <v>08641263000191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IFERROR(__xludf.DUMMYFUNCTION("""COMPUTED_VALUE"""),"413666")</f>
        <v>413666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IFERROR(__xludf.DUMMYFUNCTION("""COMPUTED_VALUE"""),10470)</f>
        <v>10470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IFERROR(__xludf.DUMMYFUNCTION("""COMPUTED_VALUE"""),829.6)</f>
        <v>829.6</v>
      </c>
      <c r="Q286" s="8">
        <f ca="1">IFERROR(__xludf.DUMMYFUNCTION("""COMPUTED_VALUE"""),6060)</f>
        <v>6060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IFERROR(__xludf.DUMMYFUNCTION("""COMPUTED_VALUE"""),1295.6)</f>
        <v>1295.5999999999999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IFERROR(__xludf.DUMMYFUNCTION("""COMPUTED_VALUE"""),"A.COM. DA ESC. EST. NOVO HORIZONTE")</f>
        <v>A.COM. DA ESC. EST. NOVO HORIZONTE</v>
      </c>
      <c r="D287" s="165" t="str">
        <f ca="1">IFERROR(__xludf.DUMMYFUNCTION("""COMPUTED_VALUE"""),"01221539000133")</f>
        <v>01221539000133</v>
      </c>
      <c r="E287" s="7" t="str">
        <f ca="1">IFERROR(__xludf.DUMMYFUNCTION("""COMPUTED_VALUE"""),"001")</f>
        <v>001</v>
      </c>
      <c r="F287" s="8" t="str">
        <f ca="1">IFERROR(__xludf.DUMMYFUNCTION("""COMPUTED_VALUE"""),"1505")</f>
        <v>1505</v>
      </c>
      <c r="G287" s="8" t="str">
        <f ca="1">IFERROR(__xludf.DUMMYFUNCTION("""COMPUTED_VALUE"""),"351687")</f>
        <v>351687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IFERROR(__xludf.DUMMYFUNCTION("""COMPUTED_VALUE"""),3310)</f>
        <v>3310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IFERROR(__xludf.DUMMYFUNCTION("""COMPUTED_VALUE"""),448.8)</f>
        <v>448.8</v>
      </c>
      <c r="Q287" s="8">
        <f ca="1">IFERROR(__xludf.DUMMYFUNCTION("""COMPUTED_VALUE"""),4280)</f>
        <v>4280</v>
      </c>
      <c r="R287" s="8">
        <f ca="1">IFERROR(__xludf.DUMMYFUNCTION("""COMPUTED_VALUE"""),0)</f>
        <v>0</v>
      </c>
      <c r="S287" s="8">
        <f ca="1">IFERROR(__xludf.DUMMYFUNCTION("""COMPUTED_VALUE"""),0)</f>
        <v>0</v>
      </c>
      <c r="T287" s="8">
        <f ca="1">IFERROR(__xludf.DUMMYFUNCTION("""COMPUTED_VALUE"""),328)</f>
        <v>328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IFERROR(__xludf.DUMMYFUNCTION("""COMPUTED_VALUE"""),"ASSOC.COMUNIDADE ESC. ESTADUAL RURAL ENTRE RIOS")</f>
        <v>ASSOC.COMUNIDADE ESC. ESTADUAL RURAL ENTRE RIOS</v>
      </c>
      <c r="D288" s="165" t="str">
        <f ca="1">IFERROR(__xludf.DUMMYFUNCTION("""COMPUTED_VALUE"""),"11257180000108")</f>
        <v>11257180000108</v>
      </c>
      <c r="E288" s="7" t="str">
        <f ca="1">IFERROR(__xludf.DUMMYFUNCTION("""COMPUTED_VALUE"""),"001")</f>
        <v>001</v>
      </c>
      <c r="F288" s="8" t="str">
        <f ca="1">IFERROR(__xludf.DUMMYFUNCTION("""COMPUTED_VALUE"""),"1886")</f>
        <v>1886</v>
      </c>
      <c r="G288" s="8" t="str">
        <f ca="1">IFERROR(__xludf.DUMMYFUNCTION("""COMPUTED_VALUE"""),"1464884")</f>
        <v>1464884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IFERROR(__xludf.DUMMYFUNCTION("""COMPUTED_VALUE"""),1068.6)</f>
        <v>1068.5999999999999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IFERROR(__xludf.DUMMYFUNCTION("""COMPUTED_VALUE"""),0)</f>
        <v>0</v>
      </c>
      <c r="Q288" s="8">
        <f ca="1">IFERROR(__xludf.DUMMYFUNCTION("""COMPUTED_VALUE"""),0)</f>
        <v>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IFERROR(__xludf.DUMMYFUNCTION("""COMPUTED_VALUE"""),0)</f>
        <v>0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IFERROR(__xludf.DUMMYFUNCTION("""COMPUTED_VALUE"""),"A.A. DA COM. ESCOLAR - ESC. EST. SANTA FE")</f>
        <v>A.A. DA COM. ESCOLAR - ESC. EST. SANTA FE</v>
      </c>
      <c r="D289" s="165" t="str">
        <f ca="1">IFERROR(__xludf.DUMMYFUNCTION("""COMPUTED_VALUE"""),"01932049000145")</f>
        <v>01932049000145</v>
      </c>
      <c r="E289" s="7" t="str">
        <f ca="1">IFERROR(__xludf.DUMMYFUNCTION("""COMPUTED_VALUE"""),"001")</f>
        <v>001</v>
      </c>
      <c r="F289" s="8" t="str">
        <f ca="1">IFERROR(__xludf.DUMMYFUNCTION("""COMPUTED_VALUE"""),"2781")</f>
        <v>2781</v>
      </c>
      <c r="G289" s="8" t="str">
        <f ca="1">IFERROR(__xludf.DUMMYFUNCTION("""COMPUTED_VALUE"""),"261904")</f>
        <v>261904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IFERROR(__xludf.DUMMYFUNCTION("""COMPUTED_VALUE"""),270)</f>
        <v>270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IFERROR(__xludf.DUMMYFUNCTION("""COMPUTED_VALUE"""),0)</f>
        <v>0</v>
      </c>
      <c r="Q289" s="8">
        <f ca="1">IFERROR(__xludf.DUMMYFUNCTION("""COMPUTED_VALUE"""),2170)</f>
        <v>2170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IFERROR(__xludf.DUMMYFUNCTION("""COMPUTED_VALUE"""),0)</f>
        <v>0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IFERROR(__xludf.DUMMYFUNCTION("""COMPUTED_VALUE"""),"A.COMUN.ESCOLA-DA ESC. EST. SETOR SUL")</f>
        <v>A.COMUN.ESCOLA-DA ESC. EST. SETOR SUL</v>
      </c>
      <c r="D290" s="165" t="str">
        <f ca="1">IFERROR(__xludf.DUMMYFUNCTION("""COMPUTED_VALUE"""),"01926545000196")</f>
        <v>01926545000196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IFERROR(__xludf.DUMMYFUNCTION("""COMPUTED_VALUE"""),"258105")</f>
        <v>258105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IFERROR(__xludf.DUMMYFUNCTION("""COMPUTED_VALUE"""),2550)</f>
        <v>2550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IFERROR(__xludf.DUMMYFUNCTION("""COMPUTED_VALUE"""),163.2)</f>
        <v>163.19999999999999</v>
      </c>
      <c r="Q290" s="8">
        <f ca="1">IFERROR(__xludf.DUMMYFUNCTION("""COMPUTED_VALUE"""),3420)</f>
        <v>3420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IFERROR(__xludf.DUMMYFUNCTION("""COMPUTED_VALUE"""),73.8)</f>
        <v>73.8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IFERROR(__xludf.DUMMYFUNCTION("""COMPUTED_VALUE"""),"A.COMUNIDADE ESCOLA/E. EST. VALE DO SOL")</f>
        <v>A.COMUNIDADE ESCOLA/E. EST. VALE DO SOL</v>
      </c>
      <c r="D291" s="165" t="str">
        <f ca="1">IFERROR(__xludf.DUMMYFUNCTION("""COMPUTED_VALUE"""),"01873442000105")</f>
        <v>01873442000105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IFERROR(__xludf.DUMMYFUNCTION("""COMPUTED_VALUE"""),"256404")</f>
        <v>256404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IFERROR(__xludf.DUMMYFUNCTION("""COMPUTED_VALUE"""),1480)</f>
        <v>1480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IFERROR(__xludf.DUMMYFUNCTION("""COMPUTED_VALUE"""),136)</f>
        <v>136</v>
      </c>
      <c r="Q291" s="8">
        <f ca="1">IFERROR(__xludf.DUMMYFUNCTION("""COMPUTED_VALUE"""),3630)</f>
        <v>3630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IFERROR(__xludf.DUMMYFUNCTION("""COMPUTED_VALUE"""),0)</f>
        <v>0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IFERROR(__xludf.DUMMYFUNCTION("""COMPUTED_VALUE"""),"A.P.M.DA ESC. EST. DE I GRAU VILA UNIAO")</f>
        <v>A.P.M.DA ESC. EST. DE I GRAU VILA UNIAO</v>
      </c>
      <c r="D292" s="165" t="str">
        <f ca="1">IFERROR(__xludf.DUMMYFUNCTION("""COMPUTED_VALUE"""),"01926551000143")</f>
        <v>01926551000143</v>
      </c>
      <c r="E292" s="7" t="str">
        <f ca="1">IFERROR(__xludf.DUMMYFUNCTION("""COMPUTED_VALUE"""),"001")</f>
        <v>001</v>
      </c>
      <c r="F292" s="8" t="str">
        <f ca="1">IFERROR(__xludf.DUMMYFUNCTION("""COMPUTED_VALUE"""),"1505")</f>
        <v>1505</v>
      </c>
      <c r="G292" s="8" t="str">
        <f ca="1">IFERROR(__xludf.DUMMYFUNCTION("""COMPUTED_VALUE"""),"255734")</f>
        <v>255734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IFERROR(__xludf.DUMMYFUNCTION("""COMPUTED_VALUE"""),3070)</f>
        <v>3070</v>
      </c>
      <c r="K292" s="8">
        <f ca="1">IFERROR(__xludf.DUMMYFUNCTION("""COMPUTED_VALUE"""),0)</f>
        <v>0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IFERROR(__xludf.DUMMYFUNCTION("""COMPUTED_VALUE"""),204)</f>
        <v>204</v>
      </c>
      <c r="Q292" s="8">
        <f ca="1">IFERROR(__xludf.DUMMYFUNCTION("""COMPUTED_VALUE"""),1530)</f>
        <v>1530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IFERROR(__xludf.DUMMYFUNCTION("""COMPUTED_VALUE"""),"AÇÃO SOCIAL JESUS DE NAZARÉ/ESC JOÃO PAULO II")</f>
        <v>AÇÃO SOCIAL JESUS DE NAZARÉ/ESC JOÃO PAULO II</v>
      </c>
      <c r="D293" s="165" t="str">
        <f ca="1">IFERROR(__xludf.DUMMYFUNCTION("""COMPUTED_VALUE"""),"03005522000174")</f>
        <v>03005522000174</v>
      </c>
      <c r="E293" s="7" t="str">
        <f ca="1">IFERROR(__xludf.DUMMYFUNCTION("""COMPUTED_VALUE"""),"001")</f>
        <v>001</v>
      </c>
      <c r="F293" s="8" t="str">
        <f ca="1">IFERROR(__xludf.DUMMYFUNCTION("""COMPUTED_VALUE"""),"1505")</f>
        <v>1505</v>
      </c>
      <c r="G293" s="8" t="str">
        <f ca="1">IFERROR(__xludf.DUMMYFUNCTION("""COMPUTED_VALUE"""),"423475")</f>
        <v>423475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IFERROR(__xludf.DUMMYFUNCTION("""COMPUTED_VALUE"""),1150)</f>
        <v>1150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IFERROR(__xludf.DUMMYFUNCTION("""COMPUTED_VALUE"""),0)</f>
        <v>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IFERROR(__xludf.DUMMYFUNCTION("""COMPUTED_VALUE"""),"A.A. DO INST.PRESB.EDUC.SOC.REV.ROBERT CA")</f>
        <v>A.A. DO INST.PRESB.EDUC.SOC.REV.ROBERT CA</v>
      </c>
      <c r="D294" s="165" t="str">
        <f ca="1">IFERROR(__xludf.DUMMYFUNCTION("""COMPUTED_VALUE"""),"05470057000178")</f>
        <v>05470057000178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IFERROR(__xludf.DUMMYFUNCTION("""COMPUTED_VALUE"""),"45110X")</f>
        <v>45110X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IFERROR(__xludf.DUMMYFUNCTION("""COMPUTED_VALUE"""),4540)</f>
        <v>4540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IFERROR(__xludf.DUMMYFUNCTION("""COMPUTED_VALUE"""),0)</f>
        <v>0</v>
      </c>
      <c r="Q294" s="8">
        <f ca="1">IFERROR(__xludf.DUMMYFUNCTION("""COMPUTED_VALUE"""),0)</f>
        <v>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IFERROR(__xludf.DUMMYFUNCTION("""COMPUTED_VALUE"""),0)</f>
        <v>0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1" t="str">
        <f ca="1">IFERROR(__xludf.DUMMYFUNCTION("""COMPUTED_VALUE"""),"A. DE PAIS E MESTRES DO COL. EST.RIO SONO")</f>
        <v>A. DE PAIS E MESTRES DO COL. EST.RIO SONO</v>
      </c>
      <c r="D295" s="165" t="str">
        <f ca="1">IFERROR(__xludf.DUMMYFUNCTION("""COMPUTED_VALUE"""),"01184376000166")</f>
        <v>01184376000166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IFERROR(__xludf.DUMMYFUNCTION("""COMPUTED_VALUE"""),"530042")</f>
        <v>530042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IFERROR(__xludf.DUMMYFUNCTION("""COMPUTED_VALUE"""),1770)</f>
        <v>1770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IFERROR(__xludf.DUMMYFUNCTION("""COMPUTED_VALUE"""),788.8)</f>
        <v>788.8</v>
      </c>
      <c r="Q295" s="8">
        <f ca="1">IFERROR(__xludf.DUMMYFUNCTION("""COMPUTED_VALUE"""),1920)</f>
        <v>1920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1" t="str">
        <f ca="1">IFERROR(__xludf.DUMMYFUNCTION("""COMPUTED_VALUE"""),"A.A.  ESCOLA EST. IMACULADA CONCEICAO")</f>
        <v>A.A.  ESCOLA EST. IMACULADA CONCEICAO</v>
      </c>
      <c r="D296" s="165" t="str">
        <f ca="1">IFERROR(__xludf.DUMMYFUNCTION("""COMPUTED_VALUE"""),"01197175000101")</f>
        <v>01197175000101</v>
      </c>
      <c r="E296" s="7" t="str">
        <f ca="1">IFERROR(__xludf.DUMMYFUNCTION("""COMPUTED_VALUE"""),"001")</f>
        <v>001</v>
      </c>
      <c r="F296" s="8" t="str">
        <f ca="1">IFERROR(__xludf.DUMMYFUNCTION("""COMPUTED_VALUE"""),"0862")</f>
        <v>0862</v>
      </c>
      <c r="G296" s="8" t="str">
        <f ca="1">IFERROR(__xludf.DUMMYFUNCTION("""COMPUTED_VALUE"""),"161497")</f>
        <v>161497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IFERROR(__xludf.DUMMYFUNCTION("""COMPUTED_VALUE"""),600)</f>
        <v>600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IFERROR(__xludf.DUMMYFUNCTION("""COMPUTED_VALUE"""),0)</f>
        <v>0</v>
      </c>
      <c r="Q296" s="8">
        <f ca="1">IFERROR(__xludf.DUMMYFUNCTION("""COMPUTED_VALUE"""),530)</f>
        <v>530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1" t="str">
        <f ca="1">IFERROR(__xludf.DUMMYFUNCTION("""COMPUTED_VALUE"""),"A.A. C.EST. MANOEL S.DOURADO")</f>
        <v>A.A. C.EST. MANOEL S.DOURADO</v>
      </c>
      <c r="D297" s="165" t="str">
        <f ca="1">IFERROR(__xludf.DUMMYFUNCTION("""COMPUTED_VALUE"""),"01136013000155")</f>
        <v>01136013000155</v>
      </c>
      <c r="E297" s="7" t="str">
        <f ca="1">IFERROR(__xludf.DUMMYFUNCTION("""COMPUTED_VALUE"""),"001")</f>
        <v>001</v>
      </c>
      <c r="F297" s="8" t="str">
        <f ca="1">IFERROR(__xludf.DUMMYFUNCTION("""COMPUTED_VALUE"""),"1117")</f>
        <v>1117</v>
      </c>
      <c r="G297" s="8" t="str">
        <f ca="1">IFERROR(__xludf.DUMMYFUNCTION("""COMPUTED_VALUE"""),"313033")</f>
        <v>313033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IFERROR(__xludf.DUMMYFUNCTION("""COMPUTED_VALUE"""),1050)</f>
        <v>1050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IFERROR(__xludf.DUMMYFUNCTION("""COMPUTED_VALUE"""),0)</f>
        <v>0</v>
      </c>
      <c r="Q297" s="8">
        <f ca="1">IFERROR(__xludf.DUMMYFUNCTION("""COMPUTED_VALUE"""),1450)</f>
        <v>1450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1" t="str">
        <f ca="1">IFERROR(__xludf.DUMMYFUNCTION("""COMPUTED_VALUE"""),"A. DE AP.ESC. EST. SAGRADO CORACAO DE JESUS")</f>
        <v>A. DE AP.ESC. EST. SAGRADO CORACAO DE JESUS</v>
      </c>
      <c r="D298" s="165" t="str">
        <f ca="1">IFERROR(__xludf.DUMMYFUNCTION("""COMPUTED_VALUE"""),"01656550000126")</f>
        <v>01656550000126</v>
      </c>
      <c r="E298" s="7" t="str">
        <f ca="1">IFERROR(__xludf.DUMMYFUNCTION("""COMPUTED_VALUE"""),"001")</f>
        <v>001</v>
      </c>
      <c r="F298" s="8" t="str">
        <f ca="1">IFERROR(__xludf.DUMMYFUNCTION("""COMPUTED_VALUE"""),"3962")</f>
        <v>3962</v>
      </c>
      <c r="G298" s="8" t="str">
        <f ca="1">IFERROR(__xludf.DUMMYFUNCTION("""COMPUTED_VALUE"""),"147605")</f>
        <v>147605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IFERROR(__xludf.DUMMYFUNCTION("""COMPUTED_VALUE"""),2130)</f>
        <v>2130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IFERROR(__xludf.DUMMYFUNCTION("""COMPUTED_VALUE"""),1170)</f>
        <v>1170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1" t="str">
        <f ca="1">IFERROR(__xludf.DUMMYFUNCTION("""COMPUTED_VALUE"""),"ASS. DE APOIO DA ESCOLA EST. SAO PEDRO")</f>
        <v>ASS. DE APOIO DA ESCOLA EST. SAO PEDRO</v>
      </c>
      <c r="D299" s="165" t="str">
        <f ca="1">IFERROR(__xludf.DUMMYFUNCTION("""COMPUTED_VALUE"""),"01071408000117")</f>
        <v>01071408000117</v>
      </c>
      <c r="E299" s="7" t="str">
        <f ca="1">IFERROR(__xludf.DUMMYFUNCTION("""COMPUTED_VALUE"""),"001")</f>
        <v>001</v>
      </c>
      <c r="F299" s="8" t="str">
        <f ca="1">IFERROR(__xludf.DUMMYFUNCTION("""COMPUTED_VALUE"""),"0804")</f>
        <v>0804</v>
      </c>
      <c r="G299" s="8" t="str">
        <f ca="1">IFERROR(__xludf.DUMMYFUNCTION("""COMPUTED_VALUE"""),"286893")</f>
        <v>286893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IFERROR(__xludf.DUMMYFUNCTION("""COMPUTED_VALUE"""),1070)</f>
        <v>1070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IFERROR(__xludf.DUMMYFUNCTION("""COMPUTED_VALUE"""),0)</f>
        <v>0</v>
      </c>
      <c r="Q299" s="8">
        <f ca="1">IFERROR(__xludf.DUMMYFUNCTION("""COMPUTED_VALUE"""),1320)</f>
        <v>1320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IFERROR(__xludf.DUMMYFUNCTION("""COMPUTED_VALUE"""),82)</f>
        <v>82</v>
      </c>
      <c r="U299" s="62"/>
      <c r="V299" s="62"/>
      <c r="W299" s="62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1" t="str">
        <f ca="1">IFERROR(__xludf.DUMMYFUNCTION("""COMPUTED_VALUE"""),"ASSOC. DE APOIO AO COL. EST. DE ARAGUACEMA")</f>
        <v>ASSOC. DE APOIO AO COL. EST. DE ARAGUACEMA</v>
      </c>
      <c r="D300" s="165" t="str">
        <f ca="1">IFERROR(__xludf.DUMMYFUNCTION("""COMPUTED_VALUE"""),"01187107000153")</f>
        <v>01187107000153</v>
      </c>
      <c r="E300" s="7" t="str">
        <f ca="1">IFERROR(__xludf.DUMMYFUNCTION("""COMPUTED_VALUE"""),"001")</f>
        <v>001</v>
      </c>
      <c r="F300" s="8" t="str">
        <f ca="1">IFERROR(__xludf.DUMMYFUNCTION("""COMPUTED_VALUE"""),"0804")</f>
        <v>0804</v>
      </c>
      <c r="G300" s="8" t="str">
        <f ca="1">IFERROR(__xludf.DUMMYFUNCTION("""COMPUTED_VALUE"""),"286532")</f>
        <v>286532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IFERROR(__xludf.DUMMYFUNCTION("""COMPUTED_VALUE"""),1020)</f>
        <v>1020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IFERROR(__xludf.DUMMYFUNCTION("""COMPUTED_VALUE"""),3100)</f>
        <v>3100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1" t="str">
        <f ca="1">IFERROR(__xludf.DUMMYFUNCTION("""COMPUTED_VALUE"""),"ASSOC. DE APOIO COLEGIO MENNO SIMONS")</f>
        <v>ASSOC. DE APOIO COLEGIO MENNO SIMONS</v>
      </c>
      <c r="D301" s="165" t="str">
        <f ca="1">IFERROR(__xludf.DUMMYFUNCTION("""COMPUTED_VALUE"""),"01138321000110")</f>
        <v>01138321000110</v>
      </c>
      <c r="E301" s="7" t="str">
        <f ca="1">IFERROR(__xludf.DUMMYFUNCTION("""COMPUTED_VALUE"""),"001")</f>
        <v>001</v>
      </c>
      <c r="F301" s="8" t="str">
        <f ca="1">IFERROR(__xludf.DUMMYFUNCTION("""COMPUTED_VALUE"""),"0804")</f>
        <v>0804</v>
      </c>
      <c r="G301" s="8" t="str">
        <f ca="1">IFERROR(__xludf.DUMMYFUNCTION("""COMPUTED_VALUE"""),"300764")</f>
        <v>300764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IFERROR(__xludf.DUMMYFUNCTION("""COMPUTED_VALUE"""),1870)</f>
        <v>1870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IFERROR(__xludf.DUMMYFUNCTION("""COMPUTED_VALUE"""),0)</f>
        <v>0</v>
      </c>
      <c r="Q301" s="8">
        <f ca="1">IFERROR(__xludf.DUMMYFUNCTION("""COMPUTED_VALUE"""),0)</f>
        <v>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1" t="str">
        <f ca="1">IFERROR(__xludf.DUMMYFUNCTION("""COMPUTED_VALUE"""),"ASSOC. DE A. DO COL. EST. PRES. TANCREDO NEVES")</f>
        <v>ASSOC. DE A. DO COL. EST. PRES. TANCREDO NEVES</v>
      </c>
      <c r="D302" s="165" t="str">
        <f ca="1">IFERROR(__xludf.DUMMYFUNCTION("""COMPUTED_VALUE"""),"01086975000147")</f>
        <v>01086975000147</v>
      </c>
      <c r="E302" s="7" t="str">
        <f ca="1">IFERROR(__xludf.DUMMYFUNCTION("""COMPUTED_VALUE"""),"001")</f>
        <v>001</v>
      </c>
      <c r="F302" s="8" t="str">
        <f ca="1">IFERROR(__xludf.DUMMYFUNCTION("""COMPUTED_VALUE"""),"0862")</f>
        <v>0862</v>
      </c>
      <c r="G302" s="8" t="str">
        <f ca="1">IFERROR(__xludf.DUMMYFUNCTION("""COMPUTED_VALUE"""),"244155")</f>
        <v>244155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IFERROR(__xludf.DUMMYFUNCTION("""COMPUTED_VALUE"""),0)</f>
        <v>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IFERROR(__xludf.DUMMYFUNCTION("""COMPUTED_VALUE"""),0)</f>
        <v>0</v>
      </c>
      <c r="R302" s="8">
        <f ca="1">IFERROR(__xludf.DUMMYFUNCTION("""COMPUTED_VALUE"""),0)</f>
        <v>0</v>
      </c>
      <c r="S302" s="8">
        <f ca="1">IFERROR(__xludf.DUMMYFUNCTION("""COMPUTED_VALUE"""),5888)</f>
        <v>5888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1" t="str">
        <f ca="1">IFERROR(__xludf.DUMMYFUNCTION("""COMPUTED_VALUE"""),"A..A. ESC. ESPECIAL AMOR DE DEUS")</f>
        <v>A..A. ESC. ESPECIAL AMOR DE DEUS</v>
      </c>
      <c r="D303" s="165" t="str">
        <f ca="1">IFERROR(__xludf.DUMMYFUNCTION("""COMPUTED_VALUE"""),"07935641000187")</f>
        <v>07935641000187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IFERROR(__xludf.DUMMYFUNCTION("""COMPUTED_VALUE"""),"279501")</f>
        <v>279501</v>
      </c>
      <c r="H303" s="8">
        <f ca="1">IFERROR(__xludf.DUMMYFUNCTION("""COMPUTED_VALUE"""),0)</f>
        <v>0</v>
      </c>
      <c r="I303" s="8">
        <f ca="1">IFERROR(__xludf.DUMMYFUNCTION("""COMPUTED_VALUE"""),187.2)</f>
        <v>187.2</v>
      </c>
      <c r="J303" s="8">
        <f ca="1">IFERROR(__xludf.DUMMYFUNCTION("""COMPUTED_VALUE"""),100)</f>
        <v>100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IFERROR(__xludf.DUMMYFUNCTION("""COMPUTED_VALUE"""),163.2)</f>
        <v>163.19999999999999</v>
      </c>
      <c r="Q303" s="8">
        <f ca="1">IFERROR(__xludf.DUMMYFUNCTION("""COMPUTED_VALUE"""),0)</f>
        <v>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IFERROR(__xludf.DUMMYFUNCTION("""COMPUTED_VALUE"""),213.2)</f>
        <v>213.2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1" t="str">
        <f ca="1">IFERROR(__xludf.DUMMYFUNCTION("""COMPUTED_VALUE"""),"ASS. APOIO DA ESC EST PAULINA CAMARA")</f>
        <v>ASS. APOIO DA ESC EST PAULINA CAMARA</v>
      </c>
      <c r="D304" s="165" t="str">
        <f ca="1">IFERROR(__xludf.DUMMYFUNCTION("""COMPUTED_VALUE"""),"01071402000140")</f>
        <v>01071402000140</v>
      </c>
      <c r="E304" s="7" t="str">
        <f ca="1">IFERROR(__xludf.DUMMYFUNCTION("""COMPUTED_VALUE"""),"001")</f>
        <v>001</v>
      </c>
      <c r="F304" s="8" t="str">
        <f ca="1">IFERROR(__xludf.DUMMYFUNCTION("""COMPUTED_VALUE"""),"0862")</f>
        <v>0862</v>
      </c>
      <c r="G304" s="8" t="str">
        <f ca="1">IFERROR(__xludf.DUMMYFUNCTION("""COMPUTED_VALUE"""),"68926")</f>
        <v>68926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IFERROR(__xludf.DUMMYFUNCTION("""COMPUTED_VALUE"""),2560)</f>
        <v>2560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IFERROR(__xludf.DUMMYFUNCTION("""COMPUTED_VALUE"""),136)</f>
        <v>136</v>
      </c>
      <c r="Q304" s="8">
        <f ca="1">IFERROR(__xludf.DUMMYFUNCTION("""COMPUTED_VALUE"""),0)</f>
        <v>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1" t="str">
        <f ca="1">IFERROR(__xludf.DUMMYFUNCTION("""COMPUTED_VALUE"""),"A.A. COLEGIO ESTADUAL COSTA E SILVA")</f>
        <v>A.A. COLEGIO ESTADUAL COSTA E SILVA</v>
      </c>
      <c r="D305" s="165" t="str">
        <f ca="1">IFERROR(__xludf.DUMMYFUNCTION("""COMPUTED_VALUE"""),"01100434000126")</f>
        <v>01100434000126</v>
      </c>
      <c r="E305" s="7" t="str">
        <f ca="1">IFERROR(__xludf.DUMMYFUNCTION("""COMPUTED_VALUE"""),"001")</f>
        <v>001</v>
      </c>
      <c r="F305" s="8" t="str">
        <f ca="1">IFERROR(__xludf.DUMMYFUNCTION("""COMPUTED_VALUE"""),"0862")</f>
        <v>0862</v>
      </c>
      <c r="G305" s="8" t="str">
        <f ca="1">IFERROR(__xludf.DUMMYFUNCTION("""COMPUTED_VALUE"""),"68942")</f>
        <v>68942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IFERROR(__xludf.DUMMYFUNCTION("""COMPUTED_VALUE"""),1050)</f>
        <v>1050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IFERROR(__xludf.DUMMYFUNCTION("""COMPUTED_VALUE"""),1080)</f>
        <v>1080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1" t="str">
        <f ca="1">IFERROR(__xludf.DUMMYFUNCTION("""COMPUTED_VALUE"""),"A.A. AO COLEGIO EST. TRAJANO DE ALMEIDA")</f>
        <v>A.A. AO COLEGIO EST. TRAJANO DE ALMEIDA</v>
      </c>
      <c r="D306" s="165" t="str">
        <f ca="1">IFERROR(__xludf.DUMMYFUNCTION("""COMPUTED_VALUE"""),"01136037000104")</f>
        <v>01136037000104</v>
      </c>
      <c r="E306" s="7" t="str">
        <f ca="1">IFERROR(__xludf.DUMMYFUNCTION("""COMPUTED_VALUE"""),"001")</f>
        <v>001</v>
      </c>
      <c r="F306" s="8" t="str">
        <f ca="1">IFERROR(__xludf.DUMMYFUNCTION("""COMPUTED_VALUE"""),"0804")</f>
        <v>0804</v>
      </c>
      <c r="G306" s="8" t="str">
        <f ca="1">IFERROR(__xludf.DUMMYFUNCTION("""COMPUTED_VALUE"""),"110558")</f>
        <v>110558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IFERROR(__xludf.DUMMYFUNCTION("""COMPUTED_VALUE"""),2070)</f>
        <v>2070</v>
      </c>
      <c r="R306" s="8">
        <f ca="1">IFERROR(__xludf.DUMMYFUNCTION("""COMPUTED_VALUE"""),0)</f>
        <v>0</v>
      </c>
      <c r="S306" s="8">
        <f ca="1">IFERROR(__xludf.DUMMYFUNCTION("""COMPUTED_VALUE"""),0)</f>
        <v>0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1" t="str">
        <f ca="1">IFERROR(__xludf.DUMMYFUNCTION("""COMPUTED_VALUE"""),"A. DE APOIO A ESC. EST. JOSE ALVES DE ASSIS")</f>
        <v>A. DE APOIO A ESC. EST. JOSE ALVES DE ASSIS</v>
      </c>
      <c r="D307" s="165" t="str">
        <f ca="1">IFERROR(__xludf.DUMMYFUNCTION("""COMPUTED_VALUE"""),"01138318000104")</f>
        <v>01138318000104</v>
      </c>
      <c r="E307" s="7" t="str">
        <f ca="1">IFERROR(__xludf.DUMMYFUNCTION("""COMPUTED_VALUE"""),"104")</f>
        <v>104</v>
      </c>
      <c r="F307" s="8" t="str">
        <f ca="1">IFERROR(__xludf.DUMMYFUNCTION("""COMPUTED_VALUE"""),"1141")</f>
        <v>1141</v>
      </c>
      <c r="G307" s="8" t="str">
        <f ca="1">IFERROR(__xludf.DUMMYFUNCTION("""COMPUTED_VALUE"""),"307968")</f>
        <v>307968</v>
      </c>
      <c r="H307" s="8">
        <f ca="1">IFERROR(__xludf.DUMMYFUNCTION("""COMPUTED_VALUE"""),0)</f>
        <v>0</v>
      </c>
      <c r="I307" s="8">
        <f ca="1">IFERROR(__xludf.DUMMYFUNCTION("""COMPUTED_VALUE"""),0)</f>
        <v>0</v>
      </c>
      <c r="J307" s="8">
        <f ca="1">IFERROR(__xludf.DUMMYFUNCTION("""COMPUTED_VALUE"""),3460)</f>
        <v>3460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IFERROR(__xludf.DUMMYFUNCTION("""COMPUTED_VALUE"""),0)</f>
        <v>0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IFERROR(__xludf.DUMMYFUNCTION("""COMPUTED_VALUE"""),0)</f>
        <v>0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1" t="str">
        <f ca="1">IFERROR(__xludf.DUMMYFUNCTION("""COMPUTED_VALUE"""),"ASS. APOIO DO COL. EST. DE CRISTALANDIA")</f>
        <v>ASS. APOIO DO COL. EST. DE CRISTALANDIA</v>
      </c>
      <c r="D308" s="165" t="str">
        <f ca="1">IFERROR(__xludf.DUMMYFUNCTION("""COMPUTED_VALUE"""),"01186467000130")</f>
        <v>01186467000130</v>
      </c>
      <c r="E308" s="7" t="str">
        <f ca="1">IFERROR(__xludf.DUMMYFUNCTION("""COMPUTED_VALUE"""),"001")</f>
        <v>001</v>
      </c>
      <c r="F308" s="8" t="str">
        <f ca="1">IFERROR(__xludf.DUMMYFUNCTION("""COMPUTED_VALUE"""),"3638")</f>
        <v>3638</v>
      </c>
      <c r="G308" s="8" t="str">
        <f ca="1">IFERROR(__xludf.DUMMYFUNCTION("""COMPUTED_VALUE"""),"17469")</f>
        <v>17469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IFERROR(__xludf.DUMMYFUNCTION("""COMPUTED_VALUE"""),1950)</f>
        <v>1950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IFERROR(__xludf.DUMMYFUNCTION("""COMPUTED_VALUE"""),0)</f>
        <v>0</v>
      </c>
      <c r="Q308" s="8">
        <f ca="1">IFERROR(__xludf.DUMMYFUNCTION("""COMPUTED_VALUE"""),1910)</f>
        <v>1910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1" t="str">
        <f ca="1">IFERROR(__xludf.DUMMYFUNCTION("""COMPUTED_VALUE"""),"APAE DE CRISTALÂNDIA")</f>
        <v>APAE DE CRISTALÂNDIA</v>
      </c>
      <c r="D309" s="165" t="str">
        <f ca="1">IFERROR(__xludf.DUMMYFUNCTION("""COMPUTED_VALUE"""),"01995319000167")</f>
        <v>01995319000167</v>
      </c>
      <c r="E309" s="7" t="str">
        <f ca="1">IFERROR(__xludf.DUMMYFUNCTION("""COMPUTED_VALUE"""),"001")</f>
        <v>001</v>
      </c>
      <c r="F309" s="8" t="str">
        <f ca="1">IFERROR(__xludf.DUMMYFUNCTION("""COMPUTED_VALUE"""),"3638")</f>
        <v>3638</v>
      </c>
      <c r="G309" s="8" t="str">
        <f ca="1">IFERROR(__xludf.DUMMYFUNCTION("""COMPUTED_VALUE"""),"71315")</f>
        <v>71315</v>
      </c>
      <c r="H309" s="8">
        <f ca="1">IFERROR(__xludf.DUMMYFUNCTION("""COMPUTED_VALUE"""),0)</f>
        <v>0</v>
      </c>
      <c r="I309" s="8">
        <f ca="1">IFERROR(__xludf.DUMMYFUNCTION("""COMPUTED_VALUE"""),72)</f>
        <v>72</v>
      </c>
      <c r="J309" s="8">
        <f ca="1">IFERROR(__xludf.DUMMYFUNCTION("""COMPUTED_VALUE"""),30)</f>
        <v>30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IFERROR(__xludf.DUMMYFUNCTION("""COMPUTED_VALUE"""),394.4)</f>
        <v>394.4</v>
      </c>
      <c r="Q309" s="8">
        <f ca="1">IFERROR(__xludf.DUMMYFUNCTION("""COMPUTED_VALUE"""),0)</f>
        <v>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IFERROR(__xludf.DUMMYFUNCTION("""COMPUTED_VALUE"""),245.999999999999)</f>
        <v>245.99999999999901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1" t="str">
        <f ca="1">IFERROR(__xludf.DUMMYFUNCTION("""COMPUTED_VALUE"""),"A.A. ESCOLA MUL.OTACILIO MARQUES ROSAL")</f>
        <v>A.A. ESCOLA MUL.OTACILIO MARQUES ROSAL</v>
      </c>
      <c r="D310" s="165" t="str">
        <f ca="1">IFERROR(__xludf.DUMMYFUNCTION("""COMPUTED_VALUE"""),"01071438000123")</f>
        <v>01071438000123</v>
      </c>
      <c r="E310" s="7" t="str">
        <f ca="1">IFERROR(__xludf.DUMMYFUNCTION("""COMPUTED_VALUE"""),"001")</f>
        <v>001</v>
      </c>
      <c r="F310" s="8" t="str">
        <f ca="1">IFERROR(__xludf.DUMMYFUNCTION("""COMPUTED_VALUE"""),"3638")</f>
        <v>3638</v>
      </c>
      <c r="G310" s="8" t="str">
        <f ca="1">IFERROR(__xludf.DUMMYFUNCTION("""COMPUTED_VALUE"""),"7120X")</f>
        <v>7120X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IFERROR(__xludf.DUMMYFUNCTION("""COMPUTED_VALUE"""),2840)</f>
        <v>2840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IFERROR(__xludf.DUMMYFUNCTION("""COMPUTED_VALUE"""),176.799999999999)</f>
        <v>176.79999999999899</v>
      </c>
      <c r="Q310" s="8">
        <f ca="1">IFERROR(__xludf.DUMMYFUNCTION("""COMPUTED_VALUE"""),600)</f>
        <v>600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1" t="str">
        <f ca="1">IFERROR(__xludf.DUMMYFUNCTION("""COMPUTED_VALUE"""),"A.A. DO COLEGIO MUL. JOAO DIAS SOBRINHO")</f>
        <v>A.A. DO COLEGIO MUL. JOAO DIAS SOBRINHO</v>
      </c>
      <c r="D311" s="165" t="str">
        <f ca="1">IFERROR(__xludf.DUMMYFUNCTION("""COMPUTED_VALUE"""),"01184383000168")</f>
        <v>01184383000168</v>
      </c>
      <c r="E311" s="7" t="str">
        <f ca="1">IFERROR(__xludf.DUMMYFUNCTION("""COMPUTED_VALUE"""),"001")</f>
        <v>001</v>
      </c>
      <c r="F311" s="8" t="str">
        <f ca="1">IFERROR(__xludf.DUMMYFUNCTION("""COMPUTED_VALUE"""),"3812")</f>
        <v>3812</v>
      </c>
      <c r="G311" s="8" t="str">
        <f ca="1">IFERROR(__xludf.DUMMYFUNCTION("""COMPUTED_VALUE"""),"275069")</f>
        <v>275069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IFERROR(__xludf.DUMMYFUNCTION("""COMPUTED_VALUE"""),2790)</f>
        <v>2790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IFERROR(__xludf.DUMMYFUNCTION("""COMPUTED_VALUE"""),2450)</f>
        <v>2450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IFERROR(__xludf.DUMMYFUNCTION("""COMPUTED_VALUE"""),278.799999999999)</f>
        <v>278.79999999999899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1" t="str">
        <f ca="1">IFERROR(__xludf.DUMMYFUNCTION("""COMPUTED_VALUE"""),"ASS. APOIO ESC. EST. D. CANDIDA DE FREITAS")</f>
        <v>ASS. APOIO ESC. EST. D. CANDIDA DE FREITAS</v>
      </c>
      <c r="D312" s="165" t="str">
        <f ca="1">IFERROR(__xludf.DUMMYFUNCTION("""COMPUTED_VALUE"""),"01296363000189")</f>
        <v>01296363000189</v>
      </c>
      <c r="E312" s="7" t="str">
        <f ca="1">IFERROR(__xludf.DUMMYFUNCTION("""COMPUTED_VALUE"""),"001")</f>
        <v>001</v>
      </c>
      <c r="F312" s="8" t="str">
        <f ca="1">IFERROR(__xludf.DUMMYFUNCTION("""COMPUTED_VALUE"""),"3812")</f>
        <v>3812</v>
      </c>
      <c r="G312" s="8" t="str">
        <f ca="1">IFERROR(__xludf.DUMMYFUNCTION("""COMPUTED_VALUE"""),"70629")</f>
        <v>70629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IFERROR(__xludf.DUMMYFUNCTION("""COMPUTED_VALUE"""),2050)</f>
        <v>2050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IFERROR(__xludf.DUMMYFUNCTION("""COMPUTED_VALUE"""),0)</f>
        <v>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IFERROR(__xludf.DUMMYFUNCTION("""COMPUTED_VALUE"""),122.999999999999)</f>
        <v>122.99999999999901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1" t="str">
        <f ca="1">IFERROR(__xludf.DUMMYFUNCTION("""COMPUTED_VALUE"""),"A.A.  ESTUD COL. EST. LAGOA DA CONFUSAO")</f>
        <v>A.A.  ESTUD COL. EST. LAGOA DA CONFUSAO</v>
      </c>
      <c r="D313" s="165" t="str">
        <f ca="1">IFERROR(__xludf.DUMMYFUNCTION("""COMPUTED_VALUE"""),"01179116000100")</f>
        <v>01179116000100</v>
      </c>
      <c r="E313" s="7" t="str">
        <f ca="1">IFERROR(__xludf.DUMMYFUNCTION("""COMPUTED_VALUE"""),"001")</f>
        <v>001</v>
      </c>
      <c r="F313" s="8" t="str">
        <f ca="1">IFERROR(__xludf.DUMMYFUNCTION("""COMPUTED_VALUE"""),"3983")</f>
        <v>3983</v>
      </c>
      <c r="G313" s="8" t="str">
        <f ca="1">IFERROR(__xludf.DUMMYFUNCTION("""COMPUTED_VALUE"""),"84735")</f>
        <v>84735</v>
      </c>
      <c r="H313" s="8">
        <f ca="1">IFERROR(__xludf.DUMMYFUNCTION("""COMPUTED_VALUE"""),0)</f>
        <v>0</v>
      </c>
      <c r="I313" s="8">
        <f ca="1">IFERROR(__xludf.DUMMYFUNCTION("""COMPUTED_VALUE"""),0)</f>
        <v>0</v>
      </c>
      <c r="J313" s="8">
        <f ca="1">IFERROR(__xludf.DUMMYFUNCTION("""COMPUTED_VALUE"""),870)</f>
        <v>870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IFERROR(__xludf.DUMMYFUNCTION("""COMPUTED_VALUE"""),0)</f>
        <v>0</v>
      </c>
      <c r="Q313" s="8">
        <f ca="1">IFERROR(__xludf.DUMMYFUNCTION("""COMPUTED_VALUE"""),5220)</f>
        <v>5220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IFERROR(__xludf.DUMMYFUNCTION("""COMPUTED_VALUE"""),114.799999999999)</f>
        <v>114.799999999999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1" t="str">
        <f ca="1">IFERROR(__xludf.DUMMYFUNCTION("""COMPUTED_VALUE"""),"ASSOCIAÇÃO DA ESCOLA ESPECIAL LAGOA DA CONFUSÃO")</f>
        <v>ASSOCIAÇÃO DA ESCOLA ESPECIAL LAGOA DA CONFUSÃO</v>
      </c>
      <c r="D314" s="165" t="str">
        <f ca="1">IFERROR(__xludf.DUMMYFUNCTION("""COMPUTED_VALUE"""),"08755554000100")</f>
        <v>08755554000100</v>
      </c>
      <c r="E314" s="7" t="str">
        <f ca="1">IFERROR(__xludf.DUMMYFUNCTION("""COMPUTED_VALUE"""),"001")</f>
        <v>001</v>
      </c>
      <c r="F314" s="8" t="str">
        <f ca="1">IFERROR(__xludf.DUMMYFUNCTION("""COMPUTED_VALUE"""),"3983")</f>
        <v>3983</v>
      </c>
      <c r="G314" s="8" t="str">
        <f ca="1">IFERROR(__xludf.DUMMYFUNCTION("""COMPUTED_VALUE"""),"83712")</f>
        <v>83712</v>
      </c>
      <c r="H314" s="8">
        <f ca="1">IFERROR(__xludf.DUMMYFUNCTION("""COMPUTED_VALUE"""),0)</f>
        <v>0</v>
      </c>
      <c r="I314" s="8">
        <f ca="1">IFERROR(__xludf.DUMMYFUNCTION("""COMPUTED_VALUE"""),28.8)</f>
        <v>28.8</v>
      </c>
      <c r="J314" s="8">
        <f ca="1">IFERROR(__xludf.DUMMYFUNCTION("""COMPUTED_VALUE"""),90)</f>
        <v>90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IFERROR(__xludf.DUMMYFUNCTION("""COMPUTED_VALUE"""),367.2)</f>
        <v>367.2</v>
      </c>
      <c r="Q314" s="8">
        <f ca="1">IFERROR(__xludf.DUMMYFUNCTION("""COMPUTED_VALUE"""),0)</f>
        <v>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IFERROR(__xludf.DUMMYFUNCTION("""COMPUTED_VALUE"""),122.999999999999)</f>
        <v>122.99999999999901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1" t="str">
        <f ca="1">IFERROR(__xludf.DUMMYFUNCTION("""COMPUTED_VALUE"""),"A.A. DO COL. EST. DAVID BARBOSA ROLINS")</f>
        <v>A.A. DO COL. EST. DAVID BARBOSA ROLINS</v>
      </c>
      <c r="D315" s="165" t="str">
        <f ca="1">IFERROR(__xludf.DUMMYFUNCTION("""COMPUTED_VALUE"""),"01980050000145")</f>
        <v>01980050000145</v>
      </c>
      <c r="E315" s="7" t="str">
        <f ca="1">IFERROR(__xludf.DUMMYFUNCTION("""COMPUTED_VALUE"""),"001")</f>
        <v>001</v>
      </c>
      <c r="F315" s="8" t="str">
        <f ca="1">IFERROR(__xludf.DUMMYFUNCTION("""COMPUTED_VALUE"""),"0804")</f>
        <v>0804</v>
      </c>
      <c r="G315" s="8" t="str">
        <f ca="1">IFERROR(__xludf.DUMMYFUNCTION("""COMPUTED_VALUE"""),"219045")</f>
        <v>219045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IFERROR(__xludf.DUMMYFUNCTION("""COMPUTED_VALUE"""),1060)</f>
        <v>1060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IFERROR(__xludf.DUMMYFUNCTION("""COMPUTED_VALUE"""),1850)</f>
        <v>1850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IFERROR(__xludf.DUMMYFUNCTION("""COMPUTED_VALUE"""),0)</f>
        <v>0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1" t="str">
        <f ca="1">IFERROR(__xludf.DUMMYFUNCTION("""COMPUTED_VALUE"""),"A. ESC. COM. ESC. EST.PEDRO XAVIER TEIXEIRA")</f>
        <v>A. ESC. COM. ESC. EST.PEDRO XAVIER TEIXEIRA</v>
      </c>
      <c r="D316" s="165" t="str">
        <f ca="1">IFERROR(__xludf.DUMMYFUNCTION("""COMPUTED_VALUE"""),"01068367000100")</f>
        <v>01068367000100</v>
      </c>
      <c r="E316" s="7" t="str">
        <f ca="1">IFERROR(__xludf.DUMMYFUNCTION("""COMPUTED_VALUE"""),"001")</f>
        <v>001</v>
      </c>
      <c r="F316" s="8" t="str">
        <f ca="1">IFERROR(__xludf.DUMMYFUNCTION("""COMPUTED_VALUE"""),"0804")</f>
        <v>0804</v>
      </c>
      <c r="G316" s="8" t="str">
        <f ca="1">IFERROR(__xludf.DUMMYFUNCTION("""COMPUTED_VALUE"""),"234265")</f>
        <v>234265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IFERROR(__xludf.DUMMYFUNCTION("""COMPUTED_VALUE"""),840)</f>
        <v>840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IFERROR(__xludf.DUMMYFUNCTION("""COMPUTED_VALUE"""),1060)</f>
        <v>1060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IFERROR(__xludf.DUMMYFUNCTION("""COMPUTED_VALUE"""),73.8)</f>
        <v>73.8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1" t="str">
        <f ca="1">IFERROR(__xludf.DUMMYFUNCTION("""COMPUTED_VALUE"""),"A.A. A ESCOLA ESTADUAL CAMPO MAIOR")</f>
        <v>A.A. A ESCOLA ESTADUAL CAMPO MAIOR</v>
      </c>
      <c r="D317" s="165" t="str">
        <f ca="1">IFERROR(__xludf.DUMMYFUNCTION("""COMPUTED_VALUE"""),"01068373000167")</f>
        <v>01068373000167</v>
      </c>
      <c r="E317" s="7" t="str">
        <f ca="1">IFERROR(__xludf.DUMMYFUNCTION("""COMPUTED_VALUE"""),"001")</f>
        <v>001</v>
      </c>
      <c r="F317" s="8" t="str">
        <f ca="1">IFERROR(__xludf.DUMMYFUNCTION("""COMPUTED_VALUE"""),"0804")</f>
        <v>0804</v>
      </c>
      <c r="G317" s="8" t="str">
        <f ca="1">IFERROR(__xludf.DUMMYFUNCTION("""COMPUTED_VALUE"""),"341290")</f>
        <v>341290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IFERROR(__xludf.DUMMYFUNCTION("""COMPUTED_VALUE"""),410)</f>
        <v>410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IFERROR(__xludf.DUMMYFUNCTION("""COMPUTED_VALUE"""),0)</f>
        <v>0</v>
      </c>
      <c r="Q317" s="8">
        <f ca="1">IFERROR(__xludf.DUMMYFUNCTION("""COMPUTED_VALUE"""),0)</f>
        <v>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IFERROR(__xludf.DUMMYFUNCTION("""COMPUTED_VALUE"""),0)</f>
        <v>0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1" t="str">
        <f ca="1">IFERROR(__xludf.DUMMYFUNCTION("""COMPUTED_VALUE"""),"ASSOC.COM. ESC EST.REGINA SIQUEIRA CAMPOS")</f>
        <v>ASSOC.COM. ESC EST.REGINA SIQUEIRA CAMPOS</v>
      </c>
      <c r="D318" s="165" t="str">
        <f ca="1">IFERROR(__xludf.DUMMYFUNCTION("""COMPUTED_VALUE"""),"01181170000182")</f>
        <v>01181170000182</v>
      </c>
      <c r="E318" s="7" t="str">
        <f ca="1">IFERROR(__xludf.DUMMYFUNCTION("""COMPUTED_VALUE"""),"001")</f>
        <v>001</v>
      </c>
      <c r="F318" s="8" t="str">
        <f ca="1">IFERROR(__xludf.DUMMYFUNCTION("""COMPUTED_VALUE"""),"0804")</f>
        <v>0804</v>
      </c>
      <c r="G318" s="8" t="str">
        <f ca="1">IFERROR(__xludf.DUMMYFUNCTION("""COMPUTED_VALUE"""),"16383X")</f>
        <v>16383X</v>
      </c>
      <c r="H318" s="8">
        <f ca="1">IFERROR(__xludf.DUMMYFUNCTION("""COMPUTED_VALUE"""),0)</f>
        <v>0</v>
      </c>
      <c r="I318" s="8">
        <f ca="1">IFERROR(__xludf.DUMMYFUNCTION("""COMPUTED_VALUE"""),0)</f>
        <v>0</v>
      </c>
      <c r="J318" s="8">
        <f ca="1">IFERROR(__xludf.DUMMYFUNCTION("""COMPUTED_VALUE"""),0)</f>
        <v>0</v>
      </c>
      <c r="K318" s="8">
        <f ca="1">IFERROR(__xludf.DUMMYFUNCTION("""COMPUTED_VALUE"""),4055.2)</f>
        <v>4055.2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IFERROR(__xludf.DUMMYFUNCTION("""COMPUTED_VALUE"""),0)</f>
        <v>0</v>
      </c>
      <c r="Q318" s="8">
        <f ca="1">IFERROR(__xludf.DUMMYFUNCTION("""COMPUTED_VALUE"""),0)</f>
        <v>0</v>
      </c>
      <c r="R318" s="8">
        <f ca="1">IFERROR(__xludf.DUMMYFUNCTION("""COMPUTED_VALUE"""),411)</f>
        <v>411</v>
      </c>
      <c r="S318" s="8">
        <f ca="1">IFERROR(__xludf.DUMMYFUNCTION("""COMPUTED_VALUE"""),0)</f>
        <v>0</v>
      </c>
      <c r="T318" s="8">
        <f ca="1">IFERROR(__xludf.DUMMYFUNCTION("""COMPUTED_VALUE"""),0)</f>
        <v>0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1" t="str">
        <f ca="1">IFERROR(__xludf.DUMMYFUNCTION("""COMPUTED_VALUE"""),"A.A. ESC. EST.ISOL.INDIG REG PARAISO DO TO")</f>
        <v>A.A. ESC. EST.ISOL.INDIG REG PARAISO DO TO</v>
      </c>
      <c r="D319" s="165" t="str">
        <f ca="1">IFERROR(__xludf.DUMMYFUNCTION("""COMPUTED_VALUE"""),"05099542000187")</f>
        <v>05099542000187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IFERROR(__xludf.DUMMYFUNCTION("""COMPUTED_VALUE"""),"111678")</f>
        <v>111678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IFERROR(__xludf.DUMMYFUNCTION("""COMPUTED_VALUE"""),0)</f>
        <v>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IFERROR(__xludf.DUMMYFUNCTION("""COMPUTED_VALUE"""),17561.2)</f>
        <v>17561.2</v>
      </c>
      <c r="P319" s="8">
        <f ca="1">IFERROR(__xludf.DUMMYFUNCTION("""COMPUTED_VALUE"""),0)</f>
        <v>0</v>
      </c>
      <c r="Q319" s="8">
        <f ca="1">IFERROR(__xludf.DUMMYFUNCTION("""COMPUTED_VALUE"""),0)</f>
        <v>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1" t="str">
        <f ca="1">IFERROR(__xludf.DUMMYFUNCTION("""COMPUTED_VALUE"""),"A.A. COLÉGIO MILITAR DIACONÍZIO BEZERRA DA SILVA")</f>
        <v>A.A. COLÉGIO MILITAR DIACONÍZIO BEZERRA DA SILVA</v>
      </c>
      <c r="D320" s="165" t="str">
        <f ca="1">IFERROR(__xludf.DUMMYFUNCTION("""COMPUTED_VALUE"""),"11675300000197")</f>
        <v>11675300000197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IFERROR(__xludf.DUMMYFUNCTION("""COMPUTED_VALUE"""),"320781")</f>
        <v>320781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IFERROR(__xludf.DUMMYFUNCTION("""COMPUTED_VALUE"""),6000)</f>
        <v>6000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IFERROR(__xludf.DUMMYFUNCTION("""COMPUTED_VALUE"""),3150)</f>
        <v>3150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IFERROR(__xludf.DUMMYFUNCTION("""COMPUTED_VALUE"""),0)</f>
        <v>0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1" t="str">
        <f ca="1">IFERROR(__xludf.DUMMYFUNCTION("""COMPUTED_VALUE"""),"ASSOC. APOIO AO CEM JOSE ALVES DE ASSIS")</f>
        <v>ASSOC. APOIO AO CEM JOSE ALVES DE ASSIS</v>
      </c>
      <c r="D321" s="165" t="str">
        <f ca="1">IFERROR(__xludf.DUMMYFUNCTION("""COMPUTED_VALUE"""),"01181169000158")</f>
        <v>01181169000158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IFERROR(__xludf.DUMMYFUNCTION("""COMPUTED_VALUE"""),"286257")</f>
        <v>286257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IFERROR(__xludf.DUMMYFUNCTION("""COMPUTED_VALUE"""),0)</f>
        <v>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IFERROR(__xludf.DUMMYFUNCTION("""COMPUTED_VALUE"""),0)</f>
        <v>0</v>
      </c>
      <c r="Q321" s="8">
        <f ca="1">IFERROR(__xludf.DUMMYFUNCTION("""COMPUTED_VALUE"""),5410)</f>
        <v>5410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IFERROR(__xludf.DUMMYFUNCTION("""COMPUTED_VALUE"""),1016.8)</f>
        <v>1016.8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1" t="str">
        <f ca="1">IFERROR(__xludf.DUMMYFUNCTION("""COMPUTED_VALUE"""),"ASSOC. DE APOIO ESC. EST.IDALINA DE PAULA")</f>
        <v>ASSOC. DE APOIO ESC. EST.IDALINA DE PAULA</v>
      </c>
      <c r="D322" s="165" t="str">
        <f ca="1">IFERROR(__xludf.DUMMYFUNCTION("""COMPUTED_VALUE"""),"01066419000109")</f>
        <v>01066419000109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IFERROR(__xludf.DUMMYFUNCTION("""COMPUTED_VALUE"""),"115797")</f>
        <v>115797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IFERROR(__xludf.DUMMYFUNCTION("""COMPUTED_VALUE"""),3650)</f>
        <v>3650</v>
      </c>
      <c r="K322" s="8">
        <f ca="1">IFERROR(__xludf.DUMMYFUNCTION("""COMPUTED_VALUE"""),0)</f>
        <v>0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IFERROR(__xludf.DUMMYFUNCTION("""COMPUTED_VALUE"""),2390)</f>
        <v>2390</v>
      </c>
      <c r="R322" s="8">
        <f ca="1">IFERROR(__xludf.DUMMYFUNCTION("""COMPUTED_VALUE"""),0)</f>
        <v>0</v>
      </c>
      <c r="S322" s="8">
        <f ca="1">IFERROR(__xludf.DUMMYFUNCTION("""COMPUTED_VALUE"""),0)</f>
        <v>0</v>
      </c>
      <c r="T322" s="8">
        <f ca="1">IFERROR(__xludf.DUMMYFUNCTION("""COMPUTED_VALUE"""),49.1999999999999)</f>
        <v>49.199999999999903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IFERROR(__xludf.DUMMYFUNCTION("""COMPUTED_VALUE"""),"ASS. APOIO ESC. EST.PROF. JOSE NEZIO RAMOS")</f>
        <v>ASS. APOIO ESC. EST.PROF. JOSE NEZIO RAMOS</v>
      </c>
      <c r="D323" s="165" t="str">
        <f ca="1">IFERROR(__xludf.DUMMYFUNCTION("""COMPUTED_VALUE"""),"01233716000100")</f>
        <v>01233716000100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IFERROR(__xludf.DUMMYFUNCTION("""COMPUTED_VALUE"""),"0263656")</f>
        <v>0263656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IFERROR(__xludf.DUMMYFUNCTION("""COMPUTED_VALUE"""),0)</f>
        <v>0</v>
      </c>
      <c r="P323" s="8">
        <f ca="1">IFERROR(__xludf.DUMMYFUNCTION("""COMPUTED_VALUE"""),0)</f>
        <v>0</v>
      </c>
      <c r="Q323" s="8">
        <f ca="1">IFERROR(__xludf.DUMMYFUNCTION("""COMPUTED_VALUE"""),3790)</f>
        <v>3790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IFERROR(__xludf.DUMMYFUNCTION("""COMPUTED_VALUE"""),"AAE. ESPECIAL LUZ DA VIDA")</f>
        <v>AAE. ESPECIAL LUZ DA VIDA</v>
      </c>
      <c r="D324" s="165" t="str">
        <f ca="1">IFERROR(__xludf.DUMMYFUNCTION("""COMPUTED_VALUE"""),"07905330000175")</f>
        <v>07905330000175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IFERROR(__xludf.DUMMYFUNCTION("""COMPUTED_VALUE"""),"331724")</f>
        <v>331724</v>
      </c>
      <c r="H324" s="8">
        <f ca="1">IFERROR(__xludf.DUMMYFUNCTION("""COMPUTED_VALUE"""),0)</f>
        <v>0</v>
      </c>
      <c r="I324" s="8">
        <f ca="1">IFERROR(__xludf.DUMMYFUNCTION("""COMPUTED_VALUE"""),187.2)</f>
        <v>187.2</v>
      </c>
      <c r="J324" s="8">
        <f ca="1">IFERROR(__xludf.DUMMYFUNCTION("""COMPUTED_VALUE"""),250)</f>
        <v>250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IFERROR(__xludf.DUMMYFUNCTION("""COMPUTED_VALUE"""),884)</f>
        <v>884</v>
      </c>
      <c r="Q324" s="8">
        <f ca="1">IFERROR(__xludf.DUMMYFUNCTION("""COMPUTED_VALUE"""),0)</f>
        <v>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IFERROR(__xludf.DUMMYFUNCTION("""COMPUTED_VALUE"""),541.199999999999)</f>
        <v>541.19999999999902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IFERROR(__xludf.DUMMYFUNCTION("""COMPUTED_VALUE"""),"ASS. DE APOIO ESC. EST. AMANCIO DE MORAES")</f>
        <v>ASS. DE APOIO ESC. EST. AMANCIO DE MORAES</v>
      </c>
      <c r="D325" s="165" t="str">
        <f ca="1">IFERROR(__xludf.DUMMYFUNCTION("""COMPUTED_VALUE"""),"01068375000156")</f>
        <v>01068375000156</v>
      </c>
      <c r="E325" s="7" t="str">
        <f ca="1">IFERROR(__xludf.DUMMYFUNCTION("""COMPUTED_VALUE"""),"104")</f>
        <v>104</v>
      </c>
      <c r="F325" s="8" t="str">
        <f ca="1">IFERROR(__xludf.DUMMYFUNCTION("""COMPUTED_VALUE"""),"1141")</f>
        <v>1141</v>
      </c>
      <c r="G325" s="8" t="str">
        <f ca="1">IFERROR(__xludf.DUMMYFUNCTION("""COMPUTED_VALUE"""),"308140")</f>
        <v>308140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IFERROR(__xludf.DUMMYFUNCTION("""COMPUTED_VALUE"""),2410)</f>
        <v>2410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IFERROR(__xludf.DUMMYFUNCTION("""COMPUTED_VALUE"""),204)</f>
        <v>204</v>
      </c>
      <c r="Q325" s="8">
        <f ca="1">IFERROR(__xludf.DUMMYFUNCTION("""COMPUTED_VALUE"""),0)</f>
        <v>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IFERROR(__xludf.DUMMYFUNCTION("""COMPUTED_VALUE"""),0)</f>
        <v>0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IFERROR(__xludf.DUMMYFUNCTION("""COMPUTED_VALUE"""),"A.A. ESCOLA ESTADUAL DEUSA DE MORAES")</f>
        <v>A.A. ESCOLA ESTADUAL DEUSA DE MORAES</v>
      </c>
      <c r="D326" s="165" t="str">
        <f ca="1">IFERROR(__xludf.DUMMYFUNCTION("""COMPUTED_VALUE"""),"01068362000187")</f>
        <v>01068362000187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IFERROR(__xludf.DUMMYFUNCTION("""COMPUTED_VALUE"""),"304549")</f>
        <v>304549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IFERROR(__xludf.DUMMYFUNCTION("""COMPUTED_VALUE"""),3810)</f>
        <v>3810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IFERROR(__xludf.DUMMYFUNCTION("""COMPUTED_VALUE"""),0)</f>
        <v>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IFERROR(__xludf.DUMMYFUNCTION("""COMPUTED_VALUE"""),"A. ESC COM. DA ESC EST J.K. DE OLIVEIRA")</f>
        <v>A. ESC COM. DA ESC EST J.K. DE OLIVEIRA</v>
      </c>
      <c r="D327" s="165" t="str">
        <f ca="1">IFERROR(__xludf.DUMMYFUNCTION("""COMPUTED_VALUE"""),"00921537000194")</f>
        <v>00921537000194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IFERROR(__xludf.DUMMYFUNCTION("""COMPUTED_VALUE"""),"163821")</f>
        <v>163821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IFERROR(__xludf.DUMMYFUNCTION("""COMPUTED_VALUE"""),2630)</f>
        <v>2630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IFERROR(__xludf.DUMMYFUNCTION("""COMPUTED_VALUE"""),240)</f>
        <v>240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IFERROR(__xludf.DUMMYFUNCTION("""COMPUTED_VALUE"""),"A.A.  ESCOLA EST. SAO JOSE OPERARIO")</f>
        <v>A.A.  ESCOLA EST. SAO JOSE OPERARIO</v>
      </c>
      <c r="D328" s="165" t="str">
        <f ca="1">IFERROR(__xludf.DUMMYFUNCTION("""COMPUTED_VALUE"""),"01186454000161")</f>
        <v>01186454000161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IFERROR(__xludf.DUMMYFUNCTION("""COMPUTED_VALUE"""),"285986")</f>
        <v>285986</v>
      </c>
      <c r="H328" s="8">
        <f ca="1">IFERROR(__xludf.DUMMYFUNCTION("""COMPUTED_VALUE"""),0)</f>
        <v>0</v>
      </c>
      <c r="I328" s="8">
        <f ca="1">IFERROR(__xludf.DUMMYFUNCTION("""COMPUTED_VALUE"""),0)</f>
        <v>0</v>
      </c>
      <c r="J328" s="8">
        <f ca="1">IFERROR(__xludf.DUMMYFUNCTION("""COMPUTED_VALUE"""),4280)</f>
        <v>4280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IFERROR(__xludf.DUMMYFUNCTION("""COMPUTED_VALUE"""),0)</f>
        <v>0</v>
      </c>
      <c r="Q328" s="8">
        <f ca="1">IFERROR(__xludf.DUMMYFUNCTION("""COMPUTED_VALUE"""),1190)</f>
        <v>1190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IFERROR(__xludf.DUMMYFUNCTION("""COMPUTED_VALUE"""),0)</f>
        <v>0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IFERROR(__xludf.DUMMYFUNCTION("""COMPUTED_VALUE"""),"A.A. DO COL. PRESB. VALE DO TOCANTINS")</f>
        <v>A.A. DO COL. PRESB. VALE DO TOCANTINS</v>
      </c>
      <c r="D329" s="165" t="str">
        <f ca="1">IFERROR(__xludf.DUMMYFUNCTION("""COMPUTED_VALUE"""),"01071426000107")</f>
        <v>01071426000107</v>
      </c>
      <c r="E329" s="7" t="str">
        <f ca="1">IFERROR(__xludf.DUMMYFUNCTION("""COMPUTED_VALUE"""),"001")</f>
        <v>001</v>
      </c>
      <c r="F329" s="8" t="str">
        <f ca="1">IFERROR(__xludf.DUMMYFUNCTION("""COMPUTED_VALUE"""),"0804")</f>
        <v>0804</v>
      </c>
      <c r="G329" s="8" t="str">
        <f ca="1">IFERROR(__xludf.DUMMYFUNCTION("""COMPUTED_VALUE"""),"311618")</f>
        <v>311618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IFERROR(__xludf.DUMMYFUNCTION("""COMPUTED_VALUE"""),4970)</f>
        <v>4970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IFERROR(__xludf.DUMMYFUNCTION("""COMPUTED_VALUE"""),0)</f>
        <v>0</v>
      </c>
      <c r="Q329" s="8">
        <f ca="1">IFERROR(__xludf.DUMMYFUNCTION("""COMPUTED_VALUE"""),4120)</f>
        <v>4120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IFERROR(__xludf.DUMMYFUNCTION("""COMPUTED_VALUE"""),"ASS. A. ESCOLA EST. DE TEMPO INTEGRAL PROFESSORA RITA ANDRADE SANTOS")</f>
        <v>ASS. A. ESCOLA EST. DE TEMPO INTEGRAL PROFESSORA RITA ANDRADE SANTOS</v>
      </c>
      <c r="D330" s="165" t="str">
        <f ca="1">IFERROR(__xludf.DUMMYFUNCTION("""COMPUTED_VALUE"""),"48740961000169")</f>
        <v>48740961000169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IFERROR(__xludf.DUMMYFUNCTION("""COMPUTED_VALUE"""),"58858X")</f>
        <v>58858X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IFERROR(__xludf.DUMMYFUNCTION("""COMPUTED_VALUE"""),0)</f>
        <v>0</v>
      </c>
      <c r="K330" s="8">
        <f ca="1">IFERROR(__xludf.DUMMYFUNCTION("""COMPUTED_VALUE"""),14604.1999999999)</f>
        <v>14604.199999999901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IFERROR(__xludf.DUMMYFUNCTION("""COMPUTED_VALUE"""),876.8)</f>
        <v>876.8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1" t="str">
        <f ca="1">IFERROR(__xludf.DUMMYFUNCTION("""COMPUTED_VALUE"""),"A.A. COLEGIO ESTADUAL BARTOLOMEU BUENO")</f>
        <v>A.A. COLEGIO ESTADUAL BARTOLOMEU BUENO</v>
      </c>
      <c r="D331" s="165" t="str">
        <f ca="1">IFERROR(__xludf.DUMMYFUNCTION("""COMPUTED_VALUE"""),"01071436000134")</f>
        <v>01071436000134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IFERROR(__xludf.DUMMYFUNCTION("""COMPUTED_VALUE"""),"286206")</f>
        <v>286206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IFERROR(__xludf.DUMMYFUNCTION("""COMPUTED_VALUE"""),590)</f>
        <v>590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IFERROR(__xludf.DUMMYFUNCTION("""COMPUTED_VALUE"""),136)</f>
        <v>136</v>
      </c>
      <c r="Q331" s="8">
        <f ca="1">IFERROR(__xludf.DUMMYFUNCTION("""COMPUTED_VALUE"""),2640)</f>
        <v>2640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1" t="str">
        <f ca="1">IFERROR(__xludf.DUMMYFUNCTION("""COMPUTED_VALUE"""),"A.A. DA ESC. EST. DARCY RIBEIRO")</f>
        <v>A.A. DA ESC. EST. DARCY RIBEIRO</v>
      </c>
      <c r="D332" s="165" t="str">
        <f ca="1">IFERROR(__xludf.DUMMYFUNCTION("""COMPUTED_VALUE"""),"02382845000114")</f>
        <v>02382845000114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IFERROR(__xludf.DUMMYFUNCTION("""COMPUTED_VALUE"""),"286648")</f>
        <v>286648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IFERROR(__xludf.DUMMYFUNCTION("""COMPUTED_VALUE"""),590)</f>
        <v>590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IFERROR(__xludf.DUMMYFUNCTION("""COMPUTED_VALUE"""),970)</f>
        <v>970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IFERROR(__xludf.DUMMYFUNCTION("""COMPUTED_VALUE"""),377.2)</f>
        <v>377.2</v>
      </c>
      <c r="U332" s="62"/>
      <c r="V332" s="62"/>
      <c r="W332" s="62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1" t="str">
        <f ca="1">IFERROR(__xludf.DUMMYFUNCTION("""COMPUTED_VALUE"""),"ASSOC. DE AP.A ESC. EST. ALFREDO NASSER")</f>
        <v>ASSOC. DE AP.A ESC. EST. ALFREDO NASSER</v>
      </c>
      <c r="D333" s="165" t="str">
        <f ca="1">IFERROR(__xludf.DUMMYFUNCTION("""COMPUTED_VALUE"""),"01138329000186")</f>
        <v>01138329000186</v>
      </c>
      <c r="E333" s="7" t="str">
        <f ca="1">IFERROR(__xludf.DUMMYFUNCTION("""COMPUTED_VALUE"""),"001")</f>
        <v>001</v>
      </c>
      <c r="F333" s="8" t="str">
        <f ca="1">IFERROR(__xludf.DUMMYFUNCTION("""COMPUTED_VALUE"""),"1595")</f>
        <v>1595</v>
      </c>
      <c r="G333" s="8" t="str">
        <f ca="1">IFERROR(__xludf.DUMMYFUNCTION("""COMPUTED_VALUE"""),"59277")</f>
        <v>59277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IFERROR(__xludf.DUMMYFUNCTION("""COMPUTED_VALUE"""),2600)</f>
        <v>2600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IFERROR(__xludf.DUMMYFUNCTION("""COMPUTED_VALUE"""),2000)</f>
        <v>2000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1" t="str">
        <f ca="1">IFERROR(__xludf.DUMMYFUNCTION("""COMPUTED_VALUE"""),"A. ESC. COM. DO COL. EST. OTONIEL C.DE JESUS")</f>
        <v>A. ESC. COM. DO COL. EST. OTONIEL C.DE JESUS</v>
      </c>
      <c r="D334" s="165" t="str">
        <f ca="1">IFERROR(__xludf.DUMMYFUNCTION("""COMPUTED_VALUE"""),"02008180000183")</f>
        <v>02008180000183</v>
      </c>
      <c r="E334" s="7" t="str">
        <f ca="1">IFERROR(__xludf.DUMMYFUNCTION("""COMPUTED_VALUE"""),"001")</f>
        <v>001</v>
      </c>
      <c r="F334" s="8" t="str">
        <f ca="1">IFERROR(__xludf.DUMMYFUNCTION("""COMPUTED_VALUE"""),"1595")</f>
        <v>1595</v>
      </c>
      <c r="G334" s="8" t="str">
        <f ca="1">IFERROR(__xludf.DUMMYFUNCTION("""COMPUTED_VALUE"""),"10081")</f>
        <v>10081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IFERROR(__xludf.DUMMYFUNCTION("""COMPUTED_VALUE"""),340)</f>
        <v>340</v>
      </c>
      <c r="K334" s="8">
        <f ca="1">IFERROR(__xludf.DUMMYFUNCTION("""COMPUTED_VALUE"""),0)</f>
        <v>0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IFERROR(__xludf.DUMMYFUNCTION("""COMPUTED_VALUE"""),1110)</f>
        <v>1110</v>
      </c>
      <c r="R334" s="8">
        <f ca="1">IFERROR(__xludf.DUMMYFUNCTION("""COMPUTED_VALUE"""),0)</f>
        <v>0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1" t="str">
        <f ca="1">IFERROR(__xludf.DUMMYFUNCTION("""COMPUTED_VALUE"""),"A.A. COLEGIO ESTADUAL DE ITACAJA")</f>
        <v>A.A. COLEGIO ESTADUAL DE ITACAJA</v>
      </c>
      <c r="D335" s="165" t="str">
        <f ca="1">IFERROR(__xludf.DUMMYFUNCTION("""COMPUTED_VALUE"""),"01138428000168")</f>
        <v>01138428000168</v>
      </c>
      <c r="E335" s="7" t="str">
        <f ca="1">IFERROR(__xludf.DUMMYFUNCTION("""COMPUTED_VALUE"""),"001")</f>
        <v>001</v>
      </c>
      <c r="F335" s="8" t="str">
        <f ca="1">IFERROR(__xludf.DUMMYFUNCTION("""COMPUTED_VALUE"""),"1595")</f>
        <v>1595</v>
      </c>
      <c r="G335" s="8" t="str">
        <f ca="1">IFERROR(__xludf.DUMMYFUNCTION("""COMPUTED_VALUE"""),"59773")</f>
        <v>59773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IFERROR(__xludf.DUMMYFUNCTION("""COMPUTED_VALUE"""),3170)</f>
        <v>3170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IFERROR(__xludf.DUMMYFUNCTION("""COMPUTED_VALUE"""),0)</f>
        <v>0</v>
      </c>
      <c r="Q335" s="8">
        <f ca="1">IFERROR(__xludf.DUMMYFUNCTION("""COMPUTED_VALUE"""),2220)</f>
        <v>2220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1" t="str">
        <f ca="1">IFERROR(__xludf.DUMMYFUNCTION("""COMPUTED_VALUE"""),"ASSOC. APOIO ESC. EST. ALMEIDA SARDINHA")</f>
        <v>ASSOC. APOIO ESC. EST. ALMEIDA SARDINHA</v>
      </c>
      <c r="D336" s="165" t="str">
        <f ca="1">IFERROR(__xludf.DUMMYFUNCTION("""COMPUTED_VALUE"""),"01138335000133")</f>
        <v>01138335000133</v>
      </c>
      <c r="E336" s="7" t="str">
        <f ca="1">IFERROR(__xludf.DUMMYFUNCTION("""COMPUTED_VALUE"""),"001")</f>
        <v>001</v>
      </c>
      <c r="F336" s="8" t="str">
        <f ca="1">IFERROR(__xludf.DUMMYFUNCTION("""COMPUTED_VALUE"""),"2094")</f>
        <v>2094</v>
      </c>
      <c r="G336" s="8" t="str">
        <f ca="1">IFERROR(__xludf.DUMMYFUNCTION("""COMPUTED_VALUE"""),"466484")</f>
        <v>466484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IFERROR(__xludf.DUMMYFUNCTION("""COMPUTED_VALUE"""),920)</f>
        <v>920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IFERROR(__xludf.DUMMYFUNCTION("""COMPUTED_VALUE"""),108.8)</f>
        <v>108.8</v>
      </c>
      <c r="Q336" s="8">
        <f ca="1">IFERROR(__xludf.DUMMYFUNCTION("""COMPUTED_VALUE"""),590)</f>
        <v>590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IFERROR(__xludf.DUMMYFUNCTION("""COMPUTED_VALUE"""),368.999999999999)</f>
        <v>368.99999999999898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1" t="str">
        <f ca="1">IFERROR(__xludf.DUMMYFUNCTION("""COMPUTED_VALUE"""),"A.A. ESCOLAS ESTADUAIS INDIGENAS DE ITACAJA II")</f>
        <v>A.A. ESCOLAS ESTADUAIS INDIGENAS DE ITACAJA II</v>
      </c>
      <c r="D337" s="165" t="str">
        <f ca="1">IFERROR(__xludf.DUMMYFUNCTION("""COMPUTED_VALUE"""),"43551682000133")</f>
        <v>43551682000133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IFERROR(__xludf.DUMMYFUNCTION("""COMPUTED_VALUE"""),"327905")</f>
        <v>327905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IFERROR(__xludf.DUMMYFUNCTION("""COMPUTED_VALUE"""),0)</f>
        <v>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IFERROR(__xludf.DUMMYFUNCTION("""COMPUTED_VALUE"""),2855.2)</f>
        <v>2855.2</v>
      </c>
      <c r="P337" s="8">
        <f ca="1">IFERROR(__xludf.DUMMYFUNCTION("""COMPUTED_VALUE"""),0)</f>
        <v>0</v>
      </c>
      <c r="Q337" s="8">
        <f ca="1">IFERROR(__xludf.DUMMYFUNCTION("""COMPUTED_VALUE"""),0)</f>
        <v>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1" t="str">
        <f ca="1">IFERROR(__xludf.DUMMYFUNCTION("""COMPUTED_VALUE"""),"A.A. EC.INDIGENAS")</f>
        <v>A.A. EC.INDIGENAS</v>
      </c>
      <c r="D338" s="165" t="str">
        <f ca="1">IFERROR(__xludf.DUMMYFUNCTION("""COMPUTED_VALUE"""),"06135108000178")</f>
        <v>06135108000178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IFERROR(__xludf.DUMMYFUNCTION("""COMPUTED_VALUE"""),"114499")</f>
        <v>114499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IFERROR(__xludf.DUMMYFUNCTION("""COMPUTED_VALUE"""),0)</f>
        <v>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IFERROR(__xludf.DUMMYFUNCTION("""COMPUTED_VALUE"""),19040.3999999999)</f>
        <v>19040.3999999999</v>
      </c>
      <c r="P338" s="8">
        <f ca="1">IFERROR(__xludf.DUMMYFUNCTION("""COMPUTED_VALUE"""),0)</f>
        <v>0</v>
      </c>
      <c r="Q338" s="8">
        <f ca="1">IFERROR(__xludf.DUMMYFUNCTION("""COMPUTED_VALUE"""),0)</f>
        <v>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1" t="str">
        <f ca="1">IFERROR(__xludf.DUMMYFUNCTION("""COMPUTED_VALUE"""),"A.A. E. EST.IS.DA REG.DE ENS.DE GUARAI")</f>
        <v>A.A. E. EST.IS.DA REG.DE ENS.DE GUARAI</v>
      </c>
      <c r="D339" s="165" t="str">
        <f ca="1">IFERROR(__xludf.DUMMYFUNCTION("""COMPUTED_VALUE"""),"02508361000179")</f>
        <v>02508361000179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IFERROR(__xludf.DUMMYFUNCTION("""COMPUTED_VALUE"""),"110663")</f>
        <v>110663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IFERROR(__xludf.DUMMYFUNCTION("""COMPUTED_VALUE"""),830)</f>
        <v>830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IFERROR(__xludf.DUMMYFUNCTION("""COMPUTED_VALUE"""),40.8)</f>
        <v>40.799999999999997</v>
      </c>
      <c r="Q339" s="8">
        <f ca="1">IFERROR(__xludf.DUMMYFUNCTION("""COMPUTED_VALUE"""),350)</f>
        <v>350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1" t="str">
        <f ca="1">IFERROR(__xludf.DUMMYFUNCTION("""COMPUTED_VALUE"""),"A.A. ESCOLAR DO COLEGIO EST.CRISTO REI")</f>
        <v>A.A. ESCOLAR DO COLEGIO EST.CRISTO REI</v>
      </c>
      <c r="D340" s="165" t="str">
        <f ca="1">IFERROR(__xludf.DUMMYFUNCTION("""COMPUTED_VALUE"""),"02250658000187")</f>
        <v>02250658000187</v>
      </c>
      <c r="E340" s="7" t="str">
        <f ca="1">IFERROR(__xludf.DUMMYFUNCTION("""COMPUTED_VALUE"""),"001")</f>
        <v>001</v>
      </c>
      <c r="F340" s="8" t="str">
        <f ca="1">IFERROR(__xludf.DUMMYFUNCTION("""COMPUTED_VALUE"""),"1595")</f>
        <v>1595</v>
      </c>
      <c r="G340" s="8" t="str">
        <f ca="1">IFERROR(__xludf.DUMMYFUNCTION("""COMPUTED_VALUE"""),"66141")</f>
        <v>66141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IFERROR(__xludf.DUMMYFUNCTION("""COMPUTED_VALUE"""),0)</f>
        <v>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IFERROR(__xludf.DUMMYFUNCTION("""COMPUTED_VALUE"""),81.6)</f>
        <v>81.599999999999994</v>
      </c>
      <c r="Q340" s="8">
        <f ca="1">IFERROR(__xludf.DUMMYFUNCTION("""COMPUTED_VALUE"""),5390)</f>
        <v>5390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IFERROR(__xludf.DUMMYFUNCTION("""COMPUTED_VALUE"""),0)</f>
        <v>0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1" t="str">
        <f ca="1">IFERROR(__xludf.DUMMYFUNCTION("""COMPUTED_VALUE"""),"ASSOCIAÇÃO DE PAIS E AMIGOS DOS EXCEPCIONAIS DE PEDRO AFONSO")</f>
        <v>ASSOCIAÇÃO DE PAIS E AMIGOS DOS EXCEPCIONAIS DE PEDRO AFONSO</v>
      </c>
      <c r="D341" s="165" t="str">
        <f ca="1">IFERROR(__xludf.DUMMYFUNCTION("""COMPUTED_VALUE"""),"04406588000139")</f>
        <v>04406588000139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IFERROR(__xludf.DUMMYFUNCTION("""COMPUTED_VALUE"""),"119105")</f>
        <v>119105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IFERROR(__xludf.DUMMYFUNCTION("""COMPUTED_VALUE"""),50)</f>
        <v>50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IFERROR(__xludf.DUMMYFUNCTION("""COMPUTED_VALUE"""),0)</f>
        <v>0</v>
      </c>
      <c r="P341" s="8">
        <f ca="1">IFERROR(__xludf.DUMMYFUNCTION("""COMPUTED_VALUE"""),1740.8)</f>
        <v>1740.8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IFERROR(__xludf.DUMMYFUNCTION("""COMPUTED_VALUE"""),1008.59999999999)</f>
        <v>1008.59999999999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 DE PAIS E MEST. DA ESC. EST. ANA AMORIM")</f>
        <v>A. DE PAIS E MEST. DA ESC. EST. ANA AMORIM</v>
      </c>
      <c r="D342" s="165" t="str">
        <f ca="1">IFERROR(__xludf.DUMMYFUNCTION("""COMPUTED_VALUE"""),"01990364000129")</f>
        <v>01990364000129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IFERROR(__xludf.DUMMYFUNCTION("""COMPUTED_VALUE"""),"59722")</f>
        <v>59722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IFERROR(__xludf.DUMMYFUNCTION("""COMPUTED_VALUE"""),4960)</f>
        <v>4960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IFERROR(__xludf.DUMMYFUNCTION("""COMPUTED_VALUE"""),0)</f>
        <v>0</v>
      </c>
      <c r="P342" s="8">
        <f ca="1">IFERROR(__xludf.DUMMYFUNCTION("""COMPUTED_VALUE"""),190.4)</f>
        <v>190.4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IFERROR(__xludf.DUMMYFUNCTION("""COMPUTED_VALUE"""),975.8)</f>
        <v>975.8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IFERROR(__xludf.DUMMYFUNCTION("""COMPUTED_VALUE"""),"ASS. DE APOIO A ESCOLA ESTADUAL BOM TEMPO")</f>
        <v>ASS. DE APOIO A ESCOLA ESTADUAL BOM TEMPO</v>
      </c>
      <c r="D343" s="165" t="str">
        <f ca="1">IFERROR(__xludf.DUMMYFUNCTION("""COMPUTED_VALUE"""),"44776099000193")</f>
        <v>44776099000193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IFERROR(__xludf.DUMMYFUNCTION("""COMPUTED_VALUE"""),"324981")</f>
        <v>324981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IFERROR(__xludf.DUMMYFUNCTION("""COMPUTED_VALUE"""),410)</f>
        <v>410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IFERROR(__xludf.DUMMYFUNCTION("""COMPUTED_VALUE"""),0)</f>
        <v>0</v>
      </c>
      <c r="Q343" s="8">
        <f ca="1">IFERROR(__xludf.DUMMYFUNCTION("""COMPUTED_VALUE"""),90)</f>
        <v>90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IFERROR(__xludf.DUMMYFUNCTION("""COMPUTED_VALUE"""),114.799999999999)</f>
        <v>114.799999999999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AO COLÉGIO DE TEMPO INTEGRAL PROFESSOR ANTONIO BELARMINO FILHO")</f>
        <v>A.A. AO COLÉGIO DE TEMPO INTEGRAL PROFESSOR ANTONIO BELARMINO FILHO</v>
      </c>
      <c r="D344" s="165" t="str">
        <f ca="1">IFERROR(__xludf.DUMMYFUNCTION("""COMPUTED_VALUE"""),"47823286000179")</f>
        <v>47823286000179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IFERROR(__xludf.DUMMYFUNCTION("""COMPUTED_VALUE"""),"334804")</f>
        <v>334804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IFERROR(__xludf.DUMMYFUNCTION("""COMPUTED_VALUE"""),11672.4)</f>
        <v>11672.4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IFERROR(__xludf.DUMMYFUNCTION("""COMPUTED_VALUE"""),0)</f>
        <v>0</v>
      </c>
      <c r="Q344" s="8">
        <f ca="1">IFERROR(__xludf.DUMMYFUNCTION("""COMPUTED_VALUE"""),0)</f>
        <v>0</v>
      </c>
      <c r="R344" s="8">
        <f ca="1">IFERROR(__xludf.DUMMYFUNCTION("""COMPUTED_VALUE"""),3205.79999999999)</f>
        <v>3205.7999999999902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1" t="str">
        <f ca="1">IFERROR(__xludf.DUMMYFUNCTION("""COMPUTED_VALUE"""),"ASS. DE A. A ESCOLA EST. RECURSO I")</f>
        <v>ASS. DE A. A ESCOLA EST. RECURSO I</v>
      </c>
      <c r="D345" s="165" t="str">
        <f ca="1">IFERROR(__xludf.DUMMYFUNCTION("""COMPUTED_VALUE"""),"02021097000144")</f>
        <v>02021097000144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IFERROR(__xludf.DUMMYFUNCTION("""COMPUTED_VALUE"""),"11029")</f>
        <v>11029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IFERROR(__xludf.DUMMYFUNCTION("""COMPUTED_VALUE"""),1210)</f>
        <v>1210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IFERROR(__xludf.DUMMYFUNCTION("""COMPUTED_VALUE"""),0)</f>
        <v>0</v>
      </c>
      <c r="Q345" s="8">
        <f ca="1">IFERROR(__xludf.DUMMYFUNCTION("""COMPUTED_VALUE"""),2110)</f>
        <v>2110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IFERROR(__xludf.DUMMYFUNCTION("""COMPUTED_VALUE"""),0)</f>
        <v>0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1" t="str">
        <f ca="1">IFERROR(__xludf.DUMMYFUNCTION("""COMPUTED_VALUE"""),"A. A.AS ESC.DO COL. EST. SANTA MARIA")</f>
        <v>A. A.AS ESC.DO COL. EST. SANTA MARIA</v>
      </c>
      <c r="D346" s="165" t="str">
        <f ca="1">IFERROR(__xludf.DUMMYFUNCTION("""COMPUTED_VALUE"""),"02087933000193")</f>
        <v>02087933000193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IFERROR(__xludf.DUMMYFUNCTION("""COMPUTED_VALUE"""),"83089")</f>
        <v>83089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IFERROR(__xludf.DUMMYFUNCTION("""COMPUTED_VALUE"""),1450)</f>
        <v>1450</v>
      </c>
      <c r="K346" s="8">
        <f ca="1">IFERROR(__xludf.DUMMYFUNCTION("""COMPUTED_VALUE"""),3068.79999999999)</f>
        <v>3068.7999999999902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IFERROR(__xludf.DUMMYFUNCTION("""COMPUTED_VALUE"""),0)</f>
        <v>0</v>
      </c>
      <c r="Q346" s="8">
        <f ca="1">IFERROR(__xludf.DUMMYFUNCTION("""COMPUTED_VALUE"""),1260)</f>
        <v>1260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IFERROR(__xludf.DUMMYFUNCTION("""COMPUTED_VALUE"""),0)</f>
        <v>0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1" t="str">
        <f ca="1">IFERROR(__xludf.DUMMYFUNCTION("""COMPUTED_VALUE"""),"A.A. A ESCOLA EST. MARIA DA GLORIA")</f>
        <v>A.A. A ESCOLA EST. MARIA DA GLORIA</v>
      </c>
      <c r="D347" s="165" t="str">
        <f ca="1">IFERROR(__xludf.DUMMYFUNCTION("""COMPUTED_VALUE"""),"02096555000104")</f>
        <v>02096555000104</v>
      </c>
      <c r="E347" s="7" t="str">
        <f ca="1">IFERROR(__xludf.DUMMYFUNCTION("""COMPUTED_VALUE"""),"001")</f>
        <v>001</v>
      </c>
      <c r="F347" s="8" t="str">
        <f ca="1">IFERROR(__xludf.DUMMYFUNCTION("""COMPUTED_VALUE"""),"2094")</f>
        <v>2094</v>
      </c>
      <c r="G347" s="8" t="str">
        <f ca="1">IFERROR(__xludf.DUMMYFUNCTION("""COMPUTED_VALUE"""),"50482")</f>
        <v>50482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IFERROR(__xludf.DUMMYFUNCTION("""COMPUTED_VALUE"""),0)</f>
        <v>0</v>
      </c>
      <c r="K347" s="8">
        <f ca="1">IFERROR(__xludf.DUMMYFUNCTION("""COMPUTED_VALUE"""),3479.79999999999)</f>
        <v>3479.7999999999902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IFERROR(__xludf.DUMMYFUNCTION("""COMPUTED_VALUE"""),610)</f>
        <v>610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IFERROR(__xludf.DUMMYFUNCTION("""COMPUTED_VALUE"""),0)</f>
        <v>0</v>
      </c>
      <c r="U347" s="62"/>
      <c r="V347" s="62"/>
      <c r="W347" s="62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1" t="str">
        <f ca="1">IFERROR(__xludf.DUMMYFUNCTION("""COMPUTED_VALUE"""),"A.A. DO COLEGIO ESTADUAL PADRAO")</f>
        <v>A.A. DO COLEGIO ESTADUAL PADRAO</v>
      </c>
      <c r="D348" s="165" t="str">
        <f ca="1">IFERROR(__xludf.DUMMYFUNCTION("""COMPUTED_VALUE"""),"01181175000105")</f>
        <v>01181175000105</v>
      </c>
      <c r="E348" s="7" t="str">
        <f ca="1">IFERROR(__xludf.DUMMYFUNCTION("""COMPUTED_VALUE"""),"001")</f>
        <v>001</v>
      </c>
      <c r="F348" s="8" t="str">
        <f ca="1">IFERROR(__xludf.DUMMYFUNCTION("""COMPUTED_VALUE"""),"3976")</f>
        <v>3976</v>
      </c>
      <c r="G348" s="8" t="str">
        <f ca="1">IFERROR(__xludf.DUMMYFUNCTION("""COMPUTED_VALUE"""),"51047")</f>
        <v>51047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IFERROR(__xludf.DUMMYFUNCTION("""COMPUTED_VALUE"""),0)</f>
        <v>0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IFERROR(__xludf.DUMMYFUNCTION("""COMPUTED_VALUE"""),0)</f>
        <v>0</v>
      </c>
      <c r="S348" s="8">
        <f ca="1">IFERROR(__xludf.DUMMYFUNCTION("""COMPUTED_VALUE"""),9420.8)</f>
        <v>9420.7999999999993</v>
      </c>
      <c r="T348" s="8">
        <f ca="1">IFERROR(__xludf.DUMMYFUNCTION("""COMPUTED_VALUE"""),114.799999999999)</f>
        <v>114.799999999999</v>
      </c>
      <c r="U348" s="62"/>
      <c r="V348" s="62"/>
      <c r="W348" s="62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1" t="str">
        <f ca="1">IFERROR(__xludf.DUMMYFUNCTION("""COMPUTED_VALUE"""),"AS.DE APOIO A ESC. EST. JONAS PEREIRA LIMA")</f>
        <v>AS.DE APOIO A ESC. EST. JONAS PEREIRA LIMA</v>
      </c>
      <c r="D349" s="165" t="str">
        <f ca="1">IFERROR(__xludf.DUMMYFUNCTION("""COMPUTED_VALUE"""),"01148459000108")</f>
        <v>01148459000108</v>
      </c>
      <c r="E349" s="7" t="str">
        <f ca="1">IFERROR(__xludf.DUMMYFUNCTION("""COMPUTED_VALUE"""),"001")</f>
        <v>001</v>
      </c>
      <c r="F349" s="8" t="str">
        <f ca="1">IFERROR(__xludf.DUMMYFUNCTION("""COMPUTED_VALUE"""),"3976")</f>
        <v>3976</v>
      </c>
      <c r="G349" s="8" t="str">
        <f ca="1">IFERROR(__xludf.DUMMYFUNCTION("""COMPUTED_VALUE"""),"80489")</f>
        <v>80489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IFERROR(__xludf.DUMMYFUNCTION("""COMPUTED_VALUE"""),0)</f>
        <v>0</v>
      </c>
      <c r="K349" s="8">
        <f ca="1">IFERROR(__xludf.DUMMYFUNCTION("""COMPUTED_VALUE"""),7589.79999999999)</f>
        <v>7589.7999999999902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IFERROR(__xludf.DUMMYFUNCTION("""COMPUTED_VALUE"""),176.799999999999)</f>
        <v>176.79999999999899</v>
      </c>
      <c r="Q349" s="8">
        <f ca="1">IFERROR(__xludf.DUMMYFUNCTION("""COMPUTED_VALUE"""),0)</f>
        <v>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1" t="str">
        <f ca="1">IFERROR(__xludf.DUMMYFUNCTION("""COMPUTED_VALUE"""),"A. APOIO ESCOLA EST. FULGENCIO NUNES")</f>
        <v>A. APOIO ESCOLA EST. FULGENCIO NUNES</v>
      </c>
      <c r="D350" s="165" t="str">
        <f ca="1">IFERROR(__xludf.DUMMYFUNCTION("""COMPUTED_VALUE"""),"01257085000150")</f>
        <v>01257085000150</v>
      </c>
      <c r="E350" s="7" t="str">
        <f ca="1">IFERROR(__xludf.DUMMYFUNCTION("""COMPUTED_VALUE"""),"003")</f>
        <v>003</v>
      </c>
      <c r="F350" s="8" t="str">
        <f ca="1">IFERROR(__xludf.DUMMYFUNCTION("""COMPUTED_VALUE"""),"0037")</f>
        <v>0037</v>
      </c>
      <c r="G350" s="8" t="str">
        <f ca="1">IFERROR(__xludf.DUMMYFUNCTION("""COMPUTED_VALUE"""),"706153")</f>
        <v>706153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IFERROR(__xludf.DUMMYFUNCTION("""COMPUTED_VALUE"""),0)</f>
        <v>0</v>
      </c>
      <c r="K350" s="8">
        <f ca="1">IFERROR(__xludf.DUMMYFUNCTION("""COMPUTED_VALUE"""),0)</f>
        <v>0</v>
      </c>
      <c r="L350" s="8">
        <f ca="1">IFERROR(__xludf.DUMMYFUNCTION("""COMPUTED_VALUE"""),5521.2)</f>
        <v>5521.2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IFERROR(__xludf.DUMMYFUNCTION("""COMPUTED_VALUE"""),0)</f>
        <v>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1" t="str">
        <f ca="1">IFERROR(__xludf.DUMMYFUNCTION("""COMPUTED_VALUE"""),"A.A. ESCOLA ESTADUAL CONCEICAO BRITO")</f>
        <v>A.A. ESCOLA ESTADUAL CONCEICAO BRITO</v>
      </c>
      <c r="D351" s="165" t="str">
        <f ca="1">IFERROR(__xludf.DUMMYFUNCTION("""COMPUTED_VALUE"""),"01268285000109")</f>
        <v>01268285000109</v>
      </c>
      <c r="E351" s="7" t="str">
        <f ca="1">IFERROR(__xludf.DUMMYFUNCTION("""COMPUTED_VALUE"""),"001")</f>
        <v>001</v>
      </c>
      <c r="F351" s="8" t="str">
        <f ca="1">IFERROR(__xludf.DUMMYFUNCTION("""COMPUTED_VALUE"""),"4107")</f>
        <v>4107</v>
      </c>
      <c r="G351" s="8" t="str">
        <f ca="1">IFERROR(__xludf.DUMMYFUNCTION("""COMPUTED_VALUE"""),"50911")</f>
        <v>50911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IFERROR(__xludf.DUMMYFUNCTION("""COMPUTED_VALUE"""),2740)</f>
        <v>2740</v>
      </c>
      <c r="K351" s="8">
        <f ca="1">IFERROR(__xludf.DUMMYFUNCTION("""COMPUTED_VALUE"""),0)</f>
        <v>0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IFERROR(__xludf.DUMMYFUNCTION("""COMPUTED_VALUE"""),136)</f>
        <v>136</v>
      </c>
      <c r="Q351" s="8">
        <f ca="1">IFERROR(__xludf.DUMMYFUNCTION("""COMPUTED_VALUE"""),1380)</f>
        <v>1380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1" t="str">
        <f ca="1">IFERROR(__xludf.DUMMYFUNCTION("""COMPUTED_VALUE"""),"ASSOC. DE APOIO A ESCOLA ESPECIAL RENASCER")</f>
        <v>ASSOC. DE APOIO A ESCOLA ESPECIAL RENASCER</v>
      </c>
      <c r="D352" s="165" t="str">
        <f ca="1">IFERROR(__xludf.DUMMYFUNCTION("""COMPUTED_VALUE"""),"11726757000183")</f>
        <v>11726757000183</v>
      </c>
      <c r="E352" s="7" t="str">
        <f ca="1">IFERROR(__xludf.DUMMYFUNCTION("""COMPUTED_VALUE"""),"001")</f>
        <v>001</v>
      </c>
      <c r="F352" s="8" t="str">
        <f ca="1">IFERROR(__xludf.DUMMYFUNCTION("""COMPUTED_VALUE"""),"4107")</f>
        <v>4107</v>
      </c>
      <c r="G352" s="8" t="str">
        <f ca="1">IFERROR(__xludf.DUMMYFUNCTION("""COMPUTED_VALUE"""),"7991X")</f>
        <v>7991X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IFERROR(__xludf.DUMMYFUNCTION("""COMPUTED_VALUE"""),435.2)</f>
        <v>435.2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IFERROR(__xludf.DUMMYFUNCTION("""COMPUTED_VALUE"""),0)</f>
        <v>0</v>
      </c>
      <c r="T352" s="8">
        <f ca="1">IFERROR(__xludf.DUMMYFUNCTION("""COMPUTED_VALUE"""),262.4)</f>
        <v>262.39999999999998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1" t="str">
        <f ca="1">IFERROR(__xludf.DUMMYFUNCTION("""COMPUTED_VALUE"""),"ASSOC. DE APOIO DA ESC. EST. FELIX CAMOA")</f>
        <v>ASSOC. DE APOIO DA ESC. EST. FELIX CAMOA</v>
      </c>
      <c r="D353" s="165" t="str">
        <f ca="1">IFERROR(__xludf.DUMMYFUNCTION("""COMPUTED_VALUE"""),"01469443000199")</f>
        <v>01469443000199</v>
      </c>
      <c r="E353" s="7" t="str">
        <f ca="1">IFERROR(__xludf.DUMMYFUNCTION("""COMPUTED_VALUE"""),"001")</f>
        <v>001</v>
      </c>
      <c r="F353" s="8" t="str">
        <f ca="1">IFERROR(__xludf.DUMMYFUNCTION("""COMPUTED_VALUE"""),"1117")</f>
        <v>1117</v>
      </c>
      <c r="G353" s="8" t="str">
        <f ca="1">IFERROR(__xludf.DUMMYFUNCTION("""COMPUTED_VALUE"""),"315052")</f>
        <v>315052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IFERROR(__xludf.DUMMYFUNCTION("""COMPUTED_VALUE"""),120)</f>
        <v>120</v>
      </c>
      <c r="K353" s="8">
        <f ca="1">IFERROR(__xludf.DUMMYFUNCTION("""COMPUTED_VALUE"""),0)</f>
        <v>0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IFERROR(__xludf.DUMMYFUNCTION("""COMPUTED_VALUE"""),81.6)</f>
        <v>81.599999999999994</v>
      </c>
      <c r="Q353" s="8">
        <f ca="1">IFERROR(__xludf.DUMMYFUNCTION("""COMPUTED_VALUE"""),770)</f>
        <v>770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IFERROR(__xludf.DUMMYFUNCTION("""COMPUTED_VALUE"""),131.2)</f>
        <v>131.19999999999999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1" t="str">
        <f ca="1">IFERROR(__xludf.DUMMYFUNCTION("""COMPUTED_VALUE"""),"A.A. DA ESC. EST. BRIGADAS CHE GUEVARA")</f>
        <v>A.A. DA ESC. EST. BRIGADAS CHE GUEVARA</v>
      </c>
      <c r="D354" s="165" t="str">
        <f ca="1">IFERROR(__xludf.DUMMYFUNCTION("""COMPUTED_VALUE"""),"08593650000108")</f>
        <v>08593650000108</v>
      </c>
      <c r="E354" s="7" t="str">
        <f ca="1">IFERROR(__xludf.DUMMYFUNCTION("""COMPUTED_VALUE"""),"001")</f>
        <v>001</v>
      </c>
      <c r="F354" s="8" t="str">
        <f ca="1">IFERROR(__xludf.DUMMYFUNCTION("""COMPUTED_VALUE"""),"1117")</f>
        <v>1117</v>
      </c>
      <c r="G354" s="8" t="str">
        <f ca="1">IFERROR(__xludf.DUMMYFUNCTION("""COMPUTED_VALUE"""),"263060")</f>
        <v>263060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IFERROR(__xludf.DUMMYFUNCTION("""COMPUTED_VALUE"""),0)</f>
        <v>0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IFERROR(__xludf.DUMMYFUNCTION("""COMPUTED_VALUE"""),1479.6)</f>
        <v>1479.6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1" t="str">
        <f ca="1">IFERROR(__xludf.DUMMYFUNCTION("""COMPUTED_VALUE"""),"A.A.  DO COLEGIO EST. PADRE GAMA")</f>
        <v>A.A.  DO COLEGIO EST. PADRE GAMA</v>
      </c>
      <c r="D355" s="165" t="str">
        <f ca="1">IFERROR(__xludf.DUMMYFUNCTION("""COMPUTED_VALUE"""),"01071443000136")</f>
        <v>01071443000136</v>
      </c>
      <c r="E355" s="7" t="str">
        <f ca="1">IFERROR(__xludf.DUMMYFUNCTION("""COMPUTED_VALUE"""),"001")</f>
        <v>001</v>
      </c>
      <c r="F355" s="8" t="str">
        <f ca="1">IFERROR(__xludf.DUMMYFUNCTION("""COMPUTED_VALUE"""),"1117")</f>
        <v>1117</v>
      </c>
      <c r="G355" s="8" t="str">
        <f ca="1">IFERROR(__xludf.DUMMYFUNCTION("""COMPUTED_VALUE"""),"0312878")</f>
        <v>0312878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IFERROR(__xludf.DUMMYFUNCTION("""COMPUTED_VALUE"""),1450)</f>
        <v>1450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IFERROR(__xludf.DUMMYFUNCTION("""COMPUTED_VALUE"""),149.6)</f>
        <v>149.6</v>
      </c>
      <c r="Q355" s="8">
        <f ca="1">IFERROR(__xludf.DUMMYFUNCTION("""COMPUTED_VALUE"""),1540)</f>
        <v>1540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IFERROR(__xludf.DUMMYFUNCTION("""COMPUTED_VALUE"""),172.2)</f>
        <v>172.2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1" t="str">
        <f ca="1">IFERROR(__xludf.DUMMYFUNCTION("""COMPUTED_VALUE"""),"A.APOIO DA ESCOLA ESTADUAL MESTRA BELA")</f>
        <v>A.APOIO DA ESCOLA ESTADUAL MESTRA BELA</v>
      </c>
      <c r="D356" s="165" t="str">
        <f ca="1">IFERROR(__xludf.DUMMYFUNCTION("""COMPUTED_VALUE"""),"01071442000191")</f>
        <v>01071442000191</v>
      </c>
      <c r="E356" s="7" t="str">
        <f ca="1">IFERROR(__xludf.DUMMYFUNCTION("""COMPUTED_VALUE"""),"001")</f>
        <v>001</v>
      </c>
      <c r="F356" s="8" t="str">
        <f ca="1">IFERROR(__xludf.DUMMYFUNCTION("""COMPUTED_VALUE"""),"1117")</f>
        <v>1117</v>
      </c>
      <c r="G356" s="8" t="str">
        <f ca="1">IFERROR(__xludf.DUMMYFUNCTION("""COMPUTED_VALUE"""),"31286X")</f>
        <v>31286X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IFERROR(__xludf.DUMMYFUNCTION("""COMPUTED_VALUE"""),3123.6)</f>
        <v>3123.6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IFERROR(__xludf.DUMMYFUNCTION("""COMPUTED_VALUE"""),95.2)</f>
        <v>95.2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IFERROR(__xludf.DUMMYFUNCTION("""COMPUTED_VALUE"""),0)</f>
        <v>0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1" t="str">
        <f ca="1">IFERROR(__xludf.DUMMYFUNCTION("""COMPUTED_VALUE"""),"ASSOC. APOIA A ESC. EST. PROF.DINA DE OLIVEIRA AMORIM")</f>
        <v>ASSOC. APOIA A ESC. EST. PROF.DINA DE OLIVEIRA AMORIM</v>
      </c>
      <c r="D357" s="165" t="str">
        <f ca="1">IFERROR(__xludf.DUMMYFUNCTION("""COMPUTED_VALUE"""),"16437349000125")</f>
        <v>16437349000125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IFERROR(__xludf.DUMMYFUNCTION("""COMPUTED_VALUE"""),"339113")</f>
        <v>339113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IFERROR(__xludf.DUMMYFUNCTION("""COMPUTED_VALUE"""),830)</f>
        <v>830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IFERROR(__xludf.DUMMYFUNCTION("""COMPUTED_VALUE"""),0)</f>
        <v>0</v>
      </c>
      <c r="Q357" s="8">
        <f ca="1">IFERROR(__xludf.DUMMYFUNCTION("""COMPUTED_VALUE"""),0)</f>
        <v>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IFERROR(__xludf.DUMMYFUNCTION("""COMPUTED_VALUE"""),0)</f>
        <v>0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1" t="str">
        <f ca="1">IFERROR(__xludf.DUMMYFUNCTION("""COMPUTED_VALUE"""),"ASSOC. NOSSA SENHORA NATIVIDADE COL. AGRÍCOLA")</f>
        <v>ASSOC. NOSSA SENHORA NATIVIDADE COL. AGRÍCOLA</v>
      </c>
      <c r="D358" s="165" t="str">
        <f ca="1">IFERROR(__xludf.DUMMYFUNCTION("""COMPUTED_VALUE"""),"03758716000140")</f>
        <v>03758716000140</v>
      </c>
      <c r="E358" s="7" t="str">
        <f ca="1">IFERROR(__xludf.DUMMYFUNCTION("""COMPUTED_VALUE"""),"001")</f>
        <v>001</v>
      </c>
      <c r="F358" s="8" t="str">
        <f ca="1">IFERROR(__xludf.DUMMYFUNCTION("""COMPUTED_VALUE"""),"3980")</f>
        <v>3980</v>
      </c>
      <c r="G358" s="8" t="str">
        <f ca="1">IFERROR(__xludf.DUMMYFUNCTION("""COMPUTED_VALUE"""),"282782")</f>
        <v>282782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IFERROR(__xludf.DUMMYFUNCTION("""COMPUTED_VALUE"""),0)</f>
        <v>0</v>
      </c>
      <c r="S358" s="8">
        <f ca="1">IFERROR(__xludf.DUMMYFUNCTION("""COMPUTED_VALUE"""),11417.6)</f>
        <v>11417.6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1" t="str">
        <f ca="1">IFERROR(__xludf.DUMMYFUNCTION("""COMPUTED_VALUE"""),"A.A. COL. EST. DR.QUINTILIANO DA SILVA")</f>
        <v>A.A. COL. EST. DR.QUINTILIANO DA SILVA</v>
      </c>
      <c r="D359" s="165" t="str">
        <f ca="1">IFERROR(__xludf.DUMMYFUNCTION("""COMPUTED_VALUE"""),"01133702000106")</f>
        <v>01133702000106</v>
      </c>
      <c r="E359" s="7" t="str">
        <f ca="1">IFERROR(__xludf.DUMMYFUNCTION("""COMPUTED_VALUE"""),"003")</f>
        <v>003</v>
      </c>
      <c r="F359" s="8" t="str">
        <f ca="1">IFERROR(__xludf.DUMMYFUNCTION("""COMPUTED_VALUE"""),"0037")</f>
        <v>0037</v>
      </c>
      <c r="G359" s="8" t="str">
        <f ca="1">IFERROR(__xludf.DUMMYFUNCTION("""COMPUTED_VALUE"""),"0702727")</f>
        <v>0702727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IFERROR(__xludf.DUMMYFUNCTION("""COMPUTED_VALUE"""),1530)</f>
        <v>1530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IFERROR(__xludf.DUMMYFUNCTION("""COMPUTED_VALUE"""),0)</f>
        <v>0</v>
      </c>
      <c r="Q359" s="8">
        <f ca="1">IFERROR(__xludf.DUMMYFUNCTION("""COMPUTED_VALUE"""),2480)</f>
        <v>2480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IFERROR(__xludf.DUMMYFUNCTION("""COMPUTED_VALUE"""),0)</f>
        <v>0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1" t="str">
        <f ca="1">IFERROR(__xludf.DUMMYFUNCTION("""COMPUTED_VALUE"""),"ASSOC. DE APOIO A ESC. ESPECIAL TIA CORACI DE SENA FERNANDES")</f>
        <v>ASSOC. DE APOIO A ESC. ESPECIAL TIA CORACI DE SENA FERNANDES</v>
      </c>
      <c r="D360" s="165" t="str">
        <f ca="1">IFERROR(__xludf.DUMMYFUNCTION("""COMPUTED_VALUE"""),"17163914000176")</f>
        <v>17163914000176</v>
      </c>
      <c r="E360" s="7" t="str">
        <f ca="1">IFERROR(__xludf.DUMMYFUNCTION("""COMPUTED_VALUE"""),"001")</f>
        <v>001</v>
      </c>
      <c r="F360" s="8" t="str">
        <f ca="1">IFERROR(__xludf.DUMMYFUNCTION("""COMPUTED_VALUE"""),"2334")</f>
        <v>2334</v>
      </c>
      <c r="G360" s="8" t="str">
        <f ca="1">IFERROR(__xludf.DUMMYFUNCTION("""COMPUTED_VALUE"""),"19860")</f>
        <v>19860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IFERROR(__xludf.DUMMYFUNCTION("""COMPUTED_VALUE"""),70)</f>
        <v>70</v>
      </c>
      <c r="K360" s="8">
        <f ca="1">IFERROR(__xludf.DUMMYFUNCTION("""COMPUTED_VALUE"""),0)</f>
        <v>0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IFERROR(__xludf.DUMMYFUNCTION("""COMPUTED_VALUE"""),666.4)</f>
        <v>666.4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IFERROR(__xludf.DUMMYFUNCTION("""COMPUTED_VALUE"""),368.999999999999)</f>
        <v>368.99999999999898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1" t="str">
        <f ca="1">IFERROR(__xludf.DUMMYFUNCTION("""COMPUTED_VALUE"""),"ASS. APOIO ESC. EST. JOAQUIM LINO SUARTE")</f>
        <v>ASS. APOIO ESC. EST. JOAQUIM LINO SUARTE</v>
      </c>
      <c r="D361" s="165" t="str">
        <f ca="1">IFERROR(__xludf.DUMMYFUNCTION("""COMPUTED_VALUE"""),"01133708000183")</f>
        <v>01133708000183</v>
      </c>
      <c r="E361" s="7" t="str">
        <f ca="1">IFERROR(__xludf.DUMMYFUNCTION("""COMPUTED_VALUE"""),"003")</f>
        <v>003</v>
      </c>
      <c r="F361" s="8" t="str">
        <f ca="1">IFERROR(__xludf.DUMMYFUNCTION("""COMPUTED_VALUE"""),"0037")</f>
        <v>0037</v>
      </c>
      <c r="G361" s="8" t="str">
        <f ca="1">IFERROR(__xludf.DUMMYFUNCTION("""COMPUTED_VALUE"""),"0702670")</f>
        <v>0702670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IFERROR(__xludf.DUMMYFUNCTION("""COMPUTED_VALUE"""),1690)</f>
        <v>1690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IFERROR(__xludf.DUMMYFUNCTION("""COMPUTED_VALUE"""),163.2)</f>
        <v>163.19999999999999</v>
      </c>
      <c r="Q361" s="8">
        <f ca="1">IFERROR(__xludf.DUMMYFUNCTION("""COMPUTED_VALUE"""),480)</f>
        <v>480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IFERROR(__xludf.DUMMYFUNCTION("""COMPUTED_VALUE"""),"A.A. E. EST.NOSSA SENHORA DE FATIMA")</f>
        <v>A.A. E. EST.NOSSA SENHORA DE FATIMA</v>
      </c>
      <c r="D362" s="165" t="str">
        <f ca="1">IFERROR(__xludf.DUMMYFUNCTION("""COMPUTED_VALUE"""),"01064860000151")</f>
        <v>01064860000151</v>
      </c>
      <c r="E362" s="7" t="str">
        <f ca="1">IFERROR(__xludf.DUMMYFUNCTION("""COMPUTED_VALUE"""),"003")</f>
        <v>003</v>
      </c>
      <c r="F362" s="8" t="str">
        <f ca="1">IFERROR(__xludf.DUMMYFUNCTION("""COMPUTED_VALUE"""),"0037")</f>
        <v>0037</v>
      </c>
      <c r="G362" s="8" t="str">
        <f ca="1">IFERROR(__xludf.DUMMYFUNCTION("""COMPUTED_VALUE"""),"0702646")</f>
        <v>0702646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IFERROR(__xludf.DUMMYFUNCTION("""COMPUTED_VALUE"""),3040)</f>
        <v>3040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IFERROR(__xludf.DUMMYFUNCTION("""COMPUTED_VALUE"""),136)</f>
        <v>136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IFERROR(__xludf.DUMMYFUNCTION("""COMPUTED_VALUE"""),0)</f>
        <v>0</v>
      </c>
      <c r="T362" s="8">
        <f ca="1">IFERROR(__xludf.DUMMYFUNCTION("""COMPUTED_VALUE"""),114.799999999999)</f>
        <v>114.799999999999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1" t="str">
        <f ca="1">IFERROR(__xludf.DUMMYFUNCTION("""COMPUTED_VALUE"""),"ASS. DE APOIO DA ESC. EST.RIACHUELO")</f>
        <v>ASS. DE APOIO DA ESC. EST.RIACHUELO</v>
      </c>
      <c r="D363" s="165" t="str">
        <f ca="1">IFERROR(__xludf.DUMMYFUNCTION("""COMPUTED_VALUE"""),"01696068000110")</f>
        <v>01696068000110</v>
      </c>
      <c r="E363" s="7" t="str">
        <f ca="1">IFERROR(__xludf.DUMMYFUNCTION("""COMPUTED_VALUE"""),"001")</f>
        <v>001</v>
      </c>
      <c r="F363" s="8" t="str">
        <f ca="1">IFERROR(__xludf.DUMMYFUNCTION("""COMPUTED_VALUE"""),"4107")</f>
        <v>4107</v>
      </c>
      <c r="G363" s="8" t="str">
        <f ca="1">IFERROR(__xludf.DUMMYFUNCTION("""COMPUTED_VALUE"""),"319511")</f>
        <v>319511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IFERROR(__xludf.DUMMYFUNCTION("""COMPUTED_VALUE"""),210)</f>
        <v>210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IFERROR(__xludf.DUMMYFUNCTION("""COMPUTED_VALUE"""),530)</f>
        <v>530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IFERROR(__xludf.DUMMYFUNCTION("""COMPUTED_VALUE"""),131.2)</f>
        <v>131.19999999999999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1" t="str">
        <f ca="1">IFERROR(__xludf.DUMMYFUNCTION("""COMPUTED_VALUE"""),"A.A. DO COL. EST. MANOEL DOS SANTOS ROSAL")</f>
        <v>A.A. DO COL. EST. MANOEL DOS SANTOS ROSAL</v>
      </c>
      <c r="D364" s="165" t="str">
        <f ca="1">IFERROR(__xludf.DUMMYFUNCTION("""COMPUTED_VALUE"""),"01034136000185")</f>
        <v>01034136000185</v>
      </c>
      <c r="E364" s="7" t="str">
        <f ca="1">IFERROR(__xludf.DUMMYFUNCTION("""COMPUTED_VALUE"""),"001")</f>
        <v>001</v>
      </c>
      <c r="F364" s="8" t="str">
        <f ca="1">IFERROR(__xludf.DUMMYFUNCTION("""COMPUTED_VALUE"""),"1117")</f>
        <v>1117</v>
      </c>
      <c r="G364" s="8" t="str">
        <f ca="1">IFERROR(__xludf.DUMMYFUNCTION("""COMPUTED_VALUE"""),"312991")</f>
        <v>312991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IFERROR(__xludf.DUMMYFUNCTION("""COMPUTED_VALUE"""),0)</f>
        <v>0</v>
      </c>
      <c r="K364" s="8">
        <f ca="1">IFERROR(__xludf.DUMMYFUNCTION("""COMPUTED_VALUE"""),2986.6)</f>
        <v>2986.6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IFERROR(__xludf.DUMMYFUNCTION("""COMPUTED_VALUE"""),0)</f>
        <v>0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IFERROR(__xludf.DUMMYFUNCTION("""COMPUTED_VALUE"""),9420.8)</f>
        <v>9420.7999999999993</v>
      </c>
      <c r="T364" s="8">
        <f ca="1">IFERROR(__xludf.DUMMYFUNCTION("""COMPUTED_VALUE"""),0)</f>
        <v>0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1" t="str">
        <f ca="1">IFERROR(__xludf.DUMMYFUNCTION("""COMPUTED_VALUE"""),"A.A. E. E. DEP.JOSE A. DE ASSIS")</f>
        <v>A.A. E. E. DEP.JOSE A. DE ASSIS</v>
      </c>
      <c r="D365" s="165" t="str">
        <f ca="1">IFERROR(__xludf.DUMMYFUNCTION("""COMPUTED_VALUE"""),"01066411000142")</f>
        <v>01066411000142</v>
      </c>
      <c r="E365" s="7" t="str">
        <f ca="1">IFERROR(__xludf.DUMMYFUNCTION("""COMPUTED_VALUE"""),"001")</f>
        <v>001</v>
      </c>
      <c r="F365" s="8" t="str">
        <f ca="1">IFERROR(__xludf.DUMMYFUNCTION("""COMPUTED_VALUE"""),"1117")</f>
        <v>1117</v>
      </c>
      <c r="G365" s="8" t="str">
        <f ca="1">IFERROR(__xludf.DUMMYFUNCTION("""COMPUTED_VALUE"""),"312770")</f>
        <v>312770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IFERROR(__xludf.DUMMYFUNCTION("""COMPUTED_VALUE"""),1430)</f>
        <v>1430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IFERROR(__xludf.DUMMYFUNCTION("""COMPUTED_VALUE"""),149.6)</f>
        <v>149.6</v>
      </c>
      <c r="Q365" s="8">
        <f ca="1">IFERROR(__xludf.DUMMYFUNCTION("""COMPUTED_VALUE"""),360)</f>
        <v>360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1" t="str">
        <f ca="1">IFERROR(__xludf.DUMMYFUNCTION("""COMPUTED_VALUE"""),"ASS. A. AO COL. EST. ODOLFO SOARES")</f>
        <v>ASS. A. AO COL. EST. ODOLFO SOARES</v>
      </c>
      <c r="D366" s="165" t="str">
        <f ca="1">IFERROR(__xludf.DUMMYFUNCTION("""COMPUTED_VALUE"""),"01342866000143")</f>
        <v>01342866000143</v>
      </c>
      <c r="E366" s="7" t="str">
        <f ca="1">IFERROR(__xludf.DUMMYFUNCTION("""COMPUTED_VALUE"""),"001")</f>
        <v>001</v>
      </c>
      <c r="F366" s="8" t="str">
        <f ca="1">IFERROR(__xludf.DUMMYFUNCTION("""COMPUTED_VALUE"""),"1117")</f>
        <v>1117</v>
      </c>
      <c r="G366" s="8" t="str">
        <f ca="1">IFERROR(__xludf.DUMMYFUNCTION("""COMPUTED_VALUE"""),"333921")</f>
        <v>333921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IFERROR(__xludf.DUMMYFUNCTION("""COMPUTED_VALUE"""),3100)</f>
        <v>3100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IFERROR(__xludf.DUMMYFUNCTION("""COMPUTED_VALUE"""),204)</f>
        <v>204</v>
      </c>
      <c r="Q366" s="8">
        <f ca="1">IFERROR(__xludf.DUMMYFUNCTION("""COMPUTED_VALUE"""),3350)</f>
        <v>3350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1" t="str">
        <f ca="1">IFERROR(__xludf.DUMMYFUNCTION("""COMPUTED_VALUE"""),"ASS. APOIO DA ESCOLA EST. ALCIDES RUFO")</f>
        <v>ASS. APOIO DA ESCOLA EST. ALCIDES RUFO</v>
      </c>
      <c r="D367" s="165" t="str">
        <f ca="1">IFERROR(__xludf.DUMMYFUNCTION("""COMPUTED_VALUE"""),"01192931000100")</f>
        <v>01192931000100</v>
      </c>
      <c r="E367" s="7" t="str">
        <f ca="1">IFERROR(__xludf.DUMMYFUNCTION("""COMPUTED_VALUE"""),"001")</f>
        <v>001</v>
      </c>
      <c r="F367" s="8" t="str">
        <f ca="1">IFERROR(__xludf.DUMMYFUNCTION("""COMPUTED_VALUE"""),"1117")</f>
        <v>1117</v>
      </c>
      <c r="G367" s="8" t="str">
        <f ca="1">IFERROR(__xludf.DUMMYFUNCTION("""COMPUTED_VALUE"""),"313785")</f>
        <v>313785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IFERROR(__xludf.DUMMYFUNCTION("""COMPUTED_VALUE"""),2660)</f>
        <v>2660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IFERROR(__xludf.DUMMYFUNCTION("""COMPUTED_VALUE"""),0)</f>
        <v>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IFERROR(__xludf.DUMMYFUNCTION("""COMPUTED_VALUE"""),0)</f>
        <v>0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1" t="str">
        <f ca="1">IFERROR(__xludf.DUMMYFUNCTION("""COMPUTED_VALUE"""),"ASS. DE APOIO A ESCOLA EST. ESPECIAL AMILSON FRAZÃO DOS REIS")</f>
        <v>ASS. DE APOIO A ESCOLA EST. ESPECIAL AMILSON FRAZÃO DOS REIS</v>
      </c>
      <c r="D368" s="165" t="str">
        <f ca="1">IFERROR(__xludf.DUMMYFUNCTION("""COMPUTED_VALUE"""),"20309905000155")</f>
        <v>20309905000155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IFERROR(__xludf.DUMMYFUNCTION("""COMPUTED_VALUE"""),"567426")</f>
        <v>567426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IFERROR(__xludf.DUMMYFUNCTION("""COMPUTED_VALUE"""),80)</f>
        <v>80</v>
      </c>
      <c r="K368" s="8">
        <f ca="1">IFERROR(__xludf.DUMMYFUNCTION("""COMPUTED_VALUE"""),0)</f>
        <v>0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IFERROR(__xludf.DUMMYFUNCTION("""COMPUTED_VALUE"""),544)</f>
        <v>544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IFERROR(__xludf.DUMMYFUNCTION("""COMPUTED_VALUE"""),0)</f>
        <v>0</v>
      </c>
      <c r="T368" s="8">
        <f ca="1">IFERROR(__xludf.DUMMYFUNCTION("""COMPUTED_VALUE"""),360.799999999999)</f>
        <v>360.79999999999899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1" t="str">
        <f ca="1">IFERROR(__xludf.DUMMYFUNCTION("""COMPUTED_VALUE"""),"ASSOC. DE APOIO AO CEM FELIX CAMOA I")</f>
        <v>ASSOC. DE APOIO AO CEM FELIX CAMOA I</v>
      </c>
      <c r="D369" s="165" t="str">
        <f ca="1">IFERROR(__xludf.DUMMYFUNCTION("""COMPUTED_VALUE"""),"01112476000187")</f>
        <v>01112476000187</v>
      </c>
      <c r="E369" s="7" t="str">
        <f ca="1">IFERROR(__xludf.DUMMYFUNCTION("""COMPUTED_VALUE"""),"104")</f>
        <v>104</v>
      </c>
      <c r="F369" s="8" t="str">
        <f ca="1">IFERROR(__xludf.DUMMYFUNCTION("""COMPUTED_VALUE"""),"1829")</f>
        <v>1829</v>
      </c>
      <c r="G369" s="8" t="str">
        <f ca="1">IFERROR(__xludf.DUMMYFUNCTION("""COMPUTED_VALUE"""),"3050011")</f>
        <v>3050011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IFERROR(__xludf.DUMMYFUNCTION("""COMPUTED_VALUE"""),0)</f>
        <v>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IFERROR(__xludf.DUMMYFUNCTION("""COMPUTED_VALUE"""),81.6)</f>
        <v>81.599999999999994</v>
      </c>
      <c r="Q369" s="8">
        <f ca="1">IFERROR(__xludf.DUMMYFUNCTION("""COMPUTED_VALUE"""),0)</f>
        <v>0</v>
      </c>
      <c r="R369" s="8">
        <f ca="1">IFERROR(__xludf.DUMMYFUNCTION("""COMPUTED_VALUE"""),0)</f>
        <v>0</v>
      </c>
      <c r="S369" s="8">
        <f ca="1">IFERROR(__xludf.DUMMYFUNCTION("""COMPUTED_VALUE"""),8294.4)</f>
        <v>8294.4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1" t="str">
        <f ca="1">IFERROR(__xludf.DUMMYFUNCTION("""COMPUTED_VALUE"""),"ASSOC. DE A.DO CEM PROFº. FLORÊNCIO AIRES DA SILVA")</f>
        <v>ASSOC. DE A.DO CEM PROFº. FLORÊNCIO AIRES DA SILVA</v>
      </c>
      <c r="D370" s="165" t="str">
        <f ca="1">IFERROR(__xludf.DUMMYFUNCTION("""COMPUTED_VALUE"""),"01138326000142")</f>
        <v>01138326000142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IFERROR(__xludf.DUMMYFUNCTION("""COMPUTED_VALUE"""),"5500X")</f>
        <v>5500X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IFERROR(__xludf.DUMMYFUNCTION("""COMPUTED_VALUE"""),1010)</f>
        <v>1010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IFERROR(__xludf.DUMMYFUNCTION("""COMPUTED_VALUE"""),149.6)</f>
        <v>149.6</v>
      </c>
      <c r="Q370" s="8">
        <f ca="1">IFERROR(__xludf.DUMMYFUNCTION("""COMPUTED_VALUE"""),2310)</f>
        <v>2310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IFERROR(__xludf.DUMMYFUNCTION("""COMPUTED_VALUE"""),647.8)</f>
        <v>647.79999999999995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1" t="str">
        <f ca="1">IFERROR(__xludf.DUMMYFUNCTION("""COMPUTED_VALUE"""),"A. E. COM. ESC. CONV. ANGELICA R. ARANHA")</f>
        <v>A. E. COM. ESC. CONV. ANGELICA R. ARANHA</v>
      </c>
      <c r="D371" s="165" t="str">
        <f ca="1">IFERROR(__xludf.DUMMYFUNCTION("""COMPUTED_VALUE"""),"01075455000139")</f>
        <v>01075455000139</v>
      </c>
      <c r="E371" s="7" t="str">
        <f ca="1">IFERROR(__xludf.DUMMYFUNCTION("""COMPUTED_VALUE"""),"104")</f>
        <v>104</v>
      </c>
      <c r="F371" s="8" t="str">
        <f ca="1">IFERROR(__xludf.DUMMYFUNCTION("""COMPUTED_VALUE"""),"1829")</f>
        <v>1829</v>
      </c>
      <c r="G371" s="8" t="str">
        <f ca="1">IFERROR(__xludf.DUMMYFUNCTION("""COMPUTED_VALUE"""),"307313")</f>
        <v>307313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IFERROR(__xludf.DUMMYFUNCTION("""COMPUTED_VALUE"""),1430)</f>
        <v>1430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IFERROR(__xludf.DUMMYFUNCTION("""COMPUTED_VALUE"""),176.799999999999)</f>
        <v>176.79999999999899</v>
      </c>
      <c r="Q371" s="8">
        <f ca="1">IFERROR(__xludf.DUMMYFUNCTION("""COMPUTED_VALUE"""),710)</f>
        <v>710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1" t="str">
        <f ca="1">IFERROR(__xludf.DUMMYFUNCTION("""COMPUTED_VALUE"""),"A.A. ESC. EST. DR.PEDRO LUDOVICO TEIXEIRA")</f>
        <v>A.A. ESC. EST. DR.PEDRO LUDOVICO TEIXEIRA</v>
      </c>
      <c r="D372" s="165" t="str">
        <f ca="1">IFERROR(__xludf.DUMMYFUNCTION("""COMPUTED_VALUE"""),"01135997000150")</f>
        <v>01135997000150</v>
      </c>
      <c r="E372" s="7" t="str">
        <f ca="1">IFERROR(__xludf.DUMMYFUNCTION("""COMPUTED_VALUE"""),"104")</f>
        <v>104</v>
      </c>
      <c r="F372" s="8" t="str">
        <f ca="1">IFERROR(__xludf.DUMMYFUNCTION("""COMPUTED_VALUE"""),"1829")</f>
        <v>1829</v>
      </c>
      <c r="G372" s="8" t="str">
        <f ca="1">IFERROR(__xludf.DUMMYFUNCTION("""COMPUTED_VALUE"""),"305949")</f>
        <v>305949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IFERROR(__xludf.DUMMYFUNCTION("""COMPUTED_VALUE"""),4940)</f>
        <v>4940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IFERROR(__xludf.DUMMYFUNCTION("""COMPUTED_VALUE"""),312.8)</f>
        <v>312.8</v>
      </c>
      <c r="Q372" s="8">
        <f ca="1">IFERROR(__xludf.DUMMYFUNCTION("""COMPUTED_VALUE"""),2580)</f>
        <v>2580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IFERROR(__xludf.DUMMYFUNCTION("""COMPUTED_VALUE"""),0)</f>
        <v>0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IFERROR(__xludf.DUMMYFUNCTION("""COMPUTED_VALUE"""),"A. ESCOL.COM. ESC. EST. MAL.ARTUR C.E SILVA")</f>
        <v>A. ESCOL.COM. ESC. EST. MAL.ARTUR C.E SILVA</v>
      </c>
      <c r="D373" s="165" t="str">
        <f ca="1">IFERROR(__xludf.DUMMYFUNCTION("""COMPUTED_VALUE"""),"01112763000197")</f>
        <v>01112763000197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IFERROR(__xludf.DUMMYFUNCTION("""COMPUTED_VALUE"""),"307364")</f>
        <v>307364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IFERROR(__xludf.DUMMYFUNCTION("""COMPUTED_VALUE"""),2260)</f>
        <v>2260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IFERROR(__xludf.DUMMYFUNCTION("""COMPUTED_VALUE"""),68)</f>
        <v>68</v>
      </c>
      <c r="Q373" s="8">
        <f ca="1">IFERROR(__xludf.DUMMYFUNCTION("""COMPUTED_VALUE"""),1390)</f>
        <v>1390</v>
      </c>
      <c r="R373" s="8">
        <f ca="1">IFERROR(__xludf.DUMMYFUNCTION("""COMPUTED_VALUE"""),0)</f>
        <v>0</v>
      </c>
      <c r="S373" s="8">
        <f ca="1">IFERROR(__xludf.DUMMYFUNCTION("""COMPUTED_VALUE"""),0)</f>
        <v>0</v>
      </c>
      <c r="T373" s="8">
        <f ca="1">IFERROR(__xludf.DUMMYFUNCTION("""COMPUTED_VALUE"""),803.599999999999)</f>
        <v>803.599999999999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IFERROR(__xludf.DUMMYFUNCTION("""COMPUTED_VALUE"""),"ASSOCIAÇÃO DE APOIO DA ESCOLA FAMÍLIA AGRÍCOLA")</f>
        <v>ASSOCIAÇÃO DE APOIO DA ESCOLA FAMÍLIA AGRÍCOLA</v>
      </c>
      <c r="D374" s="165" t="str">
        <f ca="1">IFERROR(__xludf.DUMMYFUNCTION("""COMPUTED_VALUE"""),"01197155000122")</f>
        <v>01197155000122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IFERROR(__xludf.DUMMYFUNCTION("""COMPUTED_VALUE"""),"313483")</f>
        <v>313483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IFERROR(__xludf.DUMMYFUNCTION("""COMPUTED_VALUE"""),0)</f>
        <v>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IFERROR(__xludf.DUMMYFUNCTION("""COMPUTED_VALUE"""),0)</f>
        <v>0</v>
      </c>
      <c r="Q374" s="8">
        <f ca="1">IFERROR(__xludf.DUMMYFUNCTION("""COMPUTED_VALUE"""),0)</f>
        <v>0</v>
      </c>
      <c r="R374" s="8">
        <f ca="1">IFERROR(__xludf.DUMMYFUNCTION("""COMPUTED_VALUE"""),6384.2)</f>
        <v>6384.2</v>
      </c>
      <c r="S374" s="8">
        <f ca="1">IFERROR(__xludf.DUMMYFUNCTION("""COMPUTED_VALUE"""),0)</f>
        <v>0</v>
      </c>
      <c r="T374" s="8">
        <f ca="1">IFERROR(__xludf.DUMMYFUNCTION("""COMPUTED_VALUE"""),0)</f>
        <v>0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IFERROR(__xludf.DUMMYFUNCTION("""COMPUTED_VALUE"""),"ASSOC.P.A.DOS EXCEP. DE PORTO NACIONAL")</f>
        <v>ASSOC.P.A.DOS EXCEP. DE PORTO NACIONAL</v>
      </c>
      <c r="D375" s="165" t="str">
        <f ca="1">IFERROR(__xludf.DUMMYFUNCTION("""COMPUTED_VALUE"""),"26752113000137")</f>
        <v>26752113000137</v>
      </c>
      <c r="E375" s="7" t="str">
        <f ca="1">IFERROR(__xludf.DUMMYFUNCTION("""COMPUTED_VALUE"""),"001")</f>
        <v>001</v>
      </c>
      <c r="F375" s="8" t="str">
        <f ca="1">IFERROR(__xludf.DUMMYFUNCTION("""COMPUTED_VALUE"""),"1117")</f>
        <v>1117</v>
      </c>
      <c r="G375" s="8" t="str">
        <f ca="1">IFERROR(__xludf.DUMMYFUNCTION("""COMPUTED_VALUE"""),"86657")</f>
        <v>86657</v>
      </c>
      <c r="H375" s="8">
        <f ca="1">IFERROR(__xludf.DUMMYFUNCTION("""COMPUTED_VALUE"""),0)</f>
        <v>0</v>
      </c>
      <c r="I375" s="8">
        <f ca="1">IFERROR(__xludf.DUMMYFUNCTION("""COMPUTED_VALUE"""),172.8)</f>
        <v>172.8</v>
      </c>
      <c r="J375" s="8">
        <f ca="1">IFERROR(__xludf.DUMMYFUNCTION("""COMPUTED_VALUE"""),130)</f>
        <v>130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IFERROR(__xludf.DUMMYFUNCTION("""COMPUTED_VALUE"""),1455.2)</f>
        <v>1455.2</v>
      </c>
      <c r="Q375" s="8">
        <f ca="1">IFERROR(__xludf.DUMMYFUNCTION("""COMPUTED_VALUE"""),0)</f>
        <v>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IFERROR(__xludf.DUMMYFUNCTION("""COMPUTED_VALUE"""),721.599999999999)</f>
        <v>721.599999999999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 ESCOLA ESTADUAL ALFREDO NASSER")</f>
        <v>A.A.  ESCOLA ESTADUAL ALFREDO NASSER</v>
      </c>
      <c r="D376" s="165" t="str">
        <f ca="1">IFERROR(__xludf.DUMMYFUNCTION("""COMPUTED_VALUE"""),"01251862000150")</f>
        <v>01251862000150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IFERROR(__xludf.DUMMYFUNCTION("""COMPUTED_VALUE"""),"307410")</f>
        <v>307410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IFERROR(__xludf.DUMMYFUNCTION("""COMPUTED_VALUE"""),1350)</f>
        <v>1350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IFERROR(__xludf.DUMMYFUNCTION("""COMPUTED_VALUE"""),108.8)</f>
        <v>108.8</v>
      </c>
      <c r="Q376" s="8">
        <f ca="1">IFERROR(__xludf.DUMMYFUNCTION("""COMPUTED_VALUE"""),550)</f>
        <v>550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IFERROR(__xludf.DUMMYFUNCTION("""COMPUTED_VALUE"""),"A.A. ESCOLA ESTADUAL ANA MACEDO MAIA")</f>
        <v>A.A. ESCOLA ESTADUAL ANA MACEDO MAIA</v>
      </c>
      <c r="D377" s="165" t="str">
        <f ca="1">IFERROR(__xludf.DUMMYFUNCTION("""COMPUTED_VALUE"""),"01243662000155")</f>
        <v>01243662000155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IFERROR(__xludf.DUMMYFUNCTION("""COMPUTED_VALUE"""),"306015")</f>
        <v>306015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IFERROR(__xludf.DUMMYFUNCTION("""COMPUTED_VALUE"""),3040)</f>
        <v>3040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IFERROR(__xludf.DUMMYFUNCTION("""COMPUTED_VALUE"""),0)</f>
        <v>0</v>
      </c>
      <c r="Q377" s="8">
        <f ca="1">IFERROR(__xludf.DUMMYFUNCTION("""COMPUTED_VALUE"""),0)</f>
        <v>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IFERROR(__xludf.DUMMYFUNCTION("""COMPUTED_VALUE"""),0)</f>
        <v>0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IFERROR(__xludf.DUMMYFUNCTION("""COMPUTED_VALUE"""),"A. ESCOLAR COMUN. DA ESC. CONV. BRASIL")</f>
        <v>A. ESCOLAR COMUN. DA ESC. CONV. BRASIL</v>
      </c>
      <c r="D378" s="165" t="str">
        <f ca="1">IFERROR(__xludf.DUMMYFUNCTION("""COMPUTED_VALUE"""),"01112471000154")</f>
        <v>01112471000154</v>
      </c>
      <c r="E378" s="7" t="str">
        <f ca="1">IFERROR(__xludf.DUMMYFUNCTION("""COMPUTED_VALUE"""),"104")</f>
        <v>104</v>
      </c>
      <c r="F378" s="8" t="str">
        <f ca="1">IFERROR(__xludf.DUMMYFUNCTION("""COMPUTED_VALUE"""),"1829")</f>
        <v>1829</v>
      </c>
      <c r="G378" s="8" t="str">
        <f ca="1">IFERROR(__xludf.DUMMYFUNCTION("""COMPUTED_VALUE"""),"307402")</f>
        <v>307402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IFERROR(__xludf.DUMMYFUNCTION("""COMPUTED_VALUE"""),870)</f>
        <v>870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IFERROR(__xludf.DUMMYFUNCTION("""COMPUTED_VALUE"""),530)</f>
        <v>530</v>
      </c>
      <c r="R378" s="8">
        <f ca="1">IFERROR(__xludf.DUMMYFUNCTION("""COMPUTED_VALUE"""),0)</f>
        <v>0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IFERROR(__xludf.DUMMYFUNCTION("""COMPUTED_VALUE"""),"A.A.  ESCOLA ESTADUAL CUSTÓDIA DA SILVA PEDREIRA")</f>
        <v>A.A.  ESCOLA ESTADUAL CUSTÓDIA DA SILVA PEDREIRA</v>
      </c>
      <c r="D379" s="165" t="str">
        <f ca="1">IFERROR(__xludf.DUMMYFUNCTION("""COMPUTED_VALUE"""),"01192932000146")</f>
        <v>01192932000146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IFERROR(__xludf.DUMMYFUNCTION("""COMPUTED_VALUE"""),"314080")</f>
        <v>314080</v>
      </c>
      <c r="H379" s="8">
        <f ca="1">IFERROR(__xludf.DUMMYFUNCTION("""COMPUTED_VALUE"""),0)</f>
        <v>0</v>
      </c>
      <c r="I379" s="8">
        <f ca="1">IFERROR(__xludf.DUMMYFUNCTION("""COMPUTED_VALUE"""),0)</f>
        <v>0</v>
      </c>
      <c r="J379" s="8">
        <f ca="1">IFERROR(__xludf.DUMMYFUNCTION("""COMPUTED_VALUE"""),4540)</f>
        <v>4540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IFERROR(__xludf.DUMMYFUNCTION("""COMPUTED_VALUE"""),0)</f>
        <v>0</v>
      </c>
      <c r="Q379" s="8">
        <f ca="1">IFERROR(__xludf.DUMMYFUNCTION("""COMPUTED_VALUE"""),3320)</f>
        <v>3320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IFERROR(__xludf.DUMMYFUNCTION("""COMPUTED_VALUE"""),0)</f>
        <v>0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 ESC. COM./ESC. EST. D.DOMINGOS CARREROT")</f>
        <v>A. ESC. COM./ESC. EST. D.DOMINGOS CARREROT</v>
      </c>
      <c r="D380" s="165" t="str">
        <f ca="1">IFERROR(__xludf.DUMMYFUNCTION("""COMPUTED_VALUE"""),"00900197000115")</f>
        <v>00900197000115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IFERROR(__xludf.DUMMYFUNCTION("""COMPUTED_VALUE"""),"305914")</f>
        <v>305914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IFERROR(__xludf.DUMMYFUNCTION("""COMPUTED_VALUE"""),3550)</f>
        <v>3550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IFERROR(__xludf.DUMMYFUNCTION("""COMPUTED_VALUE"""),176.799999999999)</f>
        <v>176.79999999999899</v>
      </c>
      <c r="Q380" s="8">
        <f ca="1">IFERROR(__xludf.DUMMYFUNCTION("""COMPUTED_VALUE"""),0)</f>
        <v>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 A ESCOLA D. PEDRO II")</f>
        <v>A.A.  A ESCOLA D. PEDRO II</v>
      </c>
      <c r="D381" s="165" t="str">
        <f ca="1">IFERROR(__xludf.DUMMYFUNCTION("""COMPUTED_VALUE"""),"01133697000131")</f>
        <v>01133697000131</v>
      </c>
      <c r="E381" s="7" t="str">
        <f ca="1">IFERROR(__xludf.DUMMYFUNCTION("""COMPUTED_VALUE"""),"001")</f>
        <v>001</v>
      </c>
      <c r="F381" s="8" t="str">
        <f ca="1">IFERROR(__xludf.DUMMYFUNCTION("""COMPUTED_VALUE"""),"1117")</f>
        <v>1117</v>
      </c>
      <c r="G381" s="8" t="str">
        <f ca="1">IFERROR(__xludf.DUMMYFUNCTION("""COMPUTED_VALUE"""),"0313092")</f>
        <v>0313092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IFERROR(__xludf.DUMMYFUNCTION("""COMPUTED_VALUE"""),0)</f>
        <v>0</v>
      </c>
      <c r="K381" s="8">
        <f ca="1">IFERROR(__xludf.DUMMYFUNCTION("""COMPUTED_VALUE"""),3836)</f>
        <v>3836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IFERROR(__xludf.DUMMYFUNCTION("""COMPUTED_VALUE"""),258.4)</f>
        <v>258.39999999999998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IFERROR(__xludf.DUMMYFUNCTION("""COMPUTED_VALUE"""),"A.A. ESCOLA ESTADUAL IRMA ASPASIA")</f>
        <v>A.A. ESCOLA ESTADUAL IRMA ASPASIA</v>
      </c>
      <c r="D382" s="165" t="str">
        <f ca="1">IFERROR(__xludf.DUMMYFUNCTION("""COMPUTED_VALUE"""),"01136022000146")</f>
        <v>01136022000146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IFERROR(__xludf.DUMMYFUNCTION("""COMPUTED_VALUE"""),"307453")</f>
        <v>307453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IFERROR(__xludf.DUMMYFUNCTION("""COMPUTED_VALUE"""),1340)</f>
        <v>1340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IFERROR(__xludf.DUMMYFUNCTION("""COMPUTED_VALUE"""),136)</f>
        <v>136</v>
      </c>
      <c r="Q382" s="8">
        <f ca="1">IFERROR(__xludf.DUMMYFUNCTION("""COMPUTED_VALUE"""),2120)</f>
        <v>2120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DA ESC. EST. ALCIDES RODRIGUES AIRES")</f>
        <v>A.A. DA ESC. EST. ALCIDES RODRIGUES AIRES</v>
      </c>
      <c r="D383" s="165" t="str">
        <f ca="1">IFERROR(__xludf.DUMMYFUNCTION("""COMPUTED_VALUE"""),"03495455000113")</f>
        <v>03495455000113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IFERROR(__xludf.DUMMYFUNCTION("""COMPUTED_VALUE"""),"77143")</f>
        <v>77143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IFERROR(__xludf.DUMMYFUNCTION("""COMPUTED_VALUE"""),3720)</f>
        <v>3720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IFERROR(__xludf.DUMMYFUNCTION("""COMPUTED_VALUE"""),190.4)</f>
        <v>190.4</v>
      </c>
      <c r="Q383" s="8">
        <f ca="1">IFERROR(__xludf.DUMMYFUNCTION("""COMPUTED_VALUE"""),0)</f>
        <v>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IFERROR(__xludf.DUMMYFUNCTION("""COMPUTED_VALUE"""),729.8)</f>
        <v>729.8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IFERROR(__xludf.DUMMYFUNCTION("""COMPUTED_VALUE"""),"A.A. E. E. PROFA. CARMENIA MATOS MAIA")</f>
        <v>A.A. E. E. PROFA. CARMENIA MATOS MAIA</v>
      </c>
      <c r="D384" s="165" t="str">
        <f ca="1">IFERROR(__xludf.DUMMYFUNCTION("""COMPUTED_VALUE"""),"01118897000115")</f>
        <v>01118897000115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IFERROR(__xludf.DUMMYFUNCTION("""COMPUTED_VALUE"""),"307399")</f>
        <v>307399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IFERROR(__xludf.DUMMYFUNCTION("""COMPUTED_VALUE"""),2510)</f>
        <v>2510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IFERROR(__xludf.DUMMYFUNCTION("""COMPUTED_VALUE"""),231.2)</f>
        <v>231.2</v>
      </c>
      <c r="Q384" s="8">
        <f ca="1">IFERROR(__xludf.DUMMYFUNCTION("""COMPUTED_VALUE"""),940)</f>
        <v>940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1" t="str">
        <f ca="1">IFERROR(__xludf.DUMMYFUNCTION("""COMPUTED_VALUE"""),"ASS. COM.DE AP.ESC. EST. DE 1 GRAU BOA NOVA")</f>
        <v>ASS. COM.DE AP.ESC. EST. DE 1 GRAU BOA NOVA</v>
      </c>
      <c r="D385" s="165" t="str">
        <f ca="1">IFERROR(__xludf.DUMMYFUNCTION("""COMPUTED_VALUE"""),"01856561000150")</f>
        <v>01856561000150</v>
      </c>
      <c r="E385" s="7" t="str">
        <f ca="1">IFERROR(__xludf.DUMMYFUNCTION("""COMPUTED_VALUE"""),"001")</f>
        <v>001</v>
      </c>
      <c r="F385" s="8" t="str">
        <f ca="1">IFERROR(__xludf.DUMMYFUNCTION("""COMPUTED_VALUE"""),"4107")</f>
        <v>4107</v>
      </c>
      <c r="G385" s="8" t="str">
        <f ca="1">IFERROR(__xludf.DUMMYFUNCTION("""COMPUTED_VALUE"""),"320722")</f>
        <v>320722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IFERROR(__xludf.DUMMYFUNCTION("""COMPUTED_VALUE"""),880)</f>
        <v>880</v>
      </c>
      <c r="K385" s="8">
        <f ca="1">IFERROR(__xludf.DUMMYFUNCTION("""COMPUTED_VALUE"""),0)</f>
        <v>0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IFERROR(__xludf.DUMMYFUNCTION("""COMPUTED_VALUE"""),0)</f>
        <v>0</v>
      </c>
      <c r="Q385" s="8">
        <f ca="1">IFERROR(__xludf.DUMMYFUNCTION("""COMPUTED_VALUE"""),930)</f>
        <v>930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1" t="str">
        <f ca="1">IFERROR(__xludf.DUMMYFUNCTION("""COMPUTED_VALUE"""),"A.A. E. E.PROF.ZACHARIAS NUNES DA SILVEIRA")</f>
        <v>A.A. E. E.PROF.ZACHARIAS NUNES DA SILVEIRA</v>
      </c>
      <c r="D386" s="165" t="str">
        <f ca="1">IFERROR(__xludf.DUMMYFUNCTION("""COMPUTED_VALUE"""),"01066420000133")</f>
        <v>01066420000133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IFERROR(__xludf.DUMMYFUNCTION("""COMPUTED_VALUE"""),"0307461")</f>
        <v>0307461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IFERROR(__xludf.DUMMYFUNCTION("""COMPUTED_VALUE"""),1560)</f>
        <v>1560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IFERROR(__xludf.DUMMYFUNCTION("""COMPUTED_VALUE"""),163.2)</f>
        <v>163.19999999999999</v>
      </c>
      <c r="Q386" s="8">
        <f ca="1">IFERROR(__xludf.DUMMYFUNCTION("""COMPUTED_VALUE"""),0)</f>
        <v>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1" t="str">
        <f ca="1">IFERROR(__xludf.DUMMYFUNCTION("""COMPUTED_VALUE"""),"A.A. E. E. TENENTE SALVADOR RIBEIRO")</f>
        <v>A.A. E. E. TENENTE SALVADOR RIBEIRO</v>
      </c>
      <c r="D387" s="165" t="str">
        <f ca="1">IFERROR(__xludf.DUMMYFUNCTION("""COMPUTED_VALUE"""),"01066424000111")</f>
        <v>01066424000111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IFERROR(__xludf.DUMMYFUNCTION("""COMPUTED_VALUE"""),"332623")</f>
        <v>332623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IFERROR(__xludf.DUMMYFUNCTION("""COMPUTED_VALUE"""),290)</f>
        <v>290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IFERROR(__xludf.DUMMYFUNCTION("""COMPUTED_VALUE"""),0)</f>
        <v>0</v>
      </c>
      <c r="Q387" s="8">
        <f ca="1">IFERROR(__xludf.DUMMYFUNCTION("""COMPUTED_VALUE"""),1900)</f>
        <v>1900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IFERROR(__xludf.DUMMYFUNCTION("""COMPUTED_VALUE"""),188.6)</f>
        <v>188.6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1" t="str">
        <f ca="1">IFERROR(__xludf.DUMMYFUNCTION("""COMPUTED_VALUE"""),"A.A. DA ESC. EST. JOAO DA SILVA GUIMARAES")</f>
        <v>A.A. DA ESC. EST. JOAO DA SILVA GUIMARAES</v>
      </c>
      <c r="D388" s="165" t="str">
        <f ca="1">IFERROR(__xludf.DUMMYFUNCTION("""COMPUTED_VALUE"""),"01557779000103")</f>
        <v>01557779000103</v>
      </c>
      <c r="E388" s="7" t="str">
        <f ca="1">IFERROR(__xludf.DUMMYFUNCTION("""COMPUTED_VALUE"""),"001")</f>
        <v>001</v>
      </c>
      <c r="F388" s="8" t="str">
        <f ca="1">IFERROR(__xludf.DUMMYFUNCTION("""COMPUTED_VALUE"""),"3980")</f>
        <v>3980</v>
      </c>
      <c r="G388" s="8" t="str">
        <f ca="1">IFERROR(__xludf.DUMMYFUNCTION("""COMPUTED_VALUE"""),"51292")</f>
        <v>51292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IFERROR(__xludf.DUMMYFUNCTION("""COMPUTED_VALUE"""),3070)</f>
        <v>3070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IFERROR(__xludf.DUMMYFUNCTION("""COMPUTED_VALUE"""),0)</f>
        <v>0</v>
      </c>
      <c r="Q388" s="8">
        <f ca="1">IFERROR(__xludf.DUMMYFUNCTION("""COMPUTED_VALUE"""),2470)</f>
        <v>2470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1" t="str">
        <f ca="1">IFERROR(__xludf.DUMMYFUNCTION("""COMPUTED_VALUE"""),"A.A. A ESC. EST. JOAO PIRES QUERIDO")</f>
        <v>A.A. A ESC. EST. JOAO PIRES QUERIDO</v>
      </c>
      <c r="D389" s="165" t="str">
        <f ca="1">IFERROR(__xludf.DUMMYFUNCTION("""COMPUTED_VALUE"""),"01284632000197")</f>
        <v>01284632000197</v>
      </c>
      <c r="E389" s="7" t="str">
        <f ca="1">IFERROR(__xludf.DUMMYFUNCTION("""COMPUTED_VALUE"""),"001")</f>
        <v>001</v>
      </c>
      <c r="F389" s="8" t="str">
        <f ca="1">IFERROR(__xludf.DUMMYFUNCTION("""COMPUTED_VALUE"""),"3980")</f>
        <v>3980</v>
      </c>
      <c r="G389" s="8" t="str">
        <f ca="1">IFERROR(__xludf.DUMMYFUNCTION("""COMPUTED_VALUE"""),"051187")</f>
        <v>051187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IFERROR(__xludf.DUMMYFUNCTION("""COMPUTED_VALUE"""),0)</f>
        <v>0</v>
      </c>
      <c r="K389" s="8">
        <f ca="1">IFERROR(__xludf.DUMMYFUNCTION("""COMPUTED_VALUE"""),4164.8)</f>
        <v>4164.8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IFERROR(__xludf.DUMMYFUNCTION("""COMPUTED_VALUE"""),0)</f>
        <v>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IFERROR(__xludf.DUMMYFUNCTION("""COMPUTED_VALUE"""),106.6)</f>
        <v>106.6</v>
      </c>
      <c r="U389" s="62"/>
      <c r="V389" s="62"/>
      <c r="W389" s="62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1" t="str">
        <f ca="1">IFERROR(__xludf.DUMMYFUNCTION("""COMPUTED_VALUE"""),"A.A. DA ESC. EST. NAZARÉ NUNES DA SILVA (AGUIARNOPOLIS)")</f>
        <v>A.A. DA ESC. EST. NAZARÉ NUNES DA SILVA (AGUIARNOPOLIS)</v>
      </c>
      <c r="D390" s="165" t="str">
        <f ca="1">IFERROR(__xludf.DUMMYFUNCTION("""COMPUTED_VALUE"""),"01213519000110")</f>
        <v>01213519000110</v>
      </c>
      <c r="E390" s="7" t="str">
        <f ca="1">IFERROR(__xludf.DUMMYFUNCTION("""COMPUTED_VALUE"""),"001")</f>
        <v>001</v>
      </c>
      <c r="F390" s="8" t="str">
        <f ca="1">IFERROR(__xludf.DUMMYFUNCTION("""COMPUTED_VALUE"""),"0810")</f>
        <v>0810</v>
      </c>
      <c r="G390" s="8" t="str">
        <f ca="1">IFERROR(__xludf.DUMMYFUNCTION("""COMPUTED_VALUE"""),"217727")</f>
        <v>217727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IFERROR(__xludf.DUMMYFUNCTION("""COMPUTED_VALUE"""),1610)</f>
        <v>1610</v>
      </c>
      <c r="K390" s="8">
        <f ca="1">IFERROR(__xludf.DUMMYFUNCTION("""COMPUTED_VALUE"""),2520.79999999999)</f>
        <v>2520.7999999999902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IFERROR(__xludf.DUMMYFUNCTION("""COMPUTED_VALUE"""),0)</f>
        <v>0</v>
      </c>
      <c r="Q390" s="8">
        <f ca="1">IFERROR(__xludf.DUMMYFUNCTION("""COMPUTED_VALUE"""),690)</f>
        <v>690</v>
      </c>
      <c r="R390" s="8">
        <f ca="1">IFERROR(__xludf.DUMMYFUNCTION("""COMPUTED_VALUE"""),0)</f>
        <v>0</v>
      </c>
      <c r="S390" s="8">
        <f ca="1">IFERROR(__xludf.DUMMYFUNCTION("""COMPUTED_VALUE"""),11212.8)</f>
        <v>11212.8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1" t="str">
        <f ca="1">IFERROR(__xludf.DUMMYFUNCTION("""COMPUTED_VALUE"""),"ASSOCIAÇÃO DE APOIO DO COL. EST. DULCE COELHO DE SOUSA")</f>
        <v>ASSOCIAÇÃO DE APOIO DO COL. EST. DULCE COELHO DE SOUSA</v>
      </c>
      <c r="D391" s="165" t="str">
        <f ca="1">IFERROR(__xludf.DUMMYFUNCTION("""COMPUTED_VALUE"""),"10800992000195")</f>
        <v>10800992000195</v>
      </c>
      <c r="E391" s="7" t="str">
        <f ca="1">IFERROR(__xludf.DUMMYFUNCTION("""COMPUTED_VALUE"""),"001")</f>
        <v>001</v>
      </c>
      <c r="F391" s="8" t="str">
        <f ca="1">IFERROR(__xludf.DUMMYFUNCTION("""COMPUTED_VALUE"""),"3973")</f>
        <v>3973</v>
      </c>
      <c r="G391" s="8" t="str">
        <f ca="1">IFERROR(__xludf.DUMMYFUNCTION("""COMPUTED_VALUE"""),"212792")</f>
        <v>212792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IFERROR(__xludf.DUMMYFUNCTION("""COMPUTED_VALUE"""),2090)</f>
        <v>2090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IFERROR(__xludf.DUMMYFUNCTION("""COMPUTED_VALUE"""),231.2)</f>
        <v>231.2</v>
      </c>
      <c r="Q391" s="8">
        <f ca="1">IFERROR(__xludf.DUMMYFUNCTION("""COMPUTED_VALUE"""),1390)</f>
        <v>1390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IFERROR(__xludf.DUMMYFUNCTION("""COMPUTED_VALUE"""),0)</f>
        <v>0</v>
      </c>
      <c r="U391" s="62"/>
      <c r="V391" s="62"/>
      <c r="W391" s="62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1" t="str">
        <f ca="1">IFERROR(__xludf.DUMMYFUNCTION("""COMPUTED_VALUE"""),"A.A. E. EST. NOVA DA CACHOEIRINHA/RAIMUNDO NONATO TORRES")</f>
        <v>A.A. E. EST. NOVA DA CACHOEIRINHA/RAIMUNDO NONATO TORRES</v>
      </c>
      <c r="D392" s="165" t="str">
        <f ca="1">IFERROR(__xludf.DUMMYFUNCTION("""COMPUTED_VALUE"""),"01213535000103")</f>
        <v>01213535000103</v>
      </c>
      <c r="E392" s="7" t="str">
        <f ca="1">IFERROR(__xludf.DUMMYFUNCTION("""COMPUTED_VALUE"""),"001")</f>
        <v>001</v>
      </c>
      <c r="F392" s="8" t="str">
        <f ca="1">IFERROR(__xludf.DUMMYFUNCTION("""COMPUTED_VALUE"""),"0810")</f>
        <v>0810</v>
      </c>
      <c r="G392" s="8" t="str">
        <f ca="1">IFERROR(__xludf.DUMMYFUNCTION("""COMPUTED_VALUE"""),"0217689")</f>
        <v>0217689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IFERROR(__xludf.DUMMYFUNCTION("""COMPUTED_VALUE"""),1230)</f>
        <v>1230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IFERROR(__xludf.DUMMYFUNCTION("""COMPUTED_VALUE"""),149.6)</f>
        <v>149.6</v>
      </c>
      <c r="Q392" s="8">
        <f ca="1">IFERROR(__xludf.DUMMYFUNCTION("""COMPUTED_VALUE"""),960)</f>
        <v>960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1" t="str">
        <f ca="1">IFERROR(__xludf.DUMMYFUNCTION("""COMPUTED_VALUE"""),"A. APOIO COL. EST. JOSE DE SOUZA PORTO")</f>
        <v>A. APOIO COL. EST. JOSE DE SOUZA PORTO</v>
      </c>
      <c r="D393" s="165" t="str">
        <f ca="1">IFERROR(__xludf.DUMMYFUNCTION("""COMPUTED_VALUE"""),"01213532000170")</f>
        <v>01213532000170</v>
      </c>
      <c r="E393" s="7" t="str">
        <f ca="1">IFERROR(__xludf.DUMMYFUNCTION("""COMPUTED_VALUE"""),"001")</f>
        <v>001</v>
      </c>
      <c r="F393" s="8" t="str">
        <f ca="1">IFERROR(__xludf.DUMMYFUNCTION("""COMPUTED_VALUE"""),"0810")</f>
        <v>0810</v>
      </c>
      <c r="G393" s="8" t="str">
        <f ca="1">IFERROR(__xludf.DUMMYFUNCTION("""COMPUTED_VALUE"""),"25739")</f>
        <v>25739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IFERROR(__xludf.DUMMYFUNCTION("""COMPUTED_VALUE"""),5010)</f>
        <v>5010</v>
      </c>
      <c r="K393" s="8">
        <f ca="1">IFERROR(__xludf.DUMMYFUNCTION("""COMPUTED_VALUE"""),0)</f>
        <v>0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IFERROR(__xludf.DUMMYFUNCTION("""COMPUTED_VALUE"""),340)</f>
        <v>340</v>
      </c>
      <c r="Q393" s="8">
        <f ca="1">IFERROR(__xludf.DUMMYFUNCTION("""COMPUTED_VALUE"""),2790)</f>
        <v>2790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IFERROR(__xludf.DUMMYFUNCTION("""COMPUTED_VALUE"""),0)</f>
        <v>0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1" t="str">
        <f ca="1">IFERROR(__xludf.DUMMYFUNCTION("""COMPUTED_VALUE"""),"ASS. DE APOIO ESC. EST. OLAVO BILAC")</f>
        <v>ASS. DE APOIO ESC. EST. OLAVO BILAC</v>
      </c>
      <c r="D394" s="165" t="str">
        <f ca="1">IFERROR(__xludf.DUMMYFUNCTION("""COMPUTED_VALUE"""),"01358337000138")</f>
        <v>01358337000138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IFERROR(__xludf.DUMMYFUNCTION("""COMPUTED_VALUE"""),"218391")</f>
        <v>218391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IFERROR(__xludf.DUMMYFUNCTION("""COMPUTED_VALUE"""),610)</f>
        <v>610</v>
      </c>
      <c r="K394" s="8">
        <f ca="1">IFERROR(__xludf.DUMMYFUNCTION("""COMPUTED_VALUE"""),0)</f>
        <v>0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IFERROR(__xludf.DUMMYFUNCTION("""COMPUTED_VALUE"""),2120)</f>
        <v>2120</v>
      </c>
      <c r="R394" s="8">
        <f ca="1">IFERROR(__xludf.DUMMYFUNCTION("""COMPUTED_VALUE"""),0)</f>
        <v>0</v>
      </c>
      <c r="S394" s="8">
        <f ca="1">IFERROR(__xludf.DUMMYFUNCTION("""COMPUTED_VALUE"""),0)</f>
        <v>0</v>
      </c>
      <c r="T394" s="8">
        <f ca="1">IFERROR(__xludf.DUMMYFUNCTION("""COMPUTED_VALUE"""),131.2)</f>
        <v>131.19999999999999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1" t="str">
        <f ca="1">IFERROR(__xludf.DUMMYFUNCTION("""COMPUTED_VALUE"""),"ASS. AP.A ESC. EST. JUSCELINO K.DE OLIVEIRA")</f>
        <v>ASS. AP.A ESC. EST. JUSCELINO K.DE OLIVEIRA</v>
      </c>
      <c r="D395" s="165" t="str">
        <f ca="1">IFERROR(__xludf.DUMMYFUNCTION("""COMPUTED_VALUE"""),"01230232000107")</f>
        <v>01230232000107</v>
      </c>
      <c r="E395" s="7" t="str">
        <f ca="1">IFERROR(__xludf.DUMMYFUNCTION("""COMPUTED_VALUE"""),"001")</f>
        <v>001</v>
      </c>
      <c r="F395" s="8" t="str">
        <f ca="1">IFERROR(__xludf.DUMMYFUNCTION("""COMPUTED_VALUE"""),"0810")</f>
        <v>0810</v>
      </c>
      <c r="G395" s="8" t="str">
        <f ca="1">IFERROR(__xludf.DUMMYFUNCTION("""COMPUTED_VALUE"""),"022135X")</f>
        <v>022135X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IFERROR(__xludf.DUMMYFUNCTION("""COMPUTED_VALUE"""),2370)</f>
        <v>2370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IFERROR(__xludf.DUMMYFUNCTION("""COMPUTED_VALUE"""),0)</f>
        <v>0</v>
      </c>
      <c r="Q395" s="8">
        <f ca="1">IFERROR(__xludf.DUMMYFUNCTION("""COMPUTED_VALUE"""),1720)</f>
        <v>1720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1" t="str">
        <f ca="1">IFERROR(__xludf.DUMMYFUNCTION("""COMPUTED_VALUE"""),"A.A.  DA ESC. EST.PEDRO LUDOVICO TEIXEIRA")</f>
        <v>A.A.  DA ESC. EST.PEDRO LUDOVICO TEIXEIRA</v>
      </c>
      <c r="D396" s="165" t="str">
        <f ca="1">IFERROR(__xludf.DUMMYFUNCTION("""COMPUTED_VALUE"""),"01213528000101")</f>
        <v>01213528000101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IFERROR(__xludf.DUMMYFUNCTION("""COMPUTED_VALUE"""),"0217670")</f>
        <v>0217670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IFERROR(__xludf.DUMMYFUNCTION("""COMPUTED_VALUE"""),590)</f>
        <v>590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IFERROR(__xludf.DUMMYFUNCTION("""COMPUTED_VALUE"""),0)</f>
        <v>0</v>
      </c>
      <c r="Q396" s="8">
        <f ca="1">IFERROR(__xludf.DUMMYFUNCTION("""COMPUTED_VALUE"""),1560)</f>
        <v>1560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1" t="str">
        <f ca="1">IFERROR(__xludf.DUMMYFUNCTION("""COMPUTED_VALUE"""),"A.DO COLEGIO EST.PRES.CASTELO BRANCO")</f>
        <v>A.DO COLEGIO EST.PRES.CASTELO BRANCO</v>
      </c>
      <c r="D397" s="165" t="str">
        <f ca="1">IFERROR(__xludf.DUMMYFUNCTION("""COMPUTED_VALUE"""),"01213522000134")</f>
        <v>01213522000134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IFERROR(__xludf.DUMMYFUNCTION("""COMPUTED_VALUE"""),"217859")</f>
        <v>217859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IFERROR(__xludf.DUMMYFUNCTION("""COMPUTED_VALUE"""),2060)</f>
        <v>2060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IFERROR(__xludf.DUMMYFUNCTION("""COMPUTED_VALUE"""),285.599999999999)</f>
        <v>285.599999999999</v>
      </c>
      <c r="Q397" s="8">
        <f ca="1">IFERROR(__xludf.DUMMYFUNCTION("""COMPUTED_VALUE"""),960)</f>
        <v>960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1" t="str">
        <f ca="1">IFERROR(__xludf.DUMMYFUNCTION("""COMPUTED_VALUE"""),"ASSOC. DE APOIO A ESC. EST.ESPECIAL BEM VIVER")</f>
        <v>ASSOC. DE APOIO A ESC. EST.ESPECIAL BEM VIVER</v>
      </c>
      <c r="D398" s="165" t="str">
        <f ca="1">IFERROR(__xludf.DUMMYFUNCTION("""COMPUTED_VALUE"""),"10520927000106")</f>
        <v>10520927000106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IFERROR(__xludf.DUMMYFUNCTION("""COMPUTED_VALUE"""),"200336")</f>
        <v>200336</v>
      </c>
      <c r="H398" s="8">
        <f ca="1">IFERROR(__xludf.DUMMYFUNCTION("""COMPUTED_VALUE"""),0)</f>
        <v>0</v>
      </c>
      <c r="I398" s="8">
        <f ca="1">IFERROR(__xludf.DUMMYFUNCTION("""COMPUTED_VALUE"""),100.8)</f>
        <v>100.8</v>
      </c>
      <c r="J398" s="8">
        <f ca="1">IFERROR(__xludf.DUMMYFUNCTION("""COMPUTED_VALUE"""),190)</f>
        <v>190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IFERROR(__xludf.DUMMYFUNCTION("""COMPUTED_VALUE"""),13.6)</f>
        <v>13.6</v>
      </c>
      <c r="Q398" s="8">
        <f ca="1">IFERROR(__xludf.DUMMYFUNCTION("""COMPUTED_VALUE"""),0)</f>
        <v>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IFERROR(__xludf.DUMMYFUNCTION("""COMPUTED_VALUE"""),459.199999999999)</f>
        <v>459.19999999999902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1" t="str">
        <f ca="1">IFERROR(__xludf.DUMMYFUNCTION("""COMPUTED_VALUE"""),"A.A. ESC. EST. DOM CORNELIO CHIZZINI")</f>
        <v>A.A. ESC. EST. DOM CORNELIO CHIZZINI</v>
      </c>
      <c r="D399" s="165" t="str">
        <f ca="1">IFERROR(__xludf.DUMMYFUNCTION("""COMPUTED_VALUE"""),"01230233000143")</f>
        <v>01230233000143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IFERROR(__xludf.DUMMYFUNCTION("""COMPUTED_VALUE"""),"21776X")</f>
        <v>21776X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IFERROR(__xludf.DUMMYFUNCTION("""COMPUTED_VALUE"""),690)</f>
        <v>690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IFERROR(__xludf.DUMMYFUNCTION("""COMPUTED_VALUE"""),540)</f>
        <v>540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1" t="str">
        <f ca="1">IFERROR(__xludf.DUMMYFUNCTION("""COMPUTED_VALUE"""),"A.A.  DA ESCOLA ESTADUAL PIACAVA")</f>
        <v>A.A.  DA ESCOLA ESTADUAL PIACAVA</v>
      </c>
      <c r="D400" s="165" t="str">
        <f ca="1">IFERROR(__xludf.DUMMYFUNCTION("""COMPUTED_VALUE"""),"01230239000110")</f>
        <v>01230239000110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IFERROR(__xludf.DUMMYFUNCTION("""COMPUTED_VALUE"""),"217883")</f>
        <v>217883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IFERROR(__xludf.DUMMYFUNCTION("""COMPUTED_VALUE"""),460)</f>
        <v>460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IFERROR(__xludf.DUMMYFUNCTION("""COMPUTED_VALUE"""),270)</f>
        <v>270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IFERROR(__xludf.DUMMYFUNCTION("""COMPUTED_VALUE"""),229.599999999999)</f>
        <v>229.599999999999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1" t="str">
        <f ca="1">IFERROR(__xludf.DUMMYFUNCTION("""COMPUTED_VALUE"""),"A.A. ESC. EST. RAIMUNDO NEIVA DE CARVALHO")</f>
        <v>A.A. ESC. EST. RAIMUNDO NEIVA DE CARVALHO</v>
      </c>
      <c r="D401" s="165" t="str">
        <f ca="1">IFERROR(__xludf.DUMMYFUNCTION("""COMPUTED_VALUE"""),"01213533000114")</f>
        <v>01213533000114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IFERROR(__xludf.DUMMYFUNCTION("""COMPUTED_VALUE"""),"0027529")</f>
        <v>0027529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IFERROR(__xludf.DUMMYFUNCTION("""COMPUTED_VALUE"""),2300)</f>
        <v>2300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IFERROR(__xludf.DUMMYFUNCTION("""COMPUTED_VALUE"""),0)</f>
        <v>0</v>
      </c>
      <c r="Q401" s="8">
        <f ca="1">IFERROR(__xludf.DUMMYFUNCTION("""COMPUTED_VALUE"""),2470)</f>
        <v>2470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1" t="str">
        <f ca="1">IFERROR(__xludf.DUMMYFUNCTION("""COMPUTED_VALUE"""),"A. DE APOIO DA E. E. PE. CESARE LELLI")</f>
        <v>A. DE APOIO DA E. E. PE. CESARE LELLI</v>
      </c>
      <c r="D402" s="165" t="str">
        <f ca="1">IFERROR(__xludf.DUMMYFUNCTION("""COMPUTED_VALUE"""),"03778873000118")</f>
        <v>03778873000118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IFERROR(__xludf.DUMMYFUNCTION("""COMPUTED_VALUE"""),"82007")</f>
        <v>82007</v>
      </c>
      <c r="H402" s="8">
        <f ca="1">IFERROR(__xludf.DUMMYFUNCTION("""COMPUTED_VALUE"""),0)</f>
        <v>0</v>
      </c>
      <c r="I402" s="8">
        <f ca="1">IFERROR(__xludf.DUMMYFUNCTION("""COMPUTED_VALUE"""),0)</f>
        <v>0</v>
      </c>
      <c r="J402" s="8">
        <f ca="1">IFERROR(__xludf.DUMMYFUNCTION("""COMPUTED_VALUE"""),2030)</f>
        <v>2030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IFERROR(__xludf.DUMMYFUNCTION("""COMPUTED_VALUE"""),312.8)</f>
        <v>312.8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IFERROR(__xludf.DUMMYFUNCTION("""COMPUTED_VALUE"""),0)</f>
        <v>0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1" t="str">
        <f ca="1">IFERROR(__xludf.DUMMYFUNCTION("""COMPUTED_VALUE"""),"ASS. A. ESC. EST. DR JOSE FELICIANO FERREIRA")</f>
        <v>ASS. A. ESC. EST. DR JOSE FELICIANO FERREIRA</v>
      </c>
      <c r="D403" s="165" t="str">
        <f ca="1">IFERROR(__xludf.DUMMYFUNCTION("""COMPUTED_VALUE"""),"01077441000154")</f>
        <v>01077441000154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IFERROR(__xludf.DUMMYFUNCTION("""COMPUTED_VALUE"""),"0026085")</f>
        <v>0026085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IFERROR(__xludf.DUMMYFUNCTION("""COMPUTED_VALUE"""),620)</f>
        <v>620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IFERROR(__xludf.DUMMYFUNCTION("""COMPUTED_VALUE"""),920)</f>
        <v>920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1" t="str">
        <f ca="1">IFERROR(__xludf.DUMMYFUNCTION("""COMPUTED_VALUE"""),"A.A ESC. EST.INDIGENAS NRE TOCANTINOPOLIS")</f>
        <v>A.A ESC. EST.INDIGENAS NRE TOCANTINOPOLIS</v>
      </c>
      <c r="D404" s="165" t="str">
        <f ca="1">IFERROR(__xludf.DUMMYFUNCTION("""COMPUTED_VALUE"""),"06171083000168")</f>
        <v>06171083000168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IFERROR(__xludf.DUMMYFUNCTION("""COMPUTED_VALUE"""),"140538")</f>
        <v>140538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IFERROR(__xludf.DUMMYFUNCTION("""COMPUTED_VALUE"""),0)</f>
        <v>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IFERROR(__xludf.DUMMYFUNCTION("""COMPUTED_VALUE"""),9649.19999999999)</f>
        <v>9649.1999999999898</v>
      </c>
      <c r="P404" s="8">
        <f ca="1">IFERROR(__xludf.DUMMYFUNCTION("""COMPUTED_VALUE"""),0)</f>
        <v>0</v>
      </c>
      <c r="Q404" s="8">
        <f ca="1">IFERROR(__xludf.DUMMYFUNCTION("""COMPUTED_VALUE"""),0)</f>
        <v>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IFERROR(__xludf.DUMMYFUNCTION("""COMPUTED_VALUE"""),0)</f>
        <v>0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1" t="str">
        <f ca="1">IFERROR(__xludf.DUMMYFUNCTION("""COMPUTED_VALUE"""),"A.A. AS ESC. EST.INDIGENAS MATYK E APORO")</f>
        <v>A.A. AS ESC. EST.INDIGENAS MATYK E APORO</v>
      </c>
      <c r="D405" s="165" t="str">
        <f ca="1">IFERROR(__xludf.DUMMYFUNCTION("""COMPUTED_VALUE"""),"03544096000147")</f>
        <v>03544096000147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IFERROR(__xludf.DUMMYFUNCTION("""COMPUTED_VALUE"""),"67423")</f>
        <v>67423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IFERROR(__xludf.DUMMYFUNCTION("""COMPUTED_VALUE"""),0)</f>
        <v>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IFERROR(__xludf.DUMMYFUNCTION("""COMPUTED_VALUE"""),11764.8)</f>
        <v>11764.8</v>
      </c>
      <c r="P405" s="8">
        <f ca="1">IFERROR(__xludf.DUMMYFUNCTION("""COMPUTED_VALUE"""),0)</f>
        <v>0</v>
      </c>
      <c r="Q405" s="8">
        <f ca="1">IFERROR(__xludf.DUMMYFUNCTION("""COMPUTED_VALUE"""),0)</f>
        <v>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1" t="str">
        <f ca="1">IFERROR(__xludf.DUMMYFUNCTION("""COMPUTED_VALUE"""),"ASSOC.PAIS E MESTRES COL. EST. DEP.DARCY MARINHO")</f>
        <v>ASSOC.PAIS E MESTRES COL. EST. DEP.DARCY MARINHO</v>
      </c>
      <c r="D406" s="165" t="str">
        <f ca="1">IFERROR(__xludf.DUMMYFUNCTION("""COMPUTED_VALUE"""),"01230236000187")</f>
        <v>01230236000187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IFERROR(__xludf.DUMMYFUNCTION("""COMPUTED_VALUE"""),"297410")</f>
        <v>297410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IFERROR(__xludf.DUMMYFUNCTION("""COMPUTED_VALUE"""),0)</f>
        <v>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IFERROR(__xludf.DUMMYFUNCTION("""COMPUTED_VALUE"""),299.2)</f>
        <v>299.2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IFERROR(__xludf.DUMMYFUNCTION("""COMPUTED_VALUE"""),8857.6)</f>
        <v>8857.6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1" t="str">
        <f ca="1">IFERROR(__xludf.DUMMYFUNCTION("""COMPUTED_VALUE"""),"ASSOC. APOIO AO COLÉGIODOM ORIONE")</f>
        <v>ASSOC. APOIO AO COLÉGIODOM ORIONE</v>
      </c>
      <c r="D407" s="165" t="str">
        <f ca="1">IFERROR(__xludf.DUMMYFUNCTION("""COMPUTED_VALUE"""),"13033002000129")</f>
        <v>13033002000129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IFERROR(__xludf.DUMMYFUNCTION("""COMPUTED_VALUE"""),"254193")</f>
        <v>254193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IFERROR(__xludf.DUMMYFUNCTION("""COMPUTED_VALUE"""),1880)</f>
        <v>1880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IFERROR(__xludf.DUMMYFUNCTION("""COMPUTED_VALUE"""),353.599999999999)</f>
        <v>353.599999999999</v>
      </c>
      <c r="Q407" s="8">
        <f ca="1">IFERROR(__xludf.DUMMYFUNCTION("""COMPUTED_VALUE"""),4010)</f>
        <v>4010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IFERROR(__xludf.DUMMYFUNCTION("""COMPUTED_VALUE"""),"A.A. DO COL.PADRAO/JOSÉ CARNEIRO DE BRITO")</f>
        <v>A.A. DO COL.PADRAO/JOSÉ CARNEIRO DE BRITO</v>
      </c>
      <c r="D408" s="165" t="str">
        <f ca="1">IFERROR(__xludf.DUMMYFUNCTION("""COMPUTED_VALUE"""),"03880040000163")</f>
        <v>03880040000163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IFERROR(__xludf.DUMMYFUNCTION("""COMPUTED_VALUE"""),"81884")</f>
        <v>81884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IFERROR(__xludf.DUMMYFUNCTION("""COMPUTED_VALUE"""),1750)</f>
        <v>1750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IFERROR(__xludf.DUMMYFUNCTION("""COMPUTED_VALUE"""),0)</f>
        <v>0</v>
      </c>
      <c r="P408" s="8">
        <f ca="1">IFERROR(__xludf.DUMMYFUNCTION("""COMPUTED_VALUE"""),244.799999999999)</f>
        <v>244.79999999999899</v>
      </c>
      <c r="Q408" s="8">
        <f ca="1">IFERROR(__xludf.DUMMYFUNCTION("""COMPUTED_VALUE"""),2440)</f>
        <v>2440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IFERROR(__xludf.DUMMYFUNCTION("""COMPUTED_VALUE"""),762.599999999999)</f>
        <v>762.599999999999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IFERROR(__xludf.DUMMYFUNCTION("""COMPUTED_VALUE"""),"ASSOCIAÇÃO DE APOIO A ESCOLA ESPECIAL UM PASSO DIFERENTE -APAE")</f>
        <v>ASSOCIAÇÃO DE APOIO A ESCOLA ESPECIAL UM PASSO DIFERENTE -APAE</v>
      </c>
      <c r="D409" s="165" t="str">
        <f ca="1">IFERROR(__xludf.DUMMYFUNCTION("""COMPUTED_VALUE"""),"08012610000117")</f>
        <v>08012610000117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IFERROR(__xludf.DUMMYFUNCTION("""COMPUTED_VALUE"""),"204250")</f>
        <v>204250</v>
      </c>
      <c r="H409" s="8">
        <f ca="1">IFERROR(__xludf.DUMMYFUNCTION("""COMPUTED_VALUE"""),0)</f>
        <v>0</v>
      </c>
      <c r="I409" s="8">
        <f ca="1">IFERROR(__xludf.DUMMYFUNCTION("""COMPUTED_VALUE"""),57.6)</f>
        <v>57.6</v>
      </c>
      <c r="J409" s="8">
        <f ca="1">IFERROR(__xludf.DUMMYFUNCTION("""COMPUTED_VALUE"""),90)</f>
        <v>90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IFERROR(__xludf.DUMMYFUNCTION("""COMPUTED_VALUE"""),0)</f>
        <v>0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IFERROR(__xludf.DUMMYFUNCTION("""COMPUTED_VALUE"""),688.8)</f>
        <v>688.8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IFERROR(__xludf.DUMMYFUNCTION("""COMPUTED_VALUE"""),"A.A. ESC. E. E.PROF.ALDENORA A.CORREIA")</f>
        <v>A.A. ESC. E. E.PROF.ALDENORA A.CORREIA</v>
      </c>
      <c r="D410" s="165" t="str">
        <f ca="1">IFERROR(__xludf.DUMMYFUNCTION("""COMPUTED_VALUE"""),"01213527000167")</f>
        <v>01213527000167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IFERROR(__xludf.DUMMYFUNCTION("""COMPUTED_VALUE"""),"58319")</f>
        <v>58319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IFERROR(__xludf.DUMMYFUNCTION("""COMPUTED_VALUE"""),3014)</f>
        <v>3014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IFERROR(__xludf.DUMMYFUNCTION("""COMPUTED_VALUE"""),108.8)</f>
        <v>108.8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IFERROR(__xludf.DUMMYFUNCTION("""COMPUTED_VALUE"""),0)</f>
        <v>0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IFERROR(__xludf.DUMMYFUNCTION("""COMPUTED_VALUE"""),"A. PAIS DA ESC. EST. XV DE NOVEMBRO")</f>
        <v>A. PAIS DA ESC. EST. XV DE NOVEMBRO</v>
      </c>
      <c r="D411" s="165" t="str">
        <f ca="1">IFERROR(__xludf.DUMMYFUNCTION("""COMPUTED_VALUE"""),"01213520000145")</f>
        <v>01213520000145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IFERROR(__xludf.DUMMYFUNCTION("""COMPUTED_VALUE"""),"58238")</f>
        <v>58238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IFERROR(__xludf.DUMMYFUNCTION("""COMPUTED_VALUE"""),0)</f>
        <v>0</v>
      </c>
      <c r="K411" s="8">
        <f ca="1">IFERROR(__xludf.DUMMYFUNCTION("""COMPUTED_VALUE"""),4767.59999999999)</f>
        <v>4767.5999999999904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IFERROR(__xludf.DUMMYFUNCTION("""COMPUTED_VALUE"""),285.599999999999)</f>
        <v>285.599999999999</v>
      </c>
      <c r="Q411" s="8">
        <f ca="1">IFERROR(__xludf.DUMMYFUNCTION("""COMPUTED_VALUE"""),0)</f>
        <v>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 ESCOLAR COM. PE. GIULIANO MORETTI")</f>
        <v>A. ESCOLAR COM. PE. GIULIANO MORETTI</v>
      </c>
      <c r="D412" s="165" t="str">
        <f ca="1">IFERROR(__xludf.DUMMYFUNCTION("""COMPUTED_VALUE"""),"00900202000190")</f>
        <v>00900202000190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IFERROR(__xludf.DUMMYFUNCTION("""COMPUTED_VALUE"""),"217484")</f>
        <v>217484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IFERROR(__xludf.DUMMYFUNCTION("""COMPUTED_VALUE"""),1440)</f>
        <v>1440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IFERROR(__xludf.DUMMYFUNCTION("""COMPUTED_VALUE"""),448.8)</f>
        <v>448.8</v>
      </c>
      <c r="Q412" s="8">
        <f ca="1">IFERROR(__xludf.DUMMYFUNCTION("""COMPUTED_VALUE"""),0)</f>
        <v>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IFERROR(__xludf.DUMMYFUNCTION("""COMPUTED_VALUE"""),401.799999999999)</f>
        <v>401.79999999999899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IFERROR(__xludf.DUMMYFUNCTION("""COMPUTED_VALUE"""),"A. DA ESCOLA PAROQUIAL CRISTO REI")</f>
        <v>A. DA ESCOLA PAROQUIAL CRISTO REI</v>
      </c>
      <c r="D413" s="171" t="str">
        <f ca="1">IFERROR(__xludf.DUMMYFUNCTION("""COMPUTED_VALUE"""),"02026329000157")</f>
        <v>02026329000157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IFERROR(__xludf.DUMMYFUNCTION("""COMPUTED_VALUE"""),"58149")</f>
        <v>58149</v>
      </c>
      <c r="H413" s="8">
        <f ca="1">IFERROR(__xludf.DUMMYFUNCTION("""COMPUTED_VALUE"""),0)</f>
        <v>0</v>
      </c>
      <c r="I413" s="8">
        <f ca="1">IFERROR(__xludf.DUMMYFUNCTION("""COMPUTED_VALUE"""),0)</f>
        <v>0</v>
      </c>
      <c r="J413" s="8">
        <f ca="1">IFERROR(__xludf.DUMMYFUNCTION("""COMPUTED_VALUE"""),4440)</f>
        <v>4440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IFERROR(__xludf.DUMMYFUNCTION("""COMPUTED_VALUE"""),394.4)</f>
        <v>394.4</v>
      </c>
      <c r="Q413" s="8">
        <f ca="1">IFERROR(__xludf.DUMMYFUNCTION("""COMPUTED_VALUE"""),680)</f>
        <v>680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IFERROR(__xludf.DUMMYFUNCTION("""COMPUTED_VALUE"""),0)</f>
        <v>0</v>
      </c>
      <c r="U413" s="62"/>
      <c r="V413" s="62"/>
      <c r="W413" s="62"/>
    </row>
    <row r="414" spans="1:23" ht="12.75">
      <c r="C414" s="61"/>
      <c r="D414" s="165"/>
      <c r="E414" s="7"/>
      <c r="F414" s="8"/>
      <c r="G414" s="8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62"/>
      <c r="V414" s="62"/>
      <c r="W414" s="62"/>
    </row>
    <row r="415" spans="1:23" ht="12.75">
      <c r="C415" s="61"/>
      <c r="D415" s="165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62"/>
      <c r="V415" s="62"/>
      <c r="W415" s="62"/>
    </row>
    <row r="416" spans="1:23" ht="12.75">
      <c r="C416" s="61"/>
      <c r="D416" s="165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62"/>
      <c r="V416" s="62"/>
      <c r="W416" s="62"/>
    </row>
    <row r="417" spans="3:23" ht="12.75">
      <c r="C417" s="61"/>
      <c r="D417" s="165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62"/>
      <c r="V417" s="62"/>
      <c r="W417" s="62"/>
    </row>
    <row r="418" spans="3:23" ht="12.75">
      <c r="D418" s="165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3:23" ht="12.75">
      <c r="D419" s="165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3:23" ht="12.75">
      <c r="D420" s="165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3:23" ht="12.75">
      <c r="D421" s="165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3:23" ht="12.75">
      <c r="D422" s="165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3:23" ht="12.75">
      <c r="D423" s="165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3:23" ht="12.75">
      <c r="D424" s="165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3:23" ht="12.75">
      <c r="D425" s="165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3:23" ht="12.75">
      <c r="D426" s="165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3:23" ht="12.75">
      <c r="D427" s="165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3:23" ht="12.75">
      <c r="D428" s="165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3:23" ht="12.75">
      <c r="D429" s="165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3:23" ht="12.75">
      <c r="D430" s="165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3:23" ht="12.75">
      <c r="D431" s="165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3:23" ht="12.75">
      <c r="D432" s="165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65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65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65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65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65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65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65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65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65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65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65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65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65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65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65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65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65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65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65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65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65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65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65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65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65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65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65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65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65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65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65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65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65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65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65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65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65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65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65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65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65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65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65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65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65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65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65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65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65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65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65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65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65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65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65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65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65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65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65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65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65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65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65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65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65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65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65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65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65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65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65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65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65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65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65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65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65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65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65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65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65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65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65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65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65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65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65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65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65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65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65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65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65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65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65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65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65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65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65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65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65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65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65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65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65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65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65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65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65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65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65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65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65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65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65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65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65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65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65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65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65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65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65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65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65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65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65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65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65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65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65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65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65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65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65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65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65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65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65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65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65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65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65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65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65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65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65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65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65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65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65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65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65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65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65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65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65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65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65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65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65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65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65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65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65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65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65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65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65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65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65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65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65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65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65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65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65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65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65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65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65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65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65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65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65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65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65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65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65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65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65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65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65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65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65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65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65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65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65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65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65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65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65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65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65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65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65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65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65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65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65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65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65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65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65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65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65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65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65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65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65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65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65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65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65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65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65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65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65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65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65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65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65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65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65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65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65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65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65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65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65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65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65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65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65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65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65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65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65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65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65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65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65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65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65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65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65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65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65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65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65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65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65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65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65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65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65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65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65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65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65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65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65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65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65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65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65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65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65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65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65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65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65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65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65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65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65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65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65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65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65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65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65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65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65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65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65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65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65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65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65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65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65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65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65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65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65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65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65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65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65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65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65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65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65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65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65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65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65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65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65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65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65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65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65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65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65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65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65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65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65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65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65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65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65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65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65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65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65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65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65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65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65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65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65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65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65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65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65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65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65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65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65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65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65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65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65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65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65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65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65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65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65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65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65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65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65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65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65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65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65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65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65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65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65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65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65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65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65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65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65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65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65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65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65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65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65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65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65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65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65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65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65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65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65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65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65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65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65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65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65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65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65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65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65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65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65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65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65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65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65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65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65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65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65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65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65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65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65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65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65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65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65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65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65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65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65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65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65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65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65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65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65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65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65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65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65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65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65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65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65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65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65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65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65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65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65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65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65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65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65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65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65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65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65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65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65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65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65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65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65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65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65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65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65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65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65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65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65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65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65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65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65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65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65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65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65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65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65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65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65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3" t="str">
        <f ca="1">IFERROR(__xludf.DUMMYFUNCTION("QUERY(BDADOS!A5:AE1000,""select B,C,D,M,AE,M * "" &amp; K1 &amp; "" where B='Arraias' order by B,C"",1)"),"")</f>
        <v/>
      </c>
      <c r="B1" s="323" t="str">
        <f ca="1">IFERROR(__xludf.DUMMYFUNCTION("""COMPUTED_VALUE"""),"")</f>
        <v/>
      </c>
      <c r="C1" s="323" t="str">
        <f ca="1">IFERROR(__xludf.DUMMYFUNCTION("""COMPUTED_VALUE"""),"")</f>
        <v/>
      </c>
      <c r="D1" s="323" t="str">
        <f ca="1">IFERROR(__xludf.DUMMYFUNCTION("""COMPUTED_VALUE"""),"")</f>
        <v/>
      </c>
      <c r="E1" s="323" t="str">
        <f ca="1">IFERROR(__xludf.DUMMYFUNCTION("""COMPUTED_VALUE"""),"")</f>
        <v/>
      </c>
      <c r="F1" s="323" t="str">
        <f ca="1">IFERROR(__xludf.DUMMYFUNCTION("""COMPUTED_VALUE"""),"product(0.5())")</f>
        <v>product(0.5())</v>
      </c>
      <c r="G1" s="323"/>
      <c r="J1" s="324" t="s">
        <v>148</v>
      </c>
      <c r="K1" s="324" t="str">
        <f>REPLACE(L1,2,1,".")</f>
        <v>0.5</v>
      </c>
      <c r="L1" s="321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43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43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43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5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43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5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43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6" t="str">
        <f ca="1">IFERROR(__xludf.DUMMYFUNCTION("""COMPUTED_VALUE"""),"Arraias")</f>
        <v>Arraias</v>
      </c>
      <c r="C7" s="166" t="str">
        <f ca="1">IFERROR(__xludf.DUMMYFUNCTION("""COMPUTED_VALUE"""),"A.A. ESCOLAR DA ESC. EST. SILVA DOURADO")</f>
        <v>A.A. ESCOLAR DA ESC. EST. SILVA DOURADO</v>
      </c>
      <c r="D7" s="325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6" t="s">
        <v>43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6" t="str">
        <f ca="1">IFERROR(__xludf.DUMMYFUNCTION("""COMPUTED_VALUE"""),"Aurora do Tocantins")</f>
        <v>Aurora do Tocantins</v>
      </c>
      <c r="C8" s="166" t="str">
        <f ca="1">IFERROR(__xludf.DUMMYFUNCTION("""COMPUTED_VALUE"""),"A.A. A ESCOLA/COL. EST.PROF. RANULFA")</f>
        <v>A.A. A ESCOLA/COL. EST.PROF. RANULFA</v>
      </c>
      <c r="D8" s="325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6" t="s">
        <v>45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6" t="str">
        <f ca="1">IFERROR(__xludf.DUMMYFUNCTION("""COMPUTED_VALUE"""),"Aurora do Tocantins")</f>
        <v>Aurora do Tocantins</v>
      </c>
      <c r="C9" s="166" t="str">
        <f ca="1">IFERROR(__xludf.DUMMYFUNCTION("""COMPUTED_VALUE"""),"ASS. APOIO ESCOLA ESTADUAL DONA INES")</f>
        <v>ASS. APOIO ESCOLA ESTADUAL DONA INES</v>
      </c>
      <c r="D9" s="325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6" t="s">
        <v>45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6" t="str">
        <f ca="1">IFERROR(__xludf.DUMMYFUNCTION("""COMPUTED_VALUE"""),"Combinado")</f>
        <v>Combinado</v>
      </c>
      <c r="C10" s="166" t="str">
        <f ca="1">IFERROR(__xludf.DUMMYFUNCTION("""COMPUTED_VALUE"""),"A.A. DO COL. E.JOAQUIM DE SENA E SILVA")</f>
        <v>A.A. DO COL. E.JOAQUIM DE SENA E SILVA</v>
      </c>
      <c r="D10" s="32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6" t="s">
        <v>46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46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5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46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5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47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5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48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21" t="s">
        <v>149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5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49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5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49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5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21" t="s">
        <v>149</v>
      </c>
      <c r="I18" t="str">
        <f t="shared" ca="1" si="0"/>
        <v>É diferente</v>
      </c>
    </row>
    <row r="19" spans="1:10" ht="15.75" customHeight="1">
      <c r="C19" s="321" t="s">
        <v>150</v>
      </c>
      <c r="D19" s="321">
        <v>100</v>
      </c>
      <c r="F19" s="321">
        <v>0</v>
      </c>
    </row>
    <row r="22" spans="1:10" ht="15.75" customHeight="1">
      <c r="C22" s="321" t="s">
        <v>151</v>
      </c>
    </row>
    <row r="23" spans="1:10" ht="15.75" customHeight="1">
      <c r="A23" t="e">
        <f>#REF!</f>
        <v>#REF!</v>
      </c>
      <c r="B23" s="321" t="s">
        <v>152</v>
      </c>
      <c r="C23" s="321" t="s">
        <v>153</v>
      </c>
    </row>
    <row r="24" spans="1:10" ht="15.75" customHeight="1">
      <c r="B24" s="321" t="s">
        <v>154</v>
      </c>
      <c r="C24" s="321" t="s">
        <v>155</v>
      </c>
      <c r="D24" s="321">
        <v>5</v>
      </c>
      <c r="F24" s="325">
        <f t="shared" ref="F24:J24" ca="1" si="1">$D$4</f>
        <v>108</v>
      </c>
      <c r="G24" s="325">
        <f t="shared" ca="1" si="1"/>
        <v>108</v>
      </c>
      <c r="H24" s="325">
        <f t="shared" ca="1" si="1"/>
        <v>108</v>
      </c>
      <c r="I24" s="325">
        <f t="shared" ca="1" si="1"/>
        <v>108</v>
      </c>
      <c r="J24" s="325">
        <f t="shared" ca="1" si="1"/>
        <v>108</v>
      </c>
    </row>
    <row r="25" spans="1:10" ht="15.75" customHeight="1">
      <c r="A25" s="325">
        <f t="shared" ref="A25:A28" ca="1" si="2">D$4</f>
        <v>108</v>
      </c>
      <c r="B25" t="str">
        <f ca="1">E4</f>
        <v>Parcial</v>
      </c>
      <c r="C25" s="321" t="s">
        <v>156</v>
      </c>
      <c r="D25" s="321">
        <v>5</v>
      </c>
      <c r="H25" s="325">
        <f t="shared" ref="H25:H29" ca="1" si="3">D$4</f>
        <v>108</v>
      </c>
    </row>
    <row r="26" spans="1:10" ht="15.75" customHeight="1">
      <c r="A26" s="325">
        <f t="shared" ca="1" si="2"/>
        <v>108</v>
      </c>
      <c r="C26" s="321" t="s">
        <v>157</v>
      </c>
      <c r="D26" s="321">
        <v>5</v>
      </c>
      <c r="H26" s="325">
        <f t="shared" ca="1" si="3"/>
        <v>108</v>
      </c>
    </row>
    <row r="27" spans="1:10" ht="15.75" customHeight="1">
      <c r="A27" s="325">
        <f t="shared" ca="1" si="2"/>
        <v>108</v>
      </c>
      <c r="C27" s="321" t="s">
        <v>158</v>
      </c>
      <c r="D27" s="321">
        <v>5</v>
      </c>
      <c r="H27" s="325">
        <f t="shared" ca="1" si="3"/>
        <v>108</v>
      </c>
    </row>
    <row r="28" spans="1:10" ht="15.75" customHeight="1">
      <c r="A28" s="325">
        <f t="shared" ca="1" si="2"/>
        <v>108</v>
      </c>
      <c r="C28" s="321" t="s">
        <v>159</v>
      </c>
      <c r="D28" s="321">
        <v>5</v>
      </c>
      <c r="H28" s="325">
        <f t="shared" ca="1" si="3"/>
        <v>108</v>
      </c>
    </row>
    <row r="29" spans="1:10" ht="15.75" customHeight="1">
      <c r="A29">
        <f ca="1">RAND()</f>
        <v>0.97195576076527002</v>
      </c>
      <c r="B29">
        <f ca="1">INT(A29*60)</f>
        <v>58</v>
      </c>
      <c r="C29" s="321" t="s">
        <v>160</v>
      </c>
      <c r="H29" s="325">
        <f t="shared" ca="1" si="3"/>
        <v>108</v>
      </c>
    </row>
    <row r="30" spans="1:10" ht="15.75" customHeight="1">
      <c r="C30" s="321" t="s">
        <v>161</v>
      </c>
    </row>
    <row r="31" spans="1:10">
      <c r="A31" s="326" t="s">
        <v>162</v>
      </c>
      <c r="C31" s="321" t="s">
        <v>163</v>
      </c>
    </row>
    <row r="33" spans="1:6" ht="18">
      <c r="A33" s="327" t="s">
        <v>164</v>
      </c>
      <c r="B33" t="b">
        <f>1=1</f>
        <v>1</v>
      </c>
      <c r="C33" s="321">
        <v>13</v>
      </c>
    </row>
    <row r="34" spans="1:6" ht="18">
      <c r="A34" s="328" t="s">
        <v>165</v>
      </c>
      <c r="B34" t="b">
        <f>1&gt;2</f>
        <v>0</v>
      </c>
    </row>
    <row r="35" spans="1:6" ht="18">
      <c r="A35" s="328" t="s">
        <v>166</v>
      </c>
      <c r="B35" t="b">
        <f>1&lt;2</f>
        <v>1</v>
      </c>
      <c r="C35" s="301" t="str">
        <f ca="1">IFERROR(__xludf.DUMMYFUNCTION("QUERY(C1:F19,""SELECT * WHERE D&gt;100 AND F&gt;0"",1) "),"")</f>
        <v/>
      </c>
      <c r="D35" s="301" t="str">
        <f ca="1">IFERROR(__xludf.DUMMYFUNCTION("""COMPUTED_VALUE"""),"")</f>
        <v/>
      </c>
      <c r="E35" s="301" t="str">
        <f ca="1">IFERROR(__xludf.DUMMYFUNCTION("""COMPUTED_VALUE"""),"")</f>
        <v/>
      </c>
      <c r="F35" s="301" t="str">
        <f ca="1">IFERROR(__xludf.DUMMYFUNCTION("""COMPUTED_VALUE"""),"product(0.5())")</f>
        <v>product(0.5())</v>
      </c>
    </row>
    <row r="36" spans="1:6" ht="18">
      <c r="A36" s="328" t="s">
        <v>167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28" t="s">
        <v>168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5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28" t="s">
        <v>169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5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321" t="s">
        <v>170</v>
      </c>
      <c r="C39" t="str">
        <f ca="1">IFERROR(__xludf.DUMMYFUNCTION("""COMPUTED_VALUE"""),"A.A. ESCOLAR DA ESC. EST. SILVA DOURADO")</f>
        <v>A.A. ESCOLAR DA ESC. EST. SILVA DOURADO</v>
      </c>
      <c r="D39" s="325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321" t="s">
        <v>171</v>
      </c>
      <c r="C40" t="str">
        <f ca="1">IFERROR(__xludf.DUMMYFUNCTION("""COMPUTED_VALUE"""),"ASS. APOIO ESCOLA ESTADUAL DONA INES")</f>
        <v>ASS. APOIO ESCOLA ESTADUAL DONA INES</v>
      </c>
      <c r="D40" s="325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321" t="s">
        <v>172</v>
      </c>
      <c r="C41" t="str">
        <f ca="1">IFERROR(__xludf.DUMMYFUNCTION("""COMPUTED_VALUE"""),"A.A. ESC. EST. AUGUSTA VAZ DOS S.TEIXEIRA")</f>
        <v>A.A. ESC. EST. AUGUSTA VAZ DOS S.TEIXEIRA</v>
      </c>
      <c r="D41" s="325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325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5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325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329" t="s">
        <v>173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30" t="s">
        <v>174</v>
      </c>
      <c r="C1" s="331" t="s">
        <v>175</v>
      </c>
      <c r="D1" s="332"/>
      <c r="E1" s="332"/>
      <c r="F1" s="332"/>
      <c r="G1" s="332"/>
      <c r="H1" s="332"/>
      <c r="I1" s="333"/>
    </row>
    <row r="3" spans="2:14" ht="12.75">
      <c r="B3" s="334" t="s">
        <v>176</v>
      </c>
      <c r="C3" s="321" t="s">
        <v>177</v>
      </c>
      <c r="D3" s="335" t="s">
        <v>178</v>
      </c>
      <c r="E3" s="335" t="s">
        <v>179</v>
      </c>
      <c r="F3" s="335" t="s">
        <v>180</v>
      </c>
      <c r="G3" s="335" t="s">
        <v>181</v>
      </c>
      <c r="H3" s="336" t="s">
        <v>182</v>
      </c>
      <c r="K3" s="337" t="s">
        <v>25</v>
      </c>
      <c r="M3" s="338" t="s">
        <v>26</v>
      </c>
      <c r="N3" s="338" t="s">
        <v>183</v>
      </c>
    </row>
    <row r="4" spans="2:14" ht="12.75">
      <c r="B4" s="339" t="s">
        <v>42</v>
      </c>
      <c r="C4" s="321">
        <v>123</v>
      </c>
      <c r="D4" s="340" t="s">
        <v>184</v>
      </c>
      <c r="E4" s="341" t="s">
        <v>185</v>
      </c>
      <c r="F4" s="341" t="s">
        <v>186</v>
      </c>
      <c r="G4" s="341" t="s">
        <v>187</v>
      </c>
      <c r="H4" s="341" t="s">
        <v>188</v>
      </c>
      <c r="K4" s="342" t="s">
        <v>36</v>
      </c>
      <c r="M4" s="340" t="s">
        <v>189</v>
      </c>
      <c r="N4" s="340" t="s">
        <v>190</v>
      </c>
    </row>
    <row r="5" spans="2:14" ht="12.75">
      <c r="B5" s="339" t="s">
        <v>191</v>
      </c>
      <c r="C5" s="321">
        <v>55</v>
      </c>
      <c r="D5" s="340" t="s">
        <v>192</v>
      </c>
      <c r="E5" s="341" t="s">
        <v>193</v>
      </c>
      <c r="F5" s="341" t="s">
        <v>194</v>
      </c>
      <c r="G5" s="341" t="s">
        <v>195</v>
      </c>
      <c r="H5" s="343"/>
      <c r="K5" s="342" t="s">
        <v>38</v>
      </c>
      <c r="M5" s="340" t="s">
        <v>172</v>
      </c>
      <c r="N5" s="340" t="s">
        <v>117</v>
      </c>
    </row>
    <row r="6" spans="2:14" ht="12.75">
      <c r="B6" s="339" t="s">
        <v>40</v>
      </c>
      <c r="C6" s="321">
        <v>44</v>
      </c>
      <c r="D6" s="340" t="s">
        <v>196</v>
      </c>
      <c r="E6" s="341" t="s">
        <v>193</v>
      </c>
      <c r="F6" s="341" t="s">
        <v>197</v>
      </c>
      <c r="G6" s="341" t="s">
        <v>198</v>
      </c>
      <c r="H6" s="343"/>
      <c r="K6" s="342" t="s">
        <v>39</v>
      </c>
      <c r="M6" s="340" t="s">
        <v>37</v>
      </c>
      <c r="N6" s="340" t="s">
        <v>199</v>
      </c>
    </row>
    <row r="7" spans="2:14" ht="12.75">
      <c r="B7" s="339" t="s">
        <v>116</v>
      </c>
      <c r="C7" s="321">
        <v>234</v>
      </c>
      <c r="D7" s="340" t="s">
        <v>200</v>
      </c>
      <c r="E7" s="341" t="s">
        <v>193</v>
      </c>
      <c r="F7" s="341" t="s">
        <v>201</v>
      </c>
      <c r="G7" s="341" t="s">
        <v>202</v>
      </c>
      <c r="H7" s="343"/>
      <c r="M7" s="340" t="s">
        <v>203</v>
      </c>
      <c r="N7" s="340" t="s">
        <v>204</v>
      </c>
    </row>
    <row r="8" spans="2:14" ht="12.75">
      <c r="B8" s="339" t="s">
        <v>16</v>
      </c>
      <c r="C8" s="321">
        <v>234</v>
      </c>
      <c r="D8" s="340" t="s">
        <v>205</v>
      </c>
      <c r="E8" s="341" t="s">
        <v>193</v>
      </c>
      <c r="F8" s="341" t="s">
        <v>206</v>
      </c>
      <c r="G8" s="343"/>
      <c r="H8" s="341" t="s">
        <v>207</v>
      </c>
      <c r="M8" s="343"/>
      <c r="N8" s="343"/>
    </row>
    <row r="9" spans="2:14" ht="12.75">
      <c r="B9" s="339" t="s">
        <v>19</v>
      </c>
      <c r="C9" s="321">
        <v>23</v>
      </c>
      <c r="D9" s="340" t="s">
        <v>208</v>
      </c>
      <c r="E9" s="341" t="s">
        <v>209</v>
      </c>
      <c r="F9" s="340" t="s">
        <v>210</v>
      </c>
      <c r="G9" s="340" t="s">
        <v>211</v>
      </c>
      <c r="H9" s="341" t="s">
        <v>212</v>
      </c>
      <c r="M9" s="343"/>
      <c r="N9" s="343"/>
    </row>
    <row r="10" spans="2:14" ht="12.75">
      <c r="B10" s="339" t="s">
        <v>21</v>
      </c>
      <c r="C10" s="321">
        <v>4234</v>
      </c>
      <c r="D10" s="340" t="s">
        <v>213</v>
      </c>
      <c r="E10" s="341" t="s">
        <v>209</v>
      </c>
      <c r="F10" s="341" t="s">
        <v>214</v>
      </c>
      <c r="G10" s="340" t="s">
        <v>215</v>
      </c>
      <c r="H10" s="341" t="s">
        <v>212</v>
      </c>
    </row>
    <row r="11" spans="2:14" ht="12.75">
      <c r="B11" s="339" t="s">
        <v>22</v>
      </c>
      <c r="C11" s="321">
        <v>4</v>
      </c>
      <c r="D11" s="340" t="s">
        <v>216</v>
      </c>
      <c r="E11" s="344"/>
      <c r="F11" s="343"/>
      <c r="G11" s="340"/>
      <c r="H11" s="341" t="s">
        <v>217</v>
      </c>
    </row>
    <row r="12" spans="2:14" ht="12.75">
      <c r="B12" s="339" t="s">
        <v>41</v>
      </c>
      <c r="C12" s="321">
        <v>323444</v>
      </c>
      <c r="D12" s="340" t="s">
        <v>218</v>
      </c>
      <c r="E12" s="344"/>
      <c r="F12" s="343"/>
      <c r="G12" s="340"/>
      <c r="H12" s="341" t="s">
        <v>219</v>
      </c>
    </row>
    <row r="13" spans="2:14" ht="12.75">
      <c r="B13" s="339" t="s">
        <v>117</v>
      </c>
      <c r="C13" s="321">
        <v>44</v>
      </c>
      <c r="D13" s="340" t="s">
        <v>220</v>
      </c>
      <c r="E13" s="343"/>
      <c r="F13" s="341" t="s">
        <v>221</v>
      </c>
      <c r="G13" s="340" t="s">
        <v>222</v>
      </c>
      <c r="H13" s="341" t="s">
        <v>223</v>
      </c>
    </row>
    <row r="14" spans="2:14" ht="12.75">
      <c r="B14" s="339" t="s">
        <v>44</v>
      </c>
      <c r="C14" s="321"/>
      <c r="D14" s="340" t="s">
        <v>224</v>
      </c>
      <c r="E14" s="343"/>
      <c r="F14" s="341" t="s">
        <v>225</v>
      </c>
      <c r="G14" s="340"/>
      <c r="H14" s="343"/>
    </row>
    <row r="16" spans="2:14" ht="12.75">
      <c r="G16" s="322"/>
    </row>
    <row r="17" spans="1:10" ht="18">
      <c r="F17" s="345"/>
      <c r="G17" s="346"/>
    </row>
    <row r="18" spans="1:10" ht="18">
      <c r="F18" s="347"/>
      <c r="G18" s="346"/>
      <c r="I18" s="321" t="s">
        <v>226</v>
      </c>
    </row>
    <row r="19" spans="1:10" ht="30">
      <c r="A19" s="348"/>
      <c r="B19" s="349" t="s">
        <v>227</v>
      </c>
      <c r="C19" s="350"/>
      <c r="D19" s="350"/>
      <c r="E19" s="351"/>
      <c r="F19" s="389"/>
      <c r="G19" s="363"/>
      <c r="H19" s="363"/>
      <c r="I19" s="352" t="s">
        <v>116</v>
      </c>
      <c r="J19" s="353">
        <f>VLOOKUP(I19,B4:C13,2,0)</f>
        <v>234</v>
      </c>
    </row>
    <row r="20" spans="1:10" ht="12.75">
      <c r="A20" s="354"/>
      <c r="E20" s="355"/>
      <c r="F20" s="363"/>
      <c r="G20" s="363"/>
      <c r="H20" s="363"/>
    </row>
    <row r="21" spans="1:10" ht="23.25">
      <c r="A21" s="356"/>
      <c r="B21" s="357" t="s">
        <v>228</v>
      </c>
      <c r="C21" s="358"/>
      <c r="D21" s="358"/>
      <c r="E21" s="359"/>
      <c r="F21" s="363"/>
      <c r="G21" s="363"/>
      <c r="H21" s="363"/>
    </row>
    <row r="22" spans="1:10" ht="15.75" customHeight="1">
      <c r="F22" s="363"/>
      <c r="G22" s="363"/>
      <c r="H22" s="363"/>
    </row>
    <row r="23" spans="1:10" ht="15.75" customHeight="1">
      <c r="F23" s="363"/>
      <c r="G23" s="363"/>
      <c r="H23" s="363"/>
    </row>
    <row r="24" spans="1:10" ht="15.75" customHeight="1">
      <c r="F24" s="363"/>
      <c r="G24" s="363"/>
      <c r="H24" s="363"/>
    </row>
    <row r="25" spans="1:10" ht="15.75" customHeight="1">
      <c r="F25" s="363"/>
      <c r="G25" s="363"/>
      <c r="H25" s="363"/>
    </row>
    <row r="26" spans="1:10" ht="15.75" customHeight="1">
      <c r="F26" s="363"/>
      <c r="G26" s="363"/>
      <c r="H26" s="363"/>
    </row>
    <row r="27" spans="1:10" ht="12.75">
      <c r="D27" s="321" t="s">
        <v>122</v>
      </c>
      <c r="F27" s="363"/>
      <c r="G27" s="363"/>
      <c r="H27" s="363"/>
    </row>
    <row r="28" spans="1:10" ht="15.75" customHeight="1">
      <c r="F28" s="363"/>
      <c r="G28" s="363"/>
      <c r="H28" s="363"/>
    </row>
    <row r="29" spans="1:10" ht="15.75" customHeight="1">
      <c r="F29" s="363"/>
      <c r="G29" s="363"/>
      <c r="H29" s="363"/>
    </row>
    <row r="30" spans="1:10" ht="15.75" customHeight="1">
      <c r="F30" s="363"/>
      <c r="G30" s="363"/>
      <c r="H30" s="363"/>
    </row>
    <row r="31" spans="1:10" ht="15.75" customHeight="1">
      <c r="F31" s="363"/>
      <c r="G31" s="363"/>
      <c r="H31" s="363"/>
    </row>
    <row r="32" spans="1:10" ht="15.75" customHeight="1">
      <c r="F32" s="363"/>
      <c r="G32" s="363"/>
      <c r="H32" s="363"/>
    </row>
    <row r="33" spans="6:8" ht="15.75" customHeight="1">
      <c r="F33" s="363"/>
      <c r="G33" s="363"/>
      <c r="H33" s="363"/>
    </row>
    <row r="34" spans="6:8" ht="15.75" customHeight="1">
      <c r="F34" s="363"/>
      <c r="G34" s="363"/>
      <c r="H34" s="363"/>
    </row>
    <row r="35" spans="6:8" ht="15.75" customHeight="1">
      <c r="F35" s="363"/>
      <c r="G35" s="363"/>
      <c r="H35" s="363"/>
    </row>
    <row r="36" spans="6:8" ht="15.75" customHeight="1">
      <c r="F36" s="363"/>
      <c r="G36" s="363"/>
      <c r="H36" s="363"/>
    </row>
    <row r="37" spans="6:8" ht="15.75" customHeight="1">
      <c r="F37" s="363"/>
      <c r="G37" s="363"/>
      <c r="H37" s="363"/>
    </row>
    <row r="38" spans="6:8" ht="15.75" customHeight="1">
      <c r="F38" s="363"/>
      <c r="G38" s="363"/>
      <c r="H38" s="363"/>
    </row>
    <row r="39" spans="6:8" ht="15.75" customHeight="1">
      <c r="F39" s="363"/>
      <c r="G39" s="363"/>
      <c r="H39" s="363"/>
    </row>
    <row r="40" spans="6:8" ht="15.75" customHeight="1">
      <c r="F40" s="363"/>
      <c r="G40" s="363"/>
      <c r="H40" s="363"/>
    </row>
    <row r="41" spans="6:8" ht="15.75" customHeight="1">
      <c r="F41" s="363"/>
      <c r="G41" s="363"/>
      <c r="H41" s="363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360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360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360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360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IFERROR(__xludf.DUMMYFUNCTION("""COMPUTED_VALUE"""),"AS. DE A. A ESC.PAROQUIAL SAO MIGUEL")</f>
        <v>AS. DE A. A ESC.PAROQUIAL SAO MIGUEL</v>
      </c>
      <c r="D6" t="str">
        <f ca="1">IFERROR(__xludf.DUMMYFUNCTION("""COMPUTED_VALUE"""),"01133698000186")</f>
        <v>01133698000186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IFERROR(__xludf.DUMMYFUNCTION("""COMPUTED_VALUE"""),"3773")</f>
        <v>3773</v>
      </c>
      <c r="I6" t="str">
        <f ca="1">IFERROR(__xludf.DUMMYFUNCTION("""COMPUTED_VALUE"""),"330035")</f>
        <v>330035</v>
      </c>
      <c r="L6" s="360" t="s">
        <v>147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60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60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60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60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60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60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60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60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61" t="s">
        <v>33</v>
      </c>
      <c r="L21" s="362" t="s">
        <v>34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8">
        <f ca="1">IFERROR(__xludf.DUMMYFUNCTION("""COMPUTED_VALUE"""),0)</f>
        <v>0</v>
      </c>
      <c r="F26" s="8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8">
        <f ca="1">IFERROR(__xludf.DUMMYFUNCTION("""COMPUTED_VALUE"""),0)</f>
        <v>0</v>
      </c>
      <c r="F27" s="8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2.75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2.75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2.75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2.75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8">
        <f ca="1">IFERROR(__xludf.DUMMYFUNCTION("""COMPUTED_VALUE"""),0)</f>
        <v>0</v>
      </c>
      <c r="F215" s="8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8">
        <f ca="1">IFERROR(__xludf.DUMMYFUNCTION("""COMPUTED_VALUE"""),0)</f>
        <v>0</v>
      </c>
      <c r="F218" s="8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2.75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8">
        <f ca="1">IFERROR(__xludf.DUMMYFUNCTION("""COMPUTED_VALUE"""),0)</f>
        <v>0</v>
      </c>
      <c r="F247" s="8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8">
        <f ca="1">IFERROR(__xludf.DUMMYFUNCTION("""COMPUTED_VALUE"""),0)</f>
        <v>0</v>
      </c>
      <c r="F251" s="8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8">
        <f ca="1">IFERROR(__xludf.DUMMYFUNCTION("""COMPUTED_VALUE"""),0)</f>
        <v>0</v>
      </c>
      <c r="F253" s="8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8">
        <f ca="1">IFERROR(__xludf.DUMMYFUNCTION("""COMPUTED_VALUE"""),0)</f>
        <v>0</v>
      </c>
      <c r="F257" s="8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2.75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8">
        <f ca="1">IFERROR(__xludf.DUMMYFUNCTION("""COMPUTED_VALUE"""),0)</f>
        <v>0</v>
      </c>
      <c r="F276" s="8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8">
        <f ca="1">IFERROR(__xludf.DUMMYFUNCTION("""COMPUTED_VALUE"""),0)</f>
        <v>0</v>
      </c>
      <c r="F280" s="8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2.75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8">
        <f ca="1">IFERROR(__xludf.DUMMYFUNCTION("""COMPUTED_VALUE"""),0)</f>
        <v>0</v>
      </c>
      <c r="F298" s="8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8">
        <f ca="1">IFERROR(__xludf.DUMMYFUNCTION("""COMPUTED_VALUE"""),0)</f>
        <v>0</v>
      </c>
      <c r="F302" s="8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8">
        <f ca="1">IFERROR(__xludf.DUMMYFUNCTION("""COMPUTED_VALUE"""),0)</f>
        <v>0</v>
      </c>
      <c r="F304" s="8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8">
        <f ca="1">IFERROR(__xludf.DUMMYFUNCTION("""COMPUTED_VALUE"""),0)</f>
        <v>0</v>
      </c>
      <c r="F308" s="8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8">
        <f ca="1">IFERROR(__xludf.DUMMYFUNCTION("""COMPUTED_VALUE"""),0)</f>
        <v>0</v>
      </c>
      <c r="F309" s="8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8">
        <f ca="1">IFERROR(__xludf.DUMMYFUNCTION("""COMPUTED_VALUE"""),0)</f>
        <v>0</v>
      </c>
      <c r="F313" s="8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8">
        <f ca="1">IFERROR(__xludf.DUMMYFUNCTION("""COMPUTED_VALUE"""),0)</f>
        <v>0</v>
      </c>
      <c r="F319" s="8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8">
        <f ca="1">IFERROR(__xludf.DUMMYFUNCTION("""COMPUTED_VALUE"""),0)</f>
        <v>0</v>
      </c>
      <c r="F323" s="8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2.75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2.75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8">
        <f ca="1">IFERROR(__xludf.DUMMYFUNCTION("""COMPUTED_VALUE"""),0)</f>
        <v>0</v>
      </c>
      <c r="F370" s="8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8">
        <f ca="1">IFERROR(__xludf.DUMMYFUNCTION("""COMPUTED_VALUE"""),0)</f>
        <v>0</v>
      </c>
      <c r="F374" s="8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2.75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8">
        <f ca="1">IFERROR(__xludf.DUMMYFUNCTION("""COMPUTED_VALUE"""),0)</f>
        <v>0</v>
      </c>
      <c r="F393" s="8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8">
        <f ca="1">IFERROR(__xludf.DUMMYFUNCTION("""COMPUTED_VALUE"""),0)</f>
        <v>0</v>
      </c>
      <c r="F397" s="8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8">
        <f ca="1">IFERROR(__xludf.DUMMYFUNCTION("""COMPUTED_VALUE"""),0)</f>
        <v>0</v>
      </c>
      <c r="F404" s="8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8">
        <f ca="1">IFERROR(__xludf.DUMMYFUNCTION("""COMPUTED_VALUE"""),0)</f>
        <v>0</v>
      </c>
      <c r="F408" s="8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3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8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8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8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8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8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8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8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8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8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8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8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8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8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8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8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8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8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8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8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8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8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8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8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8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8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8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8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8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8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8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8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8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8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8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8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8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8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8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8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8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8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8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8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8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8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8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8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8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8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8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8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8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8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8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8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8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8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8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8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8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8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8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8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8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8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8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8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8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8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8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8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8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8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8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8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8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8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8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8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8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8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8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8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8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8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8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8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8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8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8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8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8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8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8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8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8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8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8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8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8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8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8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8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8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8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8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8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8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8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8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8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8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8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8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8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8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8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8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8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8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8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8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8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8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8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8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8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8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8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8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8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8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8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8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8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8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8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8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8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8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8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8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8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8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8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8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8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8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8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8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8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8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8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8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3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3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8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8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8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3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8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8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8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8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8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8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8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8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8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8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8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8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8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8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8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8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8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3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3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7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 Martins Sousa Machado</cp:lastModifiedBy>
  <dcterms:created xsi:type="dcterms:W3CDTF">2023-06-29T18:15:13Z</dcterms:created>
  <dcterms:modified xsi:type="dcterms:W3CDTF">2023-06-29T18:22:17Z</dcterms:modified>
</cp:coreProperties>
</file>